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tables/table100.xml" ContentType="application/vnd.openxmlformats-officedocument.spreadsheetml.table+xml"/>
  <Override PartName="/xl/tables/table101.xml" ContentType="application/vnd.openxmlformats-officedocument.spreadsheetml.table+xml"/>
  <Override PartName="/xl/tables/table102.xml" ContentType="application/vnd.openxmlformats-officedocument.spreadsheetml.table+xml"/>
  <Override PartName="/xl/tables/table103.xml" ContentType="application/vnd.openxmlformats-officedocument.spreadsheetml.table+xml"/>
  <Override PartName="/xl/tables/table104.xml" ContentType="application/vnd.openxmlformats-officedocument.spreadsheetml.table+xml"/>
  <Override PartName="/xl/tables/table105.xml" ContentType="application/vnd.openxmlformats-officedocument.spreadsheetml.table+xml"/>
  <Override PartName="/xl/tables/table106.xml" ContentType="application/vnd.openxmlformats-officedocument.spreadsheetml.table+xml"/>
  <Override PartName="/xl/tables/table107.xml" ContentType="application/vnd.openxmlformats-officedocument.spreadsheetml.table+xml"/>
  <Override PartName="/xl/tables/table108.xml" ContentType="application/vnd.openxmlformats-officedocument.spreadsheetml.table+xml"/>
  <Override PartName="/xl/tables/table109.xml" ContentType="application/vnd.openxmlformats-officedocument.spreadsheetml.table+xml"/>
  <Override PartName="/xl/tables/table110.xml" ContentType="application/vnd.openxmlformats-officedocument.spreadsheetml.table+xml"/>
  <Override PartName="/xl/tables/table111.xml" ContentType="application/vnd.openxmlformats-officedocument.spreadsheetml.table+xml"/>
  <Override PartName="/xl/tables/table112.xml" ContentType="application/vnd.openxmlformats-officedocument.spreadsheetml.table+xml"/>
  <Override PartName="/xl/tables/table113.xml" ContentType="application/vnd.openxmlformats-officedocument.spreadsheetml.table+xml"/>
  <Override PartName="/xl/tables/table114.xml" ContentType="application/vnd.openxmlformats-officedocument.spreadsheetml.table+xml"/>
  <Override PartName="/xl/tables/table115.xml" ContentType="application/vnd.openxmlformats-officedocument.spreadsheetml.table+xml"/>
  <Override PartName="/xl/tables/table116.xml" ContentType="application/vnd.openxmlformats-officedocument.spreadsheetml.table+xml"/>
  <Override PartName="/xl/tables/table117.xml" ContentType="application/vnd.openxmlformats-officedocument.spreadsheetml.table+xml"/>
  <Override PartName="/xl/tables/table118.xml" ContentType="application/vnd.openxmlformats-officedocument.spreadsheetml.table+xml"/>
  <Override PartName="/xl/tables/table119.xml" ContentType="application/vnd.openxmlformats-officedocument.spreadsheetml.table+xml"/>
  <Override PartName="/xl/tables/table120.xml" ContentType="application/vnd.openxmlformats-officedocument.spreadsheetml.table+xml"/>
  <Override PartName="/xl/tables/table121.xml" ContentType="application/vnd.openxmlformats-officedocument.spreadsheetml.table+xml"/>
  <Override PartName="/xl/tables/table122.xml" ContentType="application/vnd.openxmlformats-officedocument.spreadsheetml.table+xml"/>
  <Override PartName="/xl/tables/table123.xml" ContentType="application/vnd.openxmlformats-officedocument.spreadsheetml.table+xml"/>
  <Override PartName="/xl/tables/table124.xml" ContentType="application/vnd.openxmlformats-officedocument.spreadsheetml.table+xml"/>
  <Override PartName="/xl/tables/table125.xml" ContentType="application/vnd.openxmlformats-officedocument.spreadsheetml.table+xml"/>
  <Override PartName="/xl/tables/table126.xml" ContentType="application/vnd.openxmlformats-officedocument.spreadsheetml.table+xml"/>
  <Override PartName="/xl/tables/table127.xml" ContentType="application/vnd.openxmlformats-officedocument.spreadsheetml.table+xml"/>
  <Override PartName="/xl/tables/table128.xml" ContentType="application/vnd.openxmlformats-officedocument.spreadsheetml.table+xml"/>
  <Override PartName="/xl/tables/table129.xml" ContentType="application/vnd.openxmlformats-officedocument.spreadsheetml.table+xml"/>
  <Override PartName="/xl/tables/table130.xml" ContentType="application/vnd.openxmlformats-officedocument.spreadsheetml.table+xml"/>
  <Override PartName="/xl/tables/table131.xml" ContentType="application/vnd.openxmlformats-officedocument.spreadsheetml.table+xml"/>
  <Override PartName="/xl/tables/table132.xml" ContentType="application/vnd.openxmlformats-officedocument.spreadsheetml.table+xml"/>
  <Override PartName="/xl/tables/table133.xml" ContentType="application/vnd.openxmlformats-officedocument.spreadsheetml.table+xml"/>
  <Override PartName="/xl/tables/table134.xml" ContentType="application/vnd.openxmlformats-officedocument.spreadsheetml.table+xml"/>
  <Override PartName="/xl/tables/table135.xml" ContentType="application/vnd.openxmlformats-officedocument.spreadsheetml.table+xml"/>
  <Override PartName="/xl/tables/table136.xml" ContentType="application/vnd.openxmlformats-officedocument.spreadsheetml.table+xml"/>
  <Override PartName="/xl/tables/table137.xml" ContentType="application/vnd.openxmlformats-officedocument.spreadsheetml.table+xml"/>
  <Override PartName="/xl/tables/table138.xml" ContentType="application/vnd.openxmlformats-officedocument.spreadsheetml.table+xml"/>
  <Override PartName="/xl/tables/table139.xml" ContentType="application/vnd.openxmlformats-officedocument.spreadsheetml.table+xml"/>
  <Override PartName="/xl/tables/table140.xml" ContentType="application/vnd.openxmlformats-officedocument.spreadsheetml.table+xml"/>
  <Override PartName="/xl/tables/table141.xml" ContentType="application/vnd.openxmlformats-officedocument.spreadsheetml.table+xml"/>
  <Override PartName="/xl/tables/table142.xml" ContentType="application/vnd.openxmlformats-officedocument.spreadsheetml.table+xml"/>
  <Override PartName="/xl/tables/table143.xml" ContentType="application/vnd.openxmlformats-officedocument.spreadsheetml.table+xml"/>
  <Override PartName="/xl/tables/table144.xml" ContentType="application/vnd.openxmlformats-officedocument.spreadsheetml.table+xml"/>
  <Override PartName="/xl/tables/table145.xml" ContentType="application/vnd.openxmlformats-officedocument.spreadsheetml.table+xml"/>
  <Override PartName="/xl/tables/table146.xml" ContentType="application/vnd.openxmlformats-officedocument.spreadsheetml.table+xml"/>
  <Override PartName="/xl/tables/table147.xml" ContentType="application/vnd.openxmlformats-officedocument.spreadsheetml.table+xml"/>
  <Override PartName="/xl/tables/table148.xml" ContentType="application/vnd.openxmlformats-officedocument.spreadsheetml.table+xml"/>
  <Override PartName="/xl/tables/table149.xml" ContentType="application/vnd.openxmlformats-officedocument.spreadsheetml.table+xml"/>
  <Override PartName="/xl/tables/table150.xml" ContentType="application/vnd.openxmlformats-officedocument.spreadsheetml.table+xml"/>
  <Override PartName="/xl/tables/table151.xml" ContentType="application/vnd.openxmlformats-officedocument.spreadsheetml.table+xml"/>
  <Override PartName="/xl/tables/table152.xml" ContentType="application/vnd.openxmlformats-officedocument.spreadsheetml.table+xml"/>
  <Override PartName="/xl/tables/table153.xml" ContentType="application/vnd.openxmlformats-officedocument.spreadsheetml.table+xml"/>
  <Override PartName="/xl/tables/table154.xml" ContentType="application/vnd.openxmlformats-officedocument.spreadsheetml.table+xml"/>
  <Override PartName="/xl/tables/table155.xml" ContentType="application/vnd.openxmlformats-officedocument.spreadsheetml.table+xml"/>
  <Override PartName="/xl/tables/table156.xml" ContentType="application/vnd.openxmlformats-officedocument.spreadsheetml.table+xml"/>
  <Override PartName="/xl/tables/table157.xml" ContentType="application/vnd.openxmlformats-officedocument.spreadsheetml.table+xml"/>
  <Override PartName="/xl/tables/table158.xml" ContentType="application/vnd.openxmlformats-officedocument.spreadsheetml.table+xml"/>
  <Override PartName="/xl/tables/table159.xml" ContentType="application/vnd.openxmlformats-officedocument.spreadsheetml.table+xml"/>
  <Override PartName="/xl/tables/table160.xml" ContentType="application/vnd.openxmlformats-officedocument.spreadsheetml.table+xml"/>
  <Override PartName="/xl/tables/table161.xml" ContentType="application/vnd.openxmlformats-officedocument.spreadsheetml.table+xml"/>
  <Override PartName="/xl/tables/table162.xml" ContentType="application/vnd.openxmlformats-officedocument.spreadsheetml.table+xml"/>
  <Override PartName="/xl/tables/table163.xml" ContentType="application/vnd.openxmlformats-officedocument.spreadsheetml.table+xml"/>
  <Override PartName="/xl/tables/table164.xml" ContentType="application/vnd.openxmlformats-officedocument.spreadsheetml.table+xml"/>
  <Override PartName="/xl/tables/table165.xml" ContentType="application/vnd.openxmlformats-officedocument.spreadsheetml.table+xml"/>
  <Override PartName="/xl/tables/table166.xml" ContentType="application/vnd.openxmlformats-officedocument.spreadsheetml.table+xml"/>
  <Override PartName="/xl/tables/table167.xml" ContentType="application/vnd.openxmlformats-officedocument.spreadsheetml.table+xml"/>
  <Override PartName="/xl/tables/table168.xml" ContentType="application/vnd.openxmlformats-officedocument.spreadsheetml.table+xml"/>
  <Override PartName="/xl/tables/table169.xml" ContentType="application/vnd.openxmlformats-officedocument.spreadsheetml.table+xml"/>
  <Override PartName="/xl/tables/table170.xml" ContentType="application/vnd.openxmlformats-officedocument.spreadsheetml.table+xml"/>
  <Override PartName="/xl/tables/table171.xml" ContentType="application/vnd.openxmlformats-officedocument.spreadsheetml.table+xml"/>
  <Override PartName="/xl/tables/table172.xml" ContentType="application/vnd.openxmlformats-officedocument.spreadsheetml.table+xml"/>
  <Override PartName="/xl/tables/table173.xml" ContentType="application/vnd.openxmlformats-officedocument.spreadsheetml.table+xml"/>
  <Override PartName="/xl/tables/table174.xml" ContentType="application/vnd.openxmlformats-officedocument.spreadsheetml.table+xml"/>
  <Override PartName="/xl/tables/table175.xml" ContentType="application/vnd.openxmlformats-officedocument.spreadsheetml.table+xml"/>
  <Override PartName="/xl/tables/table176.xml" ContentType="application/vnd.openxmlformats-officedocument.spreadsheetml.table+xml"/>
  <Override PartName="/xl/tables/table177.xml" ContentType="application/vnd.openxmlformats-officedocument.spreadsheetml.table+xml"/>
  <Override PartName="/xl/tables/table178.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defaultThemeVersion="124226"/>
  <mc:AlternateContent xmlns:mc="http://schemas.openxmlformats.org/markup-compatibility/2006">
    <mc:Choice Requires="x15">
      <x15ac:absPath xmlns:x15ac="http://schemas.microsoft.com/office/spreadsheetml/2010/11/ac" url="C:\Users\franck\Desktop\Dossier coc excel\"/>
    </mc:Choice>
  </mc:AlternateContent>
  <bookViews>
    <workbookView xWindow="0" yWindow="0" windowWidth="28755" windowHeight="11055" tabRatio="796"/>
  </bookViews>
  <sheets>
    <sheet name="Planning" sheetId="28" r:id="rId1"/>
    <sheet name="À Faire - Récapitulatif" sheetId="16" r:id="rId2"/>
    <sheet name="À Faire - Détails" sheetId="9" r:id="rId3"/>
    <sheet name="Rentabilité" sheetId="29" r:id="rId4"/>
    <sheet name="Combats - Loots" sheetId="19" state="hidden" r:id="rId5"/>
    <sheet name="Formation de Troupes" sheetId="22" r:id="rId6"/>
    <sheet name="Bâtiments" sheetId="3" state="hidden" r:id="rId7"/>
    <sheet name="Paramètres" sheetId="2" r:id="rId8"/>
    <sheet name="Améliorations - Sorts &amp; Troupes" sheetId="12" state="hidden" r:id="rId9"/>
    <sheet name="Héros" sheetId="10" state="hidden" r:id="rId10"/>
    <sheet name="Coûts des Améliorations" sheetId="8" state="hidden" r:id="rId11"/>
    <sheet name="Gains et Stockage" sheetId="17" state="hidden" r:id="rId12"/>
    <sheet name="Trophées" sheetId="20" r:id="rId13"/>
    <sheet name="Coûts de Formation" sheetId="21" state="hidden" r:id="rId14"/>
    <sheet name="Calendrier" sheetId="27" state="hidden" r:id="rId15"/>
    <sheet name="Traduction" sheetId="23" state="hidden" r:id="rId16"/>
    <sheet name="Paramètres - Admin" sheetId="24" state="hidden" r:id="rId17"/>
    <sheet name="Production" sheetId="18" state="hidden" r:id="rId18"/>
    <sheet name="Journal des Modifications" sheetId="14" state="hidden" r:id="rId19"/>
    <sheet name="Valeur du Village" sheetId="31" r:id="rId20"/>
  </sheets>
  <definedNames>
    <definedName name="Actual">(PeriodInActual*(Planning!$F1&gt;0))*PeriodInPlan</definedName>
    <definedName name="ActualBeyond">PeriodInActual*(Planning!$F1&gt;0)</definedName>
    <definedName name="Attack_Defense">'Paramètres - Admin'!$F$2:$F$3</definedName>
    <definedName name="Calendar">Calendrier!$A$2:$A$1000</definedName>
    <definedName name="Langue">Paramètres!$BK$1</definedName>
    <definedName name="Pas">'Paramètres - Admin'!$G$2:$G$5</definedName>
    <definedName name="PercentComplete">PercentCompleteBeyond*PeriodInPlan</definedName>
    <definedName name="PercentCompleteBeyond">(Planning!A$7=MEDIAN(Planning!A$7,Planning!$F1,Planning!$F1+Planning!$G1)*(Planning!$F1&gt;0))*((Planning!A$7&lt;(INT(Planning!$F1+Planning!$G1*Planning!$H1)))+(Planning!A$7=Planning!$F1))*(Planning!$H1&gt;0)</definedName>
    <definedName name="Period">'Paramètres - Admin'!$E$2:$E$12</definedName>
    <definedName name="period_selected">Planning!$E$2</definedName>
    <definedName name="PeriodInActual">Planning!A$7=MEDIAN(Planning!A$7,Planning!$F1,Planning!$F1+Planning!$G1-1)</definedName>
    <definedName name="PeriodInPlan">Planning!A$7=MEDIAN(Planning!A$7,Planning!$E1,Planning!$E1+Planning!$D1-1)</definedName>
    <definedName name="Plan">PeriodInPlan*(Planning!$E1&gt;0)</definedName>
    <definedName name="TimeDisplay">'Paramètres - Admin'!$B$2:$B$7</definedName>
    <definedName name="TimeDisplay2">'Paramètres - Admin'!$C$2:$C$5</definedName>
    <definedName name="_xlnm.Print_Area" localSheetId="1">'À Faire - Récapitulatif'!$A$1:$X$42</definedName>
  </definedNames>
  <calcPr calcId="152511"/>
</workbook>
</file>

<file path=xl/calcChain.xml><?xml version="1.0" encoding="utf-8"?>
<calcChain xmlns="http://schemas.openxmlformats.org/spreadsheetml/2006/main">
  <c r="M277" i="9" l="1"/>
  <c r="M276" i="9"/>
  <c r="M286" i="9"/>
  <c r="M285" i="9"/>
  <c r="M284" i="9"/>
  <c r="M283" i="9"/>
  <c r="M282" i="9"/>
  <c r="C3" i="14" l="1"/>
  <c r="K30" i="29" l="1"/>
  <c r="M30" i="29" s="1"/>
  <c r="K29" i="29"/>
  <c r="L29" i="29" s="1"/>
  <c r="K28" i="29"/>
  <c r="M28" i="29" s="1"/>
  <c r="N20" i="29"/>
  <c r="D2" i="22"/>
  <c r="F2" i="22"/>
  <c r="C12" i="22"/>
  <c r="E12" i="22" s="1"/>
  <c r="C11" i="22"/>
  <c r="E11" i="22" s="1"/>
  <c r="C10" i="22"/>
  <c r="E10" i="22" s="1"/>
  <c r="G25" i="22"/>
  <c r="AG3" i="21"/>
  <c r="AC3" i="21"/>
  <c r="Y3" i="21"/>
  <c r="D44" i="28"/>
  <c r="G44" i="28" s="1"/>
  <c r="C44" i="28"/>
  <c r="D43" i="28"/>
  <c r="G43" i="28" s="1"/>
  <c r="C43" i="28"/>
  <c r="D42" i="28"/>
  <c r="G42" i="28" s="1"/>
  <c r="C42" i="28"/>
  <c r="D21" i="28"/>
  <c r="G21" i="28" s="1"/>
  <c r="C21" i="28"/>
  <c r="B311" i="9"/>
  <c r="B310" i="9"/>
  <c r="B312" i="9"/>
  <c r="B313" i="9"/>
  <c r="M302" i="9"/>
  <c r="M303" i="9"/>
  <c r="M304" i="9"/>
  <c r="M305" i="9"/>
  <c r="B302" i="9"/>
  <c r="B303" i="9"/>
  <c r="B304" i="9"/>
  <c r="B305" i="9"/>
  <c r="M85" i="9"/>
  <c r="M86" i="9"/>
  <c r="M84" i="9"/>
  <c r="AM3" i="2"/>
  <c r="AN3" i="2"/>
  <c r="M47" i="2" a="1"/>
  <c r="M47" i="2" s="1"/>
  <c r="L47" i="2" a="1"/>
  <c r="L47" i="2" s="1"/>
  <c r="AL3" i="2"/>
  <c r="AJ3" i="2"/>
  <c r="AL46" i="2"/>
  <c r="AM46" i="2"/>
  <c r="AN46" i="2"/>
  <c r="M5" i="2"/>
  <c r="M52" i="2" s="1"/>
  <c r="M46" i="2"/>
  <c r="M3" i="2"/>
  <c r="Z18" i="3"/>
  <c r="AA18" i="3"/>
  <c r="Z20" i="3"/>
  <c r="AA20" i="3"/>
  <c r="Z21" i="3"/>
  <c r="AA21" i="3"/>
  <c r="Z22" i="3"/>
  <c r="AA22" i="3"/>
  <c r="Z23" i="3"/>
  <c r="AA23" i="3"/>
  <c r="Z24" i="3"/>
  <c r="AA24" i="3"/>
  <c r="Z25" i="3"/>
  <c r="AA25" i="3"/>
  <c r="Z26" i="3"/>
  <c r="AA26" i="3"/>
  <c r="Z27" i="3"/>
  <c r="AA27" i="3"/>
  <c r="Z28" i="3"/>
  <c r="AA28" i="3"/>
  <c r="Z19" i="3"/>
  <c r="AA19" i="3"/>
  <c r="A22" i="20"/>
  <c r="A21" i="20"/>
  <c r="C4" i="14"/>
  <c r="D20" i="31"/>
  <c r="D19" i="31"/>
  <c r="D18" i="31"/>
  <c r="D17" i="31"/>
  <c r="D16" i="31"/>
  <c r="D15" i="31"/>
  <c r="F110" i="31"/>
  <c r="H110" i="31" s="1"/>
  <c r="F111" i="31"/>
  <c r="F112" i="31"/>
  <c r="F113" i="31"/>
  <c r="F114" i="31"/>
  <c r="F115" i="31"/>
  <c r="F116" i="31"/>
  <c r="F117" i="31"/>
  <c r="F118" i="31"/>
  <c r="F119" i="31"/>
  <c r="F120" i="31"/>
  <c r="F121" i="31"/>
  <c r="F122" i="31"/>
  <c r="F123" i="31"/>
  <c r="F124" i="31"/>
  <c r="F125" i="31"/>
  <c r="F126" i="31"/>
  <c r="F127" i="31"/>
  <c r="F128" i="31"/>
  <c r="F129" i="31"/>
  <c r="F130" i="31"/>
  <c r="F131" i="31"/>
  <c r="F132" i="31"/>
  <c r="F133" i="31"/>
  <c r="F134" i="31"/>
  <c r="F135" i="31"/>
  <c r="F136" i="31"/>
  <c r="F137" i="31"/>
  <c r="F138" i="31"/>
  <c r="F139" i="31"/>
  <c r="F140" i="31"/>
  <c r="F141" i="31"/>
  <c r="F142" i="31"/>
  <c r="F143" i="31"/>
  <c r="F144" i="31"/>
  <c r="F145" i="31"/>
  <c r="F146" i="31"/>
  <c r="F147" i="31"/>
  <c r="F148" i="31"/>
  <c r="F149" i="31"/>
  <c r="G111" i="31"/>
  <c r="G112" i="31" s="1"/>
  <c r="G113" i="31" s="1"/>
  <c r="G114" i="31" s="1"/>
  <c r="G115" i="31" s="1"/>
  <c r="G116" i="31" s="1"/>
  <c r="G117" i="31" s="1"/>
  <c r="G118" i="31" s="1"/>
  <c r="G119" i="31" s="1"/>
  <c r="G120" i="31" s="1"/>
  <c r="G121" i="31" s="1"/>
  <c r="G122" i="31" s="1"/>
  <c r="G123" i="31" s="1"/>
  <c r="G124" i="31" s="1"/>
  <c r="G125" i="31" s="1"/>
  <c r="G126" i="31" s="1"/>
  <c r="G127" i="31" s="1"/>
  <c r="G128" i="31" s="1"/>
  <c r="G129" i="31" s="1"/>
  <c r="G130" i="31" s="1"/>
  <c r="G131" i="31" s="1"/>
  <c r="G132" i="31" s="1"/>
  <c r="G133" i="31" s="1"/>
  <c r="G134" i="31" s="1"/>
  <c r="G135" i="31" s="1"/>
  <c r="G136" i="31" s="1"/>
  <c r="G137" i="31" s="1"/>
  <c r="G138" i="31" s="1"/>
  <c r="G139" i="31" s="1"/>
  <c r="G140" i="31" s="1"/>
  <c r="G141" i="31" s="1"/>
  <c r="G142" i="31" s="1"/>
  <c r="G143" i="31" s="1"/>
  <c r="G144" i="31" s="1"/>
  <c r="G145" i="31" s="1"/>
  <c r="G146" i="31" s="1"/>
  <c r="G147" i="31" s="1"/>
  <c r="G148" i="31" s="1"/>
  <c r="G149" i="31" s="1"/>
  <c r="C111" i="31"/>
  <c r="C112" i="31" s="1"/>
  <c r="C113" i="31" s="1"/>
  <c r="C114" i="31" s="1"/>
  <c r="C115" i="31" s="1"/>
  <c r="C116" i="31" s="1"/>
  <c r="C117" i="31" s="1"/>
  <c r="C118" i="31" s="1"/>
  <c r="C119" i="31" s="1"/>
  <c r="C120" i="31" s="1"/>
  <c r="C121" i="31" s="1"/>
  <c r="C122" i="31" s="1"/>
  <c r="C123" i="31" s="1"/>
  <c r="C124" i="31" s="1"/>
  <c r="C125" i="31" s="1"/>
  <c r="C126" i="31" s="1"/>
  <c r="C127" i="31" s="1"/>
  <c r="C128" i="31" s="1"/>
  <c r="C129" i="31" s="1"/>
  <c r="C130" i="31" s="1"/>
  <c r="C131" i="31" s="1"/>
  <c r="C132" i="31" s="1"/>
  <c r="C133" i="31" s="1"/>
  <c r="C134" i="31" s="1"/>
  <c r="C135" i="31" s="1"/>
  <c r="C136" i="31" s="1"/>
  <c r="C137" i="31" s="1"/>
  <c r="C138" i="31" s="1"/>
  <c r="C139" i="31" s="1"/>
  <c r="C140" i="31" s="1"/>
  <c r="C141" i="31" s="1"/>
  <c r="C142" i="31" s="1"/>
  <c r="C143" i="31" s="1"/>
  <c r="C144" i="31" s="1"/>
  <c r="C145" i="31" s="1"/>
  <c r="C146" i="31" s="1"/>
  <c r="C147" i="31" s="1"/>
  <c r="C148" i="31" s="1"/>
  <c r="C149" i="31" s="1"/>
  <c r="V99" i="31"/>
  <c r="X99" i="31" s="1"/>
  <c r="V100" i="31"/>
  <c r="X100" i="31" s="1"/>
  <c r="V101" i="31"/>
  <c r="X101" i="31" s="1"/>
  <c r="R99" i="31"/>
  <c r="T99" i="31" s="1"/>
  <c r="R100" i="31"/>
  <c r="T100" i="31" s="1"/>
  <c r="R101" i="31"/>
  <c r="T101" i="31" s="1"/>
  <c r="N99" i="31"/>
  <c r="P99" i="31" s="1"/>
  <c r="N100" i="31"/>
  <c r="P100" i="31" s="1"/>
  <c r="N101" i="31"/>
  <c r="P101" i="31" s="1"/>
  <c r="N102" i="31"/>
  <c r="P102" i="31" s="1"/>
  <c r="J99" i="31"/>
  <c r="L99" i="31" s="1"/>
  <c r="J100" i="31"/>
  <c r="L100" i="31" s="1"/>
  <c r="J101" i="31"/>
  <c r="L101" i="31" s="1"/>
  <c r="J102" i="31"/>
  <c r="L102" i="31" s="1"/>
  <c r="F99" i="31"/>
  <c r="H99" i="31" s="1"/>
  <c r="B99" i="31"/>
  <c r="D99" i="31" s="1"/>
  <c r="B100" i="31"/>
  <c r="D100" i="31" s="1"/>
  <c r="B101" i="31"/>
  <c r="D101" i="31" s="1"/>
  <c r="B102" i="31"/>
  <c r="D102" i="31" s="1"/>
  <c r="B103" i="31"/>
  <c r="D103" i="31" s="1"/>
  <c r="B104" i="31"/>
  <c r="D104" i="31" s="1"/>
  <c r="AL81" i="31"/>
  <c r="AN81" i="31" s="1"/>
  <c r="AL82" i="31"/>
  <c r="AN82" i="31" s="1"/>
  <c r="AL83" i="31"/>
  <c r="AN83" i="31" s="1"/>
  <c r="AH81" i="31"/>
  <c r="AJ81" i="31" s="1"/>
  <c r="AH82" i="31"/>
  <c r="AJ82" i="31" s="1"/>
  <c r="AH83" i="31"/>
  <c r="AJ83" i="31" s="1"/>
  <c r="AH84" i="31"/>
  <c r="AJ84" i="31" s="1"/>
  <c r="AD81" i="31"/>
  <c r="AF81" i="31" s="1"/>
  <c r="AD82" i="31"/>
  <c r="AF82" i="31" s="1"/>
  <c r="AD83" i="31"/>
  <c r="AF83" i="31" s="1"/>
  <c r="AD84" i="31"/>
  <c r="AF84" i="31" s="1"/>
  <c r="AD85" i="31"/>
  <c r="AF85" i="31" s="1"/>
  <c r="AD86" i="31"/>
  <c r="AF86" i="31" s="1"/>
  <c r="AD87" i="31"/>
  <c r="AF87" i="31" s="1"/>
  <c r="AD88" i="31"/>
  <c r="AF88" i="31" s="1"/>
  <c r="Z81" i="31"/>
  <c r="AB81" i="31" s="1"/>
  <c r="Z82" i="31"/>
  <c r="AB82" i="31" s="1"/>
  <c r="Z83" i="31"/>
  <c r="AB83" i="31" s="1"/>
  <c r="Z84" i="31"/>
  <c r="AB84" i="31" s="1"/>
  <c r="Z85" i="31"/>
  <c r="AB85" i="31" s="1"/>
  <c r="Z86" i="31"/>
  <c r="AB86" i="31" s="1"/>
  <c r="V81" i="31"/>
  <c r="W82" i="31" s="1"/>
  <c r="V82" i="31"/>
  <c r="V83" i="31"/>
  <c r="V84" i="31"/>
  <c r="V85" i="31"/>
  <c r="V86" i="31"/>
  <c r="V87" i="31"/>
  <c r="V88" i="31"/>
  <c r="R81" i="31"/>
  <c r="T81" i="31" s="1"/>
  <c r="R82" i="31"/>
  <c r="T82" i="31" s="1"/>
  <c r="R83" i="31"/>
  <c r="T83" i="31" s="1"/>
  <c r="R84" i="31"/>
  <c r="T84" i="31" s="1"/>
  <c r="R85" i="31"/>
  <c r="T85" i="31" s="1"/>
  <c r="R86" i="31"/>
  <c r="T86" i="31" s="1"/>
  <c r="R87" i="31"/>
  <c r="T87" i="31" s="1"/>
  <c r="R88" i="31"/>
  <c r="T88" i="31" s="1"/>
  <c r="N81" i="31"/>
  <c r="P81" i="31" s="1"/>
  <c r="N82" i="31"/>
  <c r="N83" i="31"/>
  <c r="N84" i="31"/>
  <c r="N85" i="31"/>
  <c r="N86" i="31"/>
  <c r="N87" i="31"/>
  <c r="N88" i="31"/>
  <c r="J81" i="31"/>
  <c r="L81" i="31" s="1"/>
  <c r="J82" i="31"/>
  <c r="L82" i="31" s="1"/>
  <c r="J83" i="31"/>
  <c r="L83" i="31" s="1"/>
  <c r="J84" i="31"/>
  <c r="L84" i="31" s="1"/>
  <c r="J85" i="31"/>
  <c r="L85" i="31" s="1"/>
  <c r="J86" i="31"/>
  <c r="L86" i="31" s="1"/>
  <c r="J87" i="31"/>
  <c r="L87" i="31" s="1"/>
  <c r="J88" i="31"/>
  <c r="L88" i="31" s="1"/>
  <c r="J89" i="31"/>
  <c r="L89" i="31" s="1"/>
  <c r="J90" i="31"/>
  <c r="L90" i="31" s="1"/>
  <c r="J91" i="31"/>
  <c r="L91" i="31" s="1"/>
  <c r="J92" i="31"/>
  <c r="L92" i="31" s="1"/>
  <c r="J93" i="31"/>
  <c r="L93" i="31" s="1"/>
  <c r="F81" i="31"/>
  <c r="H81" i="31" s="1"/>
  <c r="F82" i="31"/>
  <c r="F83" i="31"/>
  <c r="F84" i="31"/>
  <c r="F85" i="31"/>
  <c r="F86" i="31"/>
  <c r="F87" i="31"/>
  <c r="F88" i="31"/>
  <c r="F89" i="31"/>
  <c r="F90" i="31"/>
  <c r="F91" i="31"/>
  <c r="F92" i="31"/>
  <c r="F93" i="31"/>
  <c r="B81" i="31"/>
  <c r="D81" i="31" s="1"/>
  <c r="B82" i="31"/>
  <c r="D82" i="31" s="1"/>
  <c r="B83" i="31"/>
  <c r="D83" i="31" s="1"/>
  <c r="B84" i="31"/>
  <c r="D84" i="31" s="1"/>
  <c r="B85" i="31"/>
  <c r="D85" i="31" s="1"/>
  <c r="B86" i="31"/>
  <c r="D86" i="31" s="1"/>
  <c r="B87" i="31"/>
  <c r="D87" i="31" s="1"/>
  <c r="B88" i="31"/>
  <c r="D88" i="31" s="1"/>
  <c r="B89" i="31"/>
  <c r="D89" i="31" s="1"/>
  <c r="B90" i="31"/>
  <c r="D90" i="31" s="1"/>
  <c r="B91" i="31"/>
  <c r="D91" i="31" s="1"/>
  <c r="B110" i="31"/>
  <c r="D110" i="31" s="1"/>
  <c r="B111" i="31"/>
  <c r="B112" i="31"/>
  <c r="B113" i="31"/>
  <c r="B114" i="31"/>
  <c r="B115" i="31"/>
  <c r="B116" i="31"/>
  <c r="B117" i="31"/>
  <c r="B118" i="31"/>
  <c r="B119" i="31"/>
  <c r="B120" i="31"/>
  <c r="B121" i="31"/>
  <c r="B122" i="31"/>
  <c r="B123" i="31"/>
  <c r="B124" i="31"/>
  <c r="B125" i="31"/>
  <c r="B126" i="31"/>
  <c r="B127" i="31"/>
  <c r="B128" i="31"/>
  <c r="B129" i="31"/>
  <c r="B130" i="31"/>
  <c r="B131" i="31"/>
  <c r="B132" i="31"/>
  <c r="B133" i="31"/>
  <c r="B134" i="31"/>
  <c r="B135" i="31"/>
  <c r="B136" i="31"/>
  <c r="B137" i="31"/>
  <c r="B138" i="31"/>
  <c r="B139" i="31"/>
  <c r="B140" i="31"/>
  <c r="B141" i="31"/>
  <c r="B142" i="31"/>
  <c r="B143" i="31"/>
  <c r="B144" i="31"/>
  <c r="B145" i="31"/>
  <c r="B146" i="31"/>
  <c r="B147" i="31"/>
  <c r="B148" i="31"/>
  <c r="B149" i="31"/>
  <c r="AA49" i="31"/>
  <c r="AC49" i="31" s="1"/>
  <c r="AA50" i="31"/>
  <c r="AC50" i="31" s="1"/>
  <c r="AA51" i="31"/>
  <c r="AC51" i="31" s="1"/>
  <c r="AA52" i="31"/>
  <c r="AC52" i="31" s="1"/>
  <c r="AA53" i="31"/>
  <c r="AC53" i="31" s="1"/>
  <c r="AA54" i="31"/>
  <c r="AC54" i="31" s="1"/>
  <c r="R66" i="31"/>
  <c r="T66" i="31" s="1"/>
  <c r="R67" i="31"/>
  <c r="T67" i="31" s="1"/>
  <c r="R68" i="31"/>
  <c r="T68" i="31" s="1"/>
  <c r="R69" i="31"/>
  <c r="T69" i="31" s="1"/>
  <c r="R70" i="31"/>
  <c r="T70" i="31" s="1"/>
  <c r="N66" i="31"/>
  <c r="P66" i="31" s="1"/>
  <c r="N67" i="31"/>
  <c r="P67" i="31" s="1"/>
  <c r="N68" i="31"/>
  <c r="P68" i="31" s="1"/>
  <c r="N69" i="31"/>
  <c r="P69" i="31" s="1"/>
  <c r="N70" i="31"/>
  <c r="P70" i="31" s="1"/>
  <c r="N71" i="31"/>
  <c r="P71" i="31" s="1"/>
  <c r="N72" i="31"/>
  <c r="P72" i="31" s="1"/>
  <c r="N73" i="31"/>
  <c r="P73" i="31" s="1"/>
  <c r="J66" i="31"/>
  <c r="L66" i="31" s="1"/>
  <c r="J67" i="31"/>
  <c r="L67" i="31" s="1"/>
  <c r="J68" i="31"/>
  <c r="L68" i="31" s="1"/>
  <c r="J69" i="31"/>
  <c r="L69" i="31" s="1"/>
  <c r="J70" i="31"/>
  <c r="L70" i="31" s="1"/>
  <c r="J71" i="31"/>
  <c r="L71" i="31" s="1"/>
  <c r="J72" i="31"/>
  <c r="L72" i="31" s="1"/>
  <c r="J73" i="31"/>
  <c r="L73" i="31" s="1"/>
  <c r="F66" i="31"/>
  <c r="H66" i="31" s="1"/>
  <c r="F67" i="31"/>
  <c r="H67" i="31" s="1"/>
  <c r="F68" i="31"/>
  <c r="H68" i="31" s="1"/>
  <c r="F69" i="31"/>
  <c r="H69" i="31" s="1"/>
  <c r="F70" i="31"/>
  <c r="H70" i="31" s="1"/>
  <c r="F71" i="31"/>
  <c r="H71" i="31" s="1"/>
  <c r="F72" i="31"/>
  <c r="H72" i="31" s="1"/>
  <c r="F73" i="31"/>
  <c r="H73" i="31" s="1"/>
  <c r="F74" i="31"/>
  <c r="H74" i="31" s="1"/>
  <c r="F75" i="31"/>
  <c r="H75" i="31" s="1"/>
  <c r="B66" i="31"/>
  <c r="D66" i="31" s="1"/>
  <c r="B67" i="31"/>
  <c r="D67" i="31" s="1"/>
  <c r="B68" i="31"/>
  <c r="D68" i="31" s="1"/>
  <c r="B69" i="31"/>
  <c r="D69" i="31" s="1"/>
  <c r="B70" i="31"/>
  <c r="D70" i="31" s="1"/>
  <c r="B71" i="31"/>
  <c r="D71" i="31" s="1"/>
  <c r="V49" i="31"/>
  <c r="X49" i="31" s="1"/>
  <c r="V50" i="31"/>
  <c r="X50" i="31" s="1"/>
  <c r="V51" i="31"/>
  <c r="X51" i="31" s="1"/>
  <c r="V52" i="31"/>
  <c r="X52" i="31" s="1"/>
  <c r="V53" i="31"/>
  <c r="X53" i="31" s="1"/>
  <c r="V54" i="31"/>
  <c r="X54" i="31" s="1"/>
  <c r="V55" i="31"/>
  <c r="X55" i="31" s="1"/>
  <c r="V56" i="31"/>
  <c r="X56" i="31" s="1"/>
  <c r="V57" i="31"/>
  <c r="X57" i="31" s="1"/>
  <c r="V58" i="31"/>
  <c r="X58" i="31" s="1"/>
  <c r="V59" i="31"/>
  <c r="X59" i="31" s="1"/>
  <c r="R50" i="31"/>
  <c r="T50" i="31" s="1"/>
  <c r="R51" i="31"/>
  <c r="T51" i="31" s="1"/>
  <c r="R52" i="31"/>
  <c r="T52" i="31" s="1"/>
  <c r="R53" i="31"/>
  <c r="T53" i="31" s="1"/>
  <c r="R54" i="31"/>
  <c r="T54" i="31" s="1"/>
  <c r="R55" i="31"/>
  <c r="T55" i="31" s="1"/>
  <c r="R56" i="31"/>
  <c r="T56" i="31" s="1"/>
  <c r="R57" i="31"/>
  <c r="T57" i="31" s="1"/>
  <c r="R58" i="31"/>
  <c r="T58" i="31" s="1"/>
  <c r="R59" i="31"/>
  <c r="T59" i="31" s="1"/>
  <c r="R60" i="31"/>
  <c r="T60" i="31" s="1"/>
  <c r="R49" i="31"/>
  <c r="T49" i="31" s="1"/>
  <c r="N50" i="31"/>
  <c r="P50" i="31" s="1"/>
  <c r="N51" i="31"/>
  <c r="P51" i="31" s="1"/>
  <c r="N52" i="31"/>
  <c r="P52" i="31" s="1"/>
  <c r="N53" i="31"/>
  <c r="P53" i="31" s="1"/>
  <c r="N54" i="31"/>
  <c r="P54" i="31" s="1"/>
  <c r="N49" i="31"/>
  <c r="P49" i="31" s="1"/>
  <c r="J50" i="31"/>
  <c r="L50" i="31" s="1"/>
  <c r="J51" i="31"/>
  <c r="L51" i="31" s="1"/>
  <c r="J52" i="31"/>
  <c r="L52" i="31" s="1"/>
  <c r="J53" i="31"/>
  <c r="L53" i="31" s="1"/>
  <c r="J54" i="31"/>
  <c r="L54" i="31" s="1"/>
  <c r="J55" i="31"/>
  <c r="L55" i="31" s="1"/>
  <c r="J56" i="31"/>
  <c r="L56" i="31" s="1"/>
  <c r="J57" i="31"/>
  <c r="L57" i="31" s="1"/>
  <c r="J58" i="31"/>
  <c r="L58" i="31" s="1"/>
  <c r="J59" i="31"/>
  <c r="L59" i="31" s="1"/>
  <c r="J49" i="31"/>
  <c r="L49" i="31" s="1"/>
  <c r="F50" i="31"/>
  <c r="H50" i="31" s="1"/>
  <c r="F51" i="31"/>
  <c r="H51" i="31" s="1"/>
  <c r="F52" i="31"/>
  <c r="H52" i="31" s="1"/>
  <c r="F53" i="31"/>
  <c r="H53" i="31" s="1"/>
  <c r="F54" i="31"/>
  <c r="H54" i="31" s="1"/>
  <c r="F49" i="31"/>
  <c r="H49" i="31" s="1"/>
  <c r="B50" i="31"/>
  <c r="D50" i="31" s="1"/>
  <c r="B51" i="31"/>
  <c r="D51" i="31" s="1"/>
  <c r="B52" i="31"/>
  <c r="D52" i="31" s="1"/>
  <c r="B53" i="31"/>
  <c r="D53" i="31" s="1"/>
  <c r="B54" i="31"/>
  <c r="D54" i="31" s="1"/>
  <c r="B55" i="31"/>
  <c r="D55" i="31" s="1"/>
  <c r="B56" i="31"/>
  <c r="D56" i="31" s="1"/>
  <c r="B57" i="31"/>
  <c r="D57" i="31" s="1"/>
  <c r="B58" i="31"/>
  <c r="D58" i="31" s="1"/>
  <c r="B59" i="31"/>
  <c r="D59" i="31" s="1"/>
  <c r="B60" i="31"/>
  <c r="D60" i="31" s="1"/>
  <c r="B49" i="31"/>
  <c r="D49" i="31" s="1"/>
  <c r="V39" i="31"/>
  <c r="X39" i="31" s="1"/>
  <c r="V40" i="31"/>
  <c r="X40" i="31" s="1"/>
  <c r="V38" i="31"/>
  <c r="X38" i="31" s="1"/>
  <c r="R39" i="31"/>
  <c r="T39" i="31" s="1"/>
  <c r="R38" i="31"/>
  <c r="T38" i="31" s="1"/>
  <c r="N39" i="31"/>
  <c r="P39" i="31" s="1"/>
  <c r="N40" i="31"/>
  <c r="P40" i="31" s="1"/>
  <c r="N41" i="31"/>
  <c r="P41" i="31" s="1"/>
  <c r="N42" i="31"/>
  <c r="P42" i="31" s="1"/>
  <c r="N38" i="31"/>
  <c r="P38" i="31" s="1"/>
  <c r="J39" i="31"/>
  <c r="L39" i="31" s="1"/>
  <c r="J40" i="31"/>
  <c r="L40" i="31" s="1"/>
  <c r="J41" i="31"/>
  <c r="L41" i="31" s="1"/>
  <c r="J38" i="31"/>
  <c r="L38" i="31" s="1"/>
  <c r="F39" i="31"/>
  <c r="H39" i="31" s="1"/>
  <c r="F40" i="31"/>
  <c r="H40" i="31" s="1"/>
  <c r="F41" i="31"/>
  <c r="H41" i="31" s="1"/>
  <c r="F42" i="31"/>
  <c r="H42" i="31" s="1"/>
  <c r="F38" i="31"/>
  <c r="H38" i="31" s="1"/>
  <c r="B39" i="31"/>
  <c r="D39" i="31" s="1"/>
  <c r="B40" i="31"/>
  <c r="D40" i="31" s="1"/>
  <c r="B41" i="31"/>
  <c r="D41" i="31" s="1"/>
  <c r="B42" i="31"/>
  <c r="D42" i="31" s="1"/>
  <c r="B43" i="31"/>
  <c r="D43" i="31" s="1"/>
  <c r="B38" i="31"/>
  <c r="D38" i="31" s="1"/>
  <c r="AL27" i="31"/>
  <c r="AN27" i="31" s="1"/>
  <c r="AL28" i="31"/>
  <c r="AN28" i="31" s="1"/>
  <c r="AL29" i="31"/>
  <c r="AN29" i="31" s="1"/>
  <c r="AL30" i="31"/>
  <c r="AN30" i="31" s="1"/>
  <c r="AL26" i="31"/>
  <c r="AN26" i="31" s="1"/>
  <c r="AH27" i="31"/>
  <c r="AJ27" i="31" s="1"/>
  <c r="AH28" i="31"/>
  <c r="AJ28" i="31" s="1"/>
  <c r="AH29" i="31"/>
  <c r="AJ29" i="31" s="1"/>
  <c r="AH26" i="31"/>
  <c r="AJ26" i="31" s="1"/>
  <c r="AD27" i="31"/>
  <c r="AF27" i="31" s="1"/>
  <c r="AD28" i="31"/>
  <c r="AF28" i="31" s="1"/>
  <c r="AD29" i="31"/>
  <c r="AF29" i="31" s="1"/>
  <c r="AD26" i="31"/>
  <c r="AF26" i="31" s="1"/>
  <c r="Z27" i="31"/>
  <c r="AB27" i="31" s="1"/>
  <c r="Z28" i="31"/>
  <c r="Z29" i="31"/>
  <c r="AB29" i="31" s="1"/>
  <c r="Z30" i="31"/>
  <c r="AB30" i="31" s="1"/>
  <c r="Z31" i="31"/>
  <c r="AB31" i="31" s="1"/>
  <c r="AB28" i="31"/>
  <c r="Z26" i="31"/>
  <c r="AB26" i="31" s="1"/>
  <c r="V27" i="31"/>
  <c r="X27" i="31" s="1"/>
  <c r="V28" i="31"/>
  <c r="X28" i="31" s="1"/>
  <c r="V29" i="31"/>
  <c r="X29" i="31" s="1"/>
  <c r="V30" i="31"/>
  <c r="X30" i="31" s="1"/>
  <c r="V31" i="31"/>
  <c r="X31" i="31" s="1"/>
  <c r="V26" i="31"/>
  <c r="X26" i="31" s="1"/>
  <c r="R27" i="31"/>
  <c r="T27" i="31" s="1"/>
  <c r="R28" i="31"/>
  <c r="T28" i="31" s="1"/>
  <c r="R29" i="31"/>
  <c r="T29" i="31" s="1"/>
  <c r="R30" i="31"/>
  <c r="T30" i="31" s="1"/>
  <c r="R31" i="31"/>
  <c r="T31" i="31" s="1"/>
  <c r="R26" i="31"/>
  <c r="T26" i="31" s="1"/>
  <c r="N27" i="31"/>
  <c r="P27" i="31" s="1"/>
  <c r="N28" i="31"/>
  <c r="P28" i="31" s="1"/>
  <c r="N29" i="31"/>
  <c r="P29" i="31" s="1"/>
  <c r="N30" i="31"/>
  <c r="P30" i="31" s="1"/>
  <c r="N31" i="31"/>
  <c r="P31" i="31" s="1"/>
  <c r="N32" i="31"/>
  <c r="P32" i="31" s="1"/>
  <c r="N26" i="31"/>
  <c r="P26" i="31" s="1"/>
  <c r="J27" i="31"/>
  <c r="L27" i="31" s="1"/>
  <c r="J28" i="31"/>
  <c r="L28" i="31" s="1"/>
  <c r="J29" i="31"/>
  <c r="L29" i="31" s="1"/>
  <c r="J30" i="31"/>
  <c r="L30" i="31" s="1"/>
  <c r="J31" i="31"/>
  <c r="L31" i="31" s="1"/>
  <c r="J26" i="31"/>
  <c r="L26" i="31" s="1"/>
  <c r="F27" i="31"/>
  <c r="H27" i="31" s="1"/>
  <c r="F28" i="31"/>
  <c r="H28" i="31" s="1"/>
  <c r="F29" i="31"/>
  <c r="H29" i="31" s="1"/>
  <c r="F30" i="31"/>
  <c r="H30" i="31" s="1"/>
  <c r="F31" i="31"/>
  <c r="H31" i="31" s="1"/>
  <c r="F32" i="31"/>
  <c r="H32" i="31" s="1"/>
  <c r="F26" i="31"/>
  <c r="H26" i="31" s="1"/>
  <c r="B27" i="31"/>
  <c r="D27" i="31" s="1"/>
  <c r="B28" i="31"/>
  <c r="D28" i="31" s="1"/>
  <c r="B29" i="31"/>
  <c r="D29" i="31" s="1"/>
  <c r="B30" i="31"/>
  <c r="D30" i="31" s="1"/>
  <c r="B31" i="31"/>
  <c r="D31" i="31" s="1"/>
  <c r="B32" i="31"/>
  <c r="D32" i="31" s="1"/>
  <c r="B26" i="31"/>
  <c r="D26" i="31" s="1"/>
  <c r="R16" i="31"/>
  <c r="R17" i="31"/>
  <c r="R18" i="31"/>
  <c r="R19" i="31"/>
  <c r="T16" i="31"/>
  <c r="T17" i="31"/>
  <c r="T18" i="31"/>
  <c r="T19" i="31"/>
  <c r="R15" i="31"/>
  <c r="T15" i="31" s="1"/>
  <c r="N16" i="31"/>
  <c r="N17" i="31"/>
  <c r="P16" i="31"/>
  <c r="P17" i="31"/>
  <c r="N15" i="31"/>
  <c r="P15" i="31" s="1"/>
  <c r="J16" i="31"/>
  <c r="L16" i="31" s="1"/>
  <c r="J17" i="31"/>
  <c r="L17" i="31" s="1"/>
  <c r="J18" i="31"/>
  <c r="L18" i="31" s="1"/>
  <c r="J19" i="31"/>
  <c r="L19" i="31" s="1"/>
  <c r="J15" i="31"/>
  <c r="L15" i="31" s="1"/>
  <c r="F16" i="31"/>
  <c r="F17" i="31"/>
  <c r="F18" i="31"/>
  <c r="F19" i="31"/>
  <c r="F20" i="31"/>
  <c r="F15" i="31"/>
  <c r="H16" i="31"/>
  <c r="H17" i="31"/>
  <c r="H18" i="31"/>
  <c r="H19" i="31"/>
  <c r="H20" i="31"/>
  <c r="H15" i="31"/>
  <c r="B16" i="31"/>
  <c r="B17" i="31"/>
  <c r="B18" i="31"/>
  <c r="B19" i="31"/>
  <c r="B20" i="31"/>
  <c r="B15" i="31"/>
  <c r="D28" i="28"/>
  <c r="C5" i="14"/>
  <c r="K12" i="20"/>
  <c r="K11" i="20"/>
  <c r="K10" i="20"/>
  <c r="K9" i="20"/>
  <c r="K8" i="20"/>
  <c r="K7" i="20"/>
  <c r="K6" i="20"/>
  <c r="K5" i="20"/>
  <c r="K4" i="20"/>
  <c r="K3" i="20"/>
  <c r="I5" i="31" l="1"/>
  <c r="H149" i="31"/>
  <c r="D10" i="22"/>
  <c r="L28" i="29"/>
  <c r="L30" i="29"/>
  <c r="M29" i="29"/>
  <c r="G13" i="22"/>
  <c r="G16" i="22"/>
  <c r="F10" i="22"/>
  <c r="D11" i="22"/>
  <c r="F11" i="22"/>
  <c r="D12" i="22"/>
  <c r="F12" i="22"/>
  <c r="AN4" i="2"/>
  <c r="M87" i="2"/>
  <c r="M85" i="2"/>
  <c r="M83" i="2"/>
  <c r="M81" i="2"/>
  <c r="M79" i="2"/>
  <c r="M77" i="2"/>
  <c r="M75" i="2"/>
  <c r="M73" i="2"/>
  <c r="M71" i="2"/>
  <c r="M69" i="2"/>
  <c r="M67" i="2"/>
  <c r="M65" i="2"/>
  <c r="M63" i="2"/>
  <c r="M61" i="2"/>
  <c r="M59" i="2"/>
  <c r="M57" i="2"/>
  <c r="M55" i="2"/>
  <c r="M53" i="2"/>
  <c r="M88" i="2"/>
  <c r="M86" i="2"/>
  <c r="M84" i="2"/>
  <c r="M82" i="2"/>
  <c r="M80" i="2"/>
  <c r="M78" i="2"/>
  <c r="M76" i="2"/>
  <c r="M74" i="2"/>
  <c r="M72" i="2"/>
  <c r="M70" i="2"/>
  <c r="M68" i="2"/>
  <c r="M66" i="2"/>
  <c r="M64" i="2"/>
  <c r="M62" i="2"/>
  <c r="M60" i="2"/>
  <c r="M58" i="2"/>
  <c r="M56" i="2"/>
  <c r="M54" i="2"/>
  <c r="F19" i="12"/>
  <c r="B18" i="12"/>
  <c r="D18" i="12"/>
  <c r="B28" i="12"/>
  <c r="B26" i="12"/>
  <c r="B24" i="12"/>
  <c r="B22" i="12"/>
  <c r="B20" i="12"/>
  <c r="D27" i="12"/>
  <c r="D25" i="12"/>
  <c r="D23" i="12"/>
  <c r="D21" i="12"/>
  <c r="D19" i="12"/>
  <c r="F28" i="12"/>
  <c r="F26" i="12"/>
  <c r="F24" i="12"/>
  <c r="F22" i="12"/>
  <c r="F20" i="12"/>
  <c r="F18" i="12"/>
  <c r="B27" i="12"/>
  <c r="B25" i="12"/>
  <c r="B23" i="12"/>
  <c r="B21" i="12"/>
  <c r="B19" i="12"/>
  <c r="D28" i="12"/>
  <c r="D26" i="12"/>
  <c r="D24" i="12"/>
  <c r="D22" i="12"/>
  <c r="D20" i="12"/>
  <c r="F27" i="12"/>
  <c r="F25" i="12"/>
  <c r="F23" i="12"/>
  <c r="F21" i="12"/>
  <c r="M4" i="2"/>
  <c r="M49" i="2" s="1"/>
  <c r="AM4" i="2"/>
  <c r="AL4" i="2"/>
  <c r="I4" i="31"/>
  <c r="I3" i="31"/>
  <c r="I10" i="31"/>
  <c r="W83" i="31"/>
  <c r="W84" i="31" s="1"/>
  <c r="X82" i="31"/>
  <c r="I9" i="31"/>
  <c r="I6" i="31"/>
  <c r="G82" i="31"/>
  <c r="G83" i="31" s="1"/>
  <c r="G84" i="31" s="1"/>
  <c r="G85" i="31" s="1"/>
  <c r="G86" i="31" s="1"/>
  <c r="G87" i="31" s="1"/>
  <c r="G88" i="31" s="1"/>
  <c r="G89" i="31" s="1"/>
  <c r="G90" i="31" s="1"/>
  <c r="G91" i="31" s="1"/>
  <c r="G92" i="31" s="1"/>
  <c r="G93" i="31" s="1"/>
  <c r="H93" i="31" s="1"/>
  <c r="O82" i="31"/>
  <c r="X81" i="31"/>
  <c r="D149" i="31"/>
  <c r="I2" i="31"/>
  <c r="D147" i="31"/>
  <c r="D145" i="31"/>
  <c r="D143" i="31"/>
  <c r="D141" i="31"/>
  <c r="D139" i="31"/>
  <c r="D137" i="31"/>
  <c r="D135" i="31"/>
  <c r="D133" i="31"/>
  <c r="D131" i="31"/>
  <c r="D129" i="31"/>
  <c r="D127" i="31"/>
  <c r="D125" i="31"/>
  <c r="D123" i="31"/>
  <c r="D121" i="31"/>
  <c r="D119" i="31"/>
  <c r="D117" i="31"/>
  <c r="D115" i="31"/>
  <c r="D113" i="31"/>
  <c r="D111" i="31"/>
  <c r="H147" i="31"/>
  <c r="H145" i="31"/>
  <c r="H143" i="31"/>
  <c r="H141" i="31"/>
  <c r="H139" i="31"/>
  <c r="H137" i="31"/>
  <c r="H135" i="31"/>
  <c r="H133" i="31"/>
  <c r="H131" i="31"/>
  <c r="H129" i="31"/>
  <c r="H127" i="31"/>
  <c r="H125" i="31"/>
  <c r="H123" i="31"/>
  <c r="H121" i="31"/>
  <c r="H119" i="31"/>
  <c r="H117" i="31"/>
  <c r="H115" i="31"/>
  <c r="H113" i="31"/>
  <c r="H111" i="31"/>
  <c r="D148" i="31"/>
  <c r="D146" i="31"/>
  <c r="D144" i="31"/>
  <c r="D142" i="31"/>
  <c r="D140" i="31"/>
  <c r="D138" i="31"/>
  <c r="D136" i="31"/>
  <c r="D134" i="31"/>
  <c r="D132" i="31"/>
  <c r="D130" i="31"/>
  <c r="D128" i="31"/>
  <c r="D126" i="31"/>
  <c r="D124" i="31"/>
  <c r="D122" i="31"/>
  <c r="D120" i="31"/>
  <c r="D118" i="31"/>
  <c r="D116" i="31"/>
  <c r="D114" i="31"/>
  <c r="D112" i="31"/>
  <c r="H148" i="31"/>
  <c r="H146" i="31"/>
  <c r="H144" i="31"/>
  <c r="H142" i="31"/>
  <c r="H140" i="31"/>
  <c r="H138" i="31"/>
  <c r="H136" i="31"/>
  <c r="H134" i="31"/>
  <c r="H132" i="31"/>
  <c r="H130" i="31"/>
  <c r="H128" i="31"/>
  <c r="H126" i="31"/>
  <c r="H124" i="31"/>
  <c r="H122" i="31"/>
  <c r="H120" i="31"/>
  <c r="H118" i="31"/>
  <c r="H116" i="31"/>
  <c r="H114" i="31"/>
  <c r="H112" i="31"/>
  <c r="C6" i="14"/>
  <c r="A2" i="27"/>
  <c r="G1" i="28"/>
  <c r="H89" i="31" l="1"/>
  <c r="X83" i="31"/>
  <c r="H86" i="31"/>
  <c r="H85" i="31"/>
  <c r="H82" i="31"/>
  <c r="H90" i="31"/>
  <c r="H83" i="31"/>
  <c r="H87" i="31"/>
  <c r="H91" i="31"/>
  <c r="H84" i="31"/>
  <c r="H88" i="31"/>
  <c r="H92" i="31"/>
  <c r="M50" i="2"/>
  <c r="O83" i="31"/>
  <c r="P82" i="31"/>
  <c r="W85" i="31"/>
  <c r="X84" i="31"/>
  <c r="C7" i="14"/>
  <c r="C8" i="14"/>
  <c r="B107" i="9"/>
  <c r="N16" i="29"/>
  <c r="K14" i="29"/>
  <c r="M14" i="29" s="1"/>
  <c r="K13" i="29"/>
  <c r="M13" i="29" s="1"/>
  <c r="K12" i="29"/>
  <c r="M12" i="29" s="1"/>
  <c r="K11" i="29"/>
  <c r="C28" i="29"/>
  <c r="K10" i="29"/>
  <c r="M10" i="29" s="1"/>
  <c r="C27" i="29"/>
  <c r="E27" i="29" s="1"/>
  <c r="K9" i="29"/>
  <c r="K27" i="29"/>
  <c r="M27" i="29" s="1"/>
  <c r="C26" i="29"/>
  <c r="E26" i="29" s="1"/>
  <c r="K8" i="29"/>
  <c r="M8" i="29" s="1"/>
  <c r="K26" i="29"/>
  <c r="M26" i="29" s="1"/>
  <c r="C25" i="29"/>
  <c r="E25" i="29" s="1"/>
  <c r="K7" i="29"/>
  <c r="M7" i="29" s="1"/>
  <c r="K25" i="29"/>
  <c r="M25" i="29" s="1"/>
  <c r="C24" i="29"/>
  <c r="E24" i="29" s="1"/>
  <c r="K6" i="29"/>
  <c r="M6" i="29" s="1"/>
  <c r="K24" i="29"/>
  <c r="M24" i="29" s="1"/>
  <c r="C23" i="29"/>
  <c r="E23" i="29" s="1"/>
  <c r="K5" i="29"/>
  <c r="M5" i="29" s="1"/>
  <c r="K23" i="29"/>
  <c r="M23" i="29" s="1"/>
  <c r="I20" i="29"/>
  <c r="N32" i="29" s="1"/>
  <c r="B2" i="29"/>
  <c r="A2" i="29"/>
  <c r="AE8" i="2"/>
  <c r="AE51" i="31" s="1"/>
  <c r="AG51" i="31" s="1"/>
  <c r="AE10" i="2"/>
  <c r="AE53" i="31" s="1"/>
  <c r="AG53" i="31" s="1"/>
  <c r="AE5" i="2"/>
  <c r="AE11" i="2"/>
  <c r="AE54" i="31" s="1"/>
  <c r="AG54" i="31" s="1"/>
  <c r="AE13" i="2"/>
  <c r="AE56" i="31" s="1"/>
  <c r="AG56" i="31" s="1"/>
  <c r="AE12" i="2"/>
  <c r="AE55" i="31" s="1"/>
  <c r="AG55" i="31" s="1"/>
  <c r="AE14" i="2"/>
  <c r="AE57" i="31" s="1"/>
  <c r="AG57" i="31" s="1"/>
  <c r="AE15" i="2"/>
  <c r="AE58" i="31" s="1"/>
  <c r="AG58" i="31" s="1"/>
  <c r="E28" i="29" l="1"/>
  <c r="M51" i="2"/>
  <c r="M89" i="2" s="1"/>
  <c r="O84" i="31"/>
  <c r="P83" i="31"/>
  <c r="X85" i="31"/>
  <c r="W86" i="31"/>
  <c r="N33" i="29"/>
  <c r="L5" i="29"/>
  <c r="D23" i="29"/>
  <c r="L24" i="29"/>
  <c r="L7" i="29"/>
  <c r="D25" i="29"/>
  <c r="L26" i="29"/>
  <c r="D27" i="29"/>
  <c r="L12" i="29"/>
  <c r="L13" i="29"/>
  <c r="F30" i="29"/>
  <c r="L23" i="29"/>
  <c r="L6" i="29"/>
  <c r="D24" i="29"/>
  <c r="L25" i="29"/>
  <c r="L8" i="29"/>
  <c r="D26" i="29"/>
  <c r="L27" i="29"/>
  <c r="M9" i="29"/>
  <c r="L10" i="29"/>
  <c r="D28" i="29"/>
  <c r="M11" i="29"/>
  <c r="L14" i="29"/>
  <c r="L9" i="29"/>
  <c r="L11" i="29"/>
  <c r="D29" i="28"/>
  <c r="G29" i="28" s="1"/>
  <c r="C29" i="28"/>
  <c r="Y3" i="2"/>
  <c r="X5" i="2"/>
  <c r="P3" i="3"/>
  <c r="Q3" i="3"/>
  <c r="R3" i="3"/>
  <c r="S3" i="3"/>
  <c r="T3" i="3"/>
  <c r="U3" i="3"/>
  <c r="V3" i="3"/>
  <c r="W3" i="3"/>
  <c r="X3" i="3"/>
  <c r="Y3" i="3"/>
  <c r="Z3" i="3"/>
  <c r="AA3" i="3"/>
  <c r="P4" i="3"/>
  <c r="Q4" i="3"/>
  <c r="R4" i="3"/>
  <c r="S4" i="3"/>
  <c r="T4" i="3"/>
  <c r="U4" i="3"/>
  <c r="V4" i="3"/>
  <c r="W4" i="3"/>
  <c r="X4" i="3"/>
  <c r="Y4" i="3"/>
  <c r="Z4" i="3"/>
  <c r="AA4" i="3"/>
  <c r="P5" i="3"/>
  <c r="Q5" i="3"/>
  <c r="R5" i="3"/>
  <c r="S5" i="3"/>
  <c r="T5" i="3"/>
  <c r="U5" i="3"/>
  <c r="V5" i="3"/>
  <c r="W5" i="3"/>
  <c r="X5" i="3"/>
  <c r="Y5" i="3"/>
  <c r="Z5" i="3"/>
  <c r="AA5" i="3"/>
  <c r="P6" i="3"/>
  <c r="Q6" i="3"/>
  <c r="R6" i="3"/>
  <c r="S6" i="3"/>
  <c r="T6" i="3"/>
  <c r="U6" i="3"/>
  <c r="V6" i="3"/>
  <c r="W6" i="3"/>
  <c r="X6" i="3"/>
  <c r="Y6" i="3"/>
  <c r="Z6" i="3"/>
  <c r="AA6" i="3"/>
  <c r="P7" i="3"/>
  <c r="Q7" i="3"/>
  <c r="R7" i="3"/>
  <c r="S7" i="3"/>
  <c r="T7" i="3"/>
  <c r="U7" i="3"/>
  <c r="V7" i="3"/>
  <c r="W7" i="3"/>
  <c r="X7" i="3"/>
  <c r="Y7" i="3"/>
  <c r="Z7" i="3"/>
  <c r="AA7" i="3"/>
  <c r="P8" i="3"/>
  <c r="Q8" i="3"/>
  <c r="R8" i="3"/>
  <c r="S8" i="3"/>
  <c r="T8" i="3"/>
  <c r="U8" i="3"/>
  <c r="V8" i="3"/>
  <c r="W8" i="3"/>
  <c r="X8" i="3"/>
  <c r="Y8" i="3"/>
  <c r="Z8" i="3"/>
  <c r="AA8" i="3"/>
  <c r="P9" i="3"/>
  <c r="Q9" i="3"/>
  <c r="R9" i="3"/>
  <c r="S9" i="3"/>
  <c r="T9" i="3"/>
  <c r="U9" i="3"/>
  <c r="V9" i="3"/>
  <c r="W9" i="3"/>
  <c r="X9" i="3"/>
  <c r="Y9" i="3"/>
  <c r="Z9" i="3"/>
  <c r="AA9" i="3"/>
  <c r="P10" i="3"/>
  <c r="Q10" i="3"/>
  <c r="R10" i="3"/>
  <c r="S10" i="3"/>
  <c r="T10" i="3"/>
  <c r="U10" i="3"/>
  <c r="V10" i="3"/>
  <c r="W10" i="3"/>
  <c r="X10" i="3"/>
  <c r="Y10" i="3"/>
  <c r="Z10" i="3"/>
  <c r="AA10" i="3"/>
  <c r="P11" i="3"/>
  <c r="Q11" i="3"/>
  <c r="R11" i="3"/>
  <c r="S11" i="3"/>
  <c r="T11" i="3"/>
  <c r="U11" i="3"/>
  <c r="V11" i="3"/>
  <c r="W11" i="3"/>
  <c r="X11" i="3"/>
  <c r="Y11" i="3"/>
  <c r="Z11" i="3"/>
  <c r="AA11" i="3"/>
  <c r="P12" i="3"/>
  <c r="Q12" i="3"/>
  <c r="R12" i="3"/>
  <c r="S12" i="3"/>
  <c r="T12" i="3"/>
  <c r="U12" i="3"/>
  <c r="V12" i="3"/>
  <c r="W12" i="3"/>
  <c r="X12" i="3"/>
  <c r="Y12" i="3"/>
  <c r="Z12" i="3"/>
  <c r="AA12" i="3"/>
  <c r="P13" i="3"/>
  <c r="Q13" i="3"/>
  <c r="R13" i="3"/>
  <c r="S13" i="3"/>
  <c r="T13" i="3"/>
  <c r="U13" i="3"/>
  <c r="V13" i="3"/>
  <c r="W13" i="3"/>
  <c r="X13" i="3"/>
  <c r="Y13" i="3"/>
  <c r="Z13" i="3"/>
  <c r="AA13" i="3"/>
  <c r="P18" i="3"/>
  <c r="Q18" i="3"/>
  <c r="R18" i="3"/>
  <c r="S18" i="3"/>
  <c r="T18" i="3"/>
  <c r="U18" i="3"/>
  <c r="V18" i="3"/>
  <c r="W18" i="3"/>
  <c r="X18" i="3"/>
  <c r="Y18" i="3"/>
  <c r="P19" i="3"/>
  <c r="Q19" i="3"/>
  <c r="R19" i="3"/>
  <c r="S19" i="3"/>
  <c r="T19" i="3"/>
  <c r="U19" i="3"/>
  <c r="V19" i="3"/>
  <c r="W19" i="3"/>
  <c r="X19" i="3"/>
  <c r="Y19" i="3"/>
  <c r="P20" i="3"/>
  <c r="Q20" i="3"/>
  <c r="R20" i="3"/>
  <c r="S20" i="3"/>
  <c r="T20" i="3"/>
  <c r="U20" i="3"/>
  <c r="V20" i="3"/>
  <c r="W20" i="3"/>
  <c r="X20" i="3"/>
  <c r="Y20" i="3"/>
  <c r="P21" i="3"/>
  <c r="Q21" i="3"/>
  <c r="R21" i="3"/>
  <c r="S21" i="3"/>
  <c r="T21" i="3"/>
  <c r="U21" i="3"/>
  <c r="V21" i="3"/>
  <c r="W21" i="3"/>
  <c r="X21" i="3"/>
  <c r="Y21" i="3"/>
  <c r="P22" i="3"/>
  <c r="Q22" i="3"/>
  <c r="R22" i="3"/>
  <c r="S22" i="3"/>
  <c r="T22" i="3"/>
  <c r="U22" i="3"/>
  <c r="V22" i="3"/>
  <c r="W22" i="3"/>
  <c r="X22" i="3"/>
  <c r="Y22" i="3"/>
  <c r="P23" i="3"/>
  <c r="Q23" i="3"/>
  <c r="R23" i="3"/>
  <c r="S23" i="3"/>
  <c r="T23" i="3"/>
  <c r="U23" i="3"/>
  <c r="V23" i="3"/>
  <c r="W23" i="3"/>
  <c r="X23" i="3"/>
  <c r="Y23" i="3"/>
  <c r="P24" i="3"/>
  <c r="Q24" i="3"/>
  <c r="R24" i="3"/>
  <c r="S24" i="3"/>
  <c r="T24" i="3"/>
  <c r="U24" i="3"/>
  <c r="V24" i="3"/>
  <c r="W24" i="3"/>
  <c r="X24" i="3"/>
  <c r="Y24" i="3"/>
  <c r="P25" i="3"/>
  <c r="Q25" i="3"/>
  <c r="R25" i="3"/>
  <c r="S25" i="3"/>
  <c r="T25" i="3"/>
  <c r="U25" i="3"/>
  <c r="V25" i="3"/>
  <c r="W25" i="3"/>
  <c r="X25" i="3"/>
  <c r="Y25" i="3"/>
  <c r="P26" i="3"/>
  <c r="Q26" i="3"/>
  <c r="R26" i="3"/>
  <c r="S26" i="3"/>
  <c r="T26" i="3"/>
  <c r="U26" i="3"/>
  <c r="V26" i="3"/>
  <c r="W26" i="3"/>
  <c r="X26" i="3"/>
  <c r="Y26" i="3"/>
  <c r="P27" i="3"/>
  <c r="Q27" i="3"/>
  <c r="R27" i="3"/>
  <c r="S27" i="3"/>
  <c r="T27" i="3"/>
  <c r="U27" i="3"/>
  <c r="V27" i="3"/>
  <c r="W27" i="3"/>
  <c r="X27" i="3"/>
  <c r="Y27" i="3"/>
  <c r="P28" i="3"/>
  <c r="Q28" i="3"/>
  <c r="R28" i="3"/>
  <c r="S28" i="3"/>
  <c r="T28" i="3"/>
  <c r="U28" i="3"/>
  <c r="V28" i="3"/>
  <c r="W28" i="3"/>
  <c r="X28" i="3"/>
  <c r="Y28" i="3"/>
  <c r="AL33" i="3"/>
  <c r="AM33" i="3"/>
  <c r="AN33" i="3"/>
  <c r="AO33" i="3"/>
  <c r="AP33" i="3"/>
  <c r="AQ33" i="3"/>
  <c r="AR33" i="3"/>
  <c r="AS33" i="3"/>
  <c r="AT33" i="3"/>
  <c r="AU33" i="3"/>
  <c r="AV33" i="3"/>
  <c r="AW33" i="3"/>
  <c r="AX33" i="3"/>
  <c r="AY33" i="3"/>
  <c r="AZ33" i="3"/>
  <c r="BA33" i="3"/>
  <c r="BB33" i="3"/>
  <c r="BC33" i="3"/>
  <c r="BD33" i="3"/>
  <c r="BE33" i="3"/>
  <c r="BG33" i="3"/>
  <c r="BH33" i="3"/>
  <c r="BI33" i="3"/>
  <c r="BJ33" i="3"/>
  <c r="BK33" i="3"/>
  <c r="BL33" i="3"/>
  <c r="BM33" i="3"/>
  <c r="BN33" i="3"/>
  <c r="BO33" i="3"/>
  <c r="BP33" i="3"/>
  <c r="BQ33" i="3"/>
  <c r="BR33" i="3"/>
  <c r="AL34" i="3"/>
  <c r="AM34" i="3"/>
  <c r="AN34" i="3"/>
  <c r="AO34" i="3"/>
  <c r="AP34" i="3"/>
  <c r="AQ34" i="3"/>
  <c r="AR34" i="3"/>
  <c r="AS34" i="3"/>
  <c r="AT34" i="3"/>
  <c r="AU34" i="3"/>
  <c r="AV34" i="3"/>
  <c r="AW34" i="3"/>
  <c r="AX34" i="3"/>
  <c r="AY34" i="3"/>
  <c r="AZ34" i="3"/>
  <c r="BA34" i="3"/>
  <c r="BB34" i="3"/>
  <c r="BC34" i="3"/>
  <c r="BD34" i="3"/>
  <c r="BE34" i="3"/>
  <c r="BG34" i="3"/>
  <c r="BH34" i="3"/>
  <c r="BI34" i="3"/>
  <c r="BJ34" i="3"/>
  <c r="BK34" i="3"/>
  <c r="BL34" i="3"/>
  <c r="BM34" i="3"/>
  <c r="BN34" i="3"/>
  <c r="BO34" i="3"/>
  <c r="BP34" i="3"/>
  <c r="BQ34" i="3"/>
  <c r="BR34" i="3"/>
  <c r="AL35" i="3"/>
  <c r="AM35" i="3"/>
  <c r="AN35" i="3"/>
  <c r="AO35" i="3"/>
  <c r="AP35" i="3"/>
  <c r="AQ35" i="3"/>
  <c r="AR35" i="3"/>
  <c r="AS35" i="3"/>
  <c r="AT35" i="3"/>
  <c r="AU35" i="3"/>
  <c r="AV35" i="3"/>
  <c r="AW35" i="3"/>
  <c r="AX35" i="3"/>
  <c r="AY35" i="3"/>
  <c r="AZ35" i="3"/>
  <c r="BA35" i="3"/>
  <c r="BB35" i="3"/>
  <c r="BC35" i="3"/>
  <c r="BD35" i="3"/>
  <c r="BE35" i="3"/>
  <c r="BG35" i="3"/>
  <c r="BH35" i="3"/>
  <c r="BI35" i="3"/>
  <c r="BJ35" i="3"/>
  <c r="BK35" i="3"/>
  <c r="BL35" i="3"/>
  <c r="BM35" i="3"/>
  <c r="BN35" i="3"/>
  <c r="BO35" i="3"/>
  <c r="BP35" i="3"/>
  <c r="BQ35" i="3"/>
  <c r="BR35" i="3"/>
  <c r="AL36" i="3"/>
  <c r="AM36" i="3"/>
  <c r="AN36" i="3"/>
  <c r="AO36" i="3"/>
  <c r="AP36" i="3"/>
  <c r="AQ36" i="3"/>
  <c r="AR36" i="3"/>
  <c r="AS36" i="3"/>
  <c r="AT36" i="3"/>
  <c r="AU36" i="3"/>
  <c r="AV36" i="3"/>
  <c r="AW36" i="3"/>
  <c r="AX36" i="3"/>
  <c r="AY36" i="3"/>
  <c r="AZ36" i="3"/>
  <c r="BA36" i="3"/>
  <c r="BB36" i="3"/>
  <c r="BC36" i="3"/>
  <c r="BD36" i="3"/>
  <c r="BE36" i="3"/>
  <c r="BG36" i="3"/>
  <c r="BH36" i="3"/>
  <c r="BI36" i="3"/>
  <c r="BJ36" i="3"/>
  <c r="BK36" i="3"/>
  <c r="BL36" i="3"/>
  <c r="BM36" i="3"/>
  <c r="BN36" i="3"/>
  <c r="BO36" i="3"/>
  <c r="BP36" i="3"/>
  <c r="BQ36" i="3"/>
  <c r="BR36" i="3"/>
  <c r="AL37" i="3"/>
  <c r="AM37" i="3"/>
  <c r="AN37" i="3"/>
  <c r="AO37" i="3"/>
  <c r="AP37" i="3"/>
  <c r="AQ37" i="3"/>
  <c r="AR37" i="3"/>
  <c r="AS37" i="3"/>
  <c r="AT37" i="3"/>
  <c r="AU37" i="3"/>
  <c r="AV37" i="3"/>
  <c r="AW37" i="3"/>
  <c r="AX37" i="3"/>
  <c r="AY37" i="3"/>
  <c r="AZ37" i="3"/>
  <c r="BA37" i="3"/>
  <c r="BB37" i="3"/>
  <c r="BC37" i="3"/>
  <c r="BD37" i="3"/>
  <c r="BE37" i="3"/>
  <c r="BG37" i="3"/>
  <c r="BH37" i="3"/>
  <c r="BI37" i="3"/>
  <c r="BJ37" i="3"/>
  <c r="BK37" i="3"/>
  <c r="BL37" i="3"/>
  <c r="BM37" i="3"/>
  <c r="BN37" i="3"/>
  <c r="BO37" i="3"/>
  <c r="BP37" i="3"/>
  <c r="BQ37" i="3"/>
  <c r="BR37" i="3"/>
  <c r="AL38" i="3"/>
  <c r="AM38" i="3"/>
  <c r="AN38" i="3"/>
  <c r="AO38" i="3"/>
  <c r="AP38" i="3"/>
  <c r="AQ38" i="3"/>
  <c r="AR38" i="3"/>
  <c r="AS38" i="3"/>
  <c r="AT38" i="3"/>
  <c r="AU38" i="3"/>
  <c r="AV38" i="3"/>
  <c r="AW38" i="3"/>
  <c r="AX38" i="3"/>
  <c r="AY38" i="3"/>
  <c r="AZ38" i="3"/>
  <c r="BA38" i="3"/>
  <c r="BB38" i="3"/>
  <c r="BC38" i="3"/>
  <c r="BD38" i="3"/>
  <c r="BE38" i="3"/>
  <c r="BG38" i="3"/>
  <c r="BH38" i="3"/>
  <c r="BI38" i="3"/>
  <c r="BJ38" i="3"/>
  <c r="BK38" i="3"/>
  <c r="BL38" i="3"/>
  <c r="BM38" i="3"/>
  <c r="BN38" i="3"/>
  <c r="BO38" i="3"/>
  <c r="BP38" i="3"/>
  <c r="BQ38" i="3"/>
  <c r="BR38" i="3"/>
  <c r="AL39" i="3"/>
  <c r="AM39" i="3"/>
  <c r="AN39" i="3"/>
  <c r="AO39" i="3"/>
  <c r="AP39" i="3"/>
  <c r="AQ39" i="3"/>
  <c r="AR39" i="3"/>
  <c r="AS39" i="3"/>
  <c r="AT39" i="3"/>
  <c r="AU39" i="3"/>
  <c r="AV39" i="3"/>
  <c r="AW39" i="3"/>
  <c r="AX39" i="3"/>
  <c r="AY39" i="3"/>
  <c r="AZ39" i="3"/>
  <c r="BA39" i="3"/>
  <c r="BB39" i="3"/>
  <c r="BC39" i="3"/>
  <c r="BD39" i="3"/>
  <c r="BE39" i="3"/>
  <c r="BG39" i="3"/>
  <c r="BH39" i="3"/>
  <c r="BI39" i="3"/>
  <c r="BJ39" i="3"/>
  <c r="BK39" i="3"/>
  <c r="BL39" i="3"/>
  <c r="BM39" i="3"/>
  <c r="BN39" i="3"/>
  <c r="BO39" i="3"/>
  <c r="BP39" i="3"/>
  <c r="BQ39" i="3"/>
  <c r="BR39" i="3"/>
  <c r="AL40" i="3"/>
  <c r="AM40" i="3"/>
  <c r="AN40" i="3"/>
  <c r="AO40" i="3"/>
  <c r="AP40" i="3"/>
  <c r="AQ40" i="3"/>
  <c r="AR40" i="3"/>
  <c r="AS40" i="3"/>
  <c r="AT40" i="3"/>
  <c r="AU40" i="3"/>
  <c r="AV40" i="3"/>
  <c r="AW40" i="3"/>
  <c r="AX40" i="3"/>
  <c r="AY40" i="3"/>
  <c r="AZ40" i="3"/>
  <c r="BA40" i="3"/>
  <c r="BB40" i="3"/>
  <c r="BC40" i="3"/>
  <c r="BD40" i="3"/>
  <c r="BE40" i="3"/>
  <c r="BG40" i="3"/>
  <c r="BH40" i="3"/>
  <c r="BI40" i="3"/>
  <c r="BJ40" i="3"/>
  <c r="BK40" i="3"/>
  <c r="BL40" i="3"/>
  <c r="BM40" i="3"/>
  <c r="BN40" i="3"/>
  <c r="BO40" i="3"/>
  <c r="BP40" i="3"/>
  <c r="BQ40" i="3"/>
  <c r="BR40" i="3"/>
  <c r="AL41" i="3"/>
  <c r="AM41" i="3"/>
  <c r="AN41" i="3"/>
  <c r="AO41" i="3"/>
  <c r="AP41" i="3"/>
  <c r="AQ41" i="3"/>
  <c r="AR41" i="3"/>
  <c r="AS41" i="3"/>
  <c r="AT41" i="3"/>
  <c r="AU41" i="3"/>
  <c r="AV41" i="3"/>
  <c r="AW41" i="3"/>
  <c r="AX41" i="3"/>
  <c r="AY41" i="3"/>
  <c r="AZ41" i="3"/>
  <c r="BA41" i="3"/>
  <c r="BB41" i="3"/>
  <c r="BC41" i="3"/>
  <c r="BD41" i="3"/>
  <c r="BE41" i="3"/>
  <c r="BG41" i="3"/>
  <c r="BH41" i="3"/>
  <c r="BI41" i="3"/>
  <c r="BJ41" i="3"/>
  <c r="BK41" i="3"/>
  <c r="BL41" i="3"/>
  <c r="BM41" i="3"/>
  <c r="BN41" i="3"/>
  <c r="BO41" i="3"/>
  <c r="BP41" i="3"/>
  <c r="BQ41" i="3"/>
  <c r="BR41" i="3"/>
  <c r="AL42" i="3"/>
  <c r="AM42" i="3"/>
  <c r="AN42" i="3"/>
  <c r="AO42" i="3"/>
  <c r="AP42" i="3"/>
  <c r="AQ42" i="3"/>
  <c r="AR42" i="3"/>
  <c r="AS42" i="3"/>
  <c r="AT42" i="3"/>
  <c r="AU42" i="3"/>
  <c r="AV42" i="3"/>
  <c r="AW42" i="3"/>
  <c r="AX42" i="3"/>
  <c r="AY42" i="3"/>
  <c r="AZ42" i="3"/>
  <c r="BA42" i="3"/>
  <c r="BB42" i="3"/>
  <c r="BC42" i="3"/>
  <c r="BD42" i="3"/>
  <c r="BE42" i="3"/>
  <c r="BG42" i="3"/>
  <c r="BH42" i="3"/>
  <c r="BI42" i="3"/>
  <c r="BJ42" i="3"/>
  <c r="BK42" i="3"/>
  <c r="BL42" i="3"/>
  <c r="BM42" i="3"/>
  <c r="BN42" i="3"/>
  <c r="BO42" i="3"/>
  <c r="BP42" i="3"/>
  <c r="BQ42" i="3"/>
  <c r="BR42" i="3"/>
  <c r="AL43" i="3"/>
  <c r="AM43" i="3"/>
  <c r="AN43" i="3"/>
  <c r="AO43" i="3"/>
  <c r="AP43" i="3"/>
  <c r="AQ43" i="3"/>
  <c r="AR43" i="3"/>
  <c r="AS43" i="3"/>
  <c r="AT43" i="3"/>
  <c r="AU43" i="3"/>
  <c r="AV43" i="3"/>
  <c r="AW43" i="3"/>
  <c r="AX43" i="3"/>
  <c r="AY43" i="3"/>
  <c r="AZ43" i="3"/>
  <c r="BA43" i="3"/>
  <c r="BB43" i="3"/>
  <c r="BC43" i="3"/>
  <c r="BD43" i="3"/>
  <c r="BE43" i="3"/>
  <c r="BG43" i="3"/>
  <c r="BH43" i="3"/>
  <c r="BI43" i="3"/>
  <c r="BJ43" i="3"/>
  <c r="BK43" i="3"/>
  <c r="BL43" i="3"/>
  <c r="BM43" i="3"/>
  <c r="BN43" i="3"/>
  <c r="BO43" i="3"/>
  <c r="BP43" i="3"/>
  <c r="BQ43" i="3"/>
  <c r="BR43" i="3"/>
  <c r="H48" i="3"/>
  <c r="I48" i="3"/>
  <c r="J48" i="3"/>
  <c r="K48" i="3"/>
  <c r="H49" i="3"/>
  <c r="I49" i="3"/>
  <c r="J49" i="3"/>
  <c r="K49" i="3"/>
  <c r="H50" i="3"/>
  <c r="I50" i="3"/>
  <c r="J50" i="3"/>
  <c r="K50" i="3"/>
  <c r="H51" i="3"/>
  <c r="I51" i="3"/>
  <c r="J51" i="3"/>
  <c r="K51" i="3"/>
  <c r="H52" i="3"/>
  <c r="I52" i="3"/>
  <c r="J52" i="3"/>
  <c r="K52" i="3"/>
  <c r="H53" i="3"/>
  <c r="I53" i="3"/>
  <c r="J53" i="3"/>
  <c r="K53" i="3"/>
  <c r="H54" i="3"/>
  <c r="I54" i="3"/>
  <c r="J54" i="3"/>
  <c r="K54" i="3"/>
  <c r="H55" i="3"/>
  <c r="I55" i="3"/>
  <c r="J55" i="3"/>
  <c r="K55" i="3"/>
  <c r="H56" i="3"/>
  <c r="I56" i="3"/>
  <c r="J56" i="3"/>
  <c r="K56" i="3"/>
  <c r="H57" i="3"/>
  <c r="I57" i="3"/>
  <c r="J57" i="3"/>
  <c r="K57" i="3"/>
  <c r="H58" i="3"/>
  <c r="I58" i="3"/>
  <c r="J58" i="3"/>
  <c r="K58" i="3"/>
  <c r="N31" i="29" l="1"/>
  <c r="P84" i="31"/>
  <c r="O85" i="31"/>
  <c r="W87" i="31"/>
  <c r="X86" i="31"/>
  <c r="N15" i="29"/>
  <c r="N17" i="29"/>
  <c r="F29" i="29"/>
  <c r="A4" i="20"/>
  <c r="A5" i="20"/>
  <c r="A6" i="20"/>
  <c r="A7" i="20"/>
  <c r="A8" i="20"/>
  <c r="A9" i="20"/>
  <c r="A10" i="20"/>
  <c r="A11" i="20"/>
  <c r="A12" i="20"/>
  <c r="A13" i="20"/>
  <c r="A14" i="20"/>
  <c r="A15" i="20"/>
  <c r="A16" i="20"/>
  <c r="A17" i="20"/>
  <c r="A18" i="20"/>
  <c r="A19" i="20"/>
  <c r="A20" i="20"/>
  <c r="A3" i="20"/>
  <c r="D3" i="20"/>
  <c r="D5" i="20"/>
  <c r="D6" i="20"/>
  <c r="D7" i="20"/>
  <c r="D8" i="20"/>
  <c r="D9" i="20"/>
  <c r="D10" i="20"/>
  <c r="D11" i="20"/>
  <c r="D12" i="20"/>
  <c r="D13" i="20"/>
  <c r="D14" i="20"/>
  <c r="D15" i="20"/>
  <c r="D16" i="20"/>
  <c r="D17" i="20"/>
  <c r="D18" i="20"/>
  <c r="D19" i="20"/>
  <c r="D20" i="20"/>
  <c r="D4" i="20"/>
  <c r="C9" i="14"/>
  <c r="D5" i="29" l="1"/>
  <c r="B11" i="29" s="1"/>
  <c r="O86" i="31"/>
  <c r="P85" i="31"/>
  <c r="X87" i="31"/>
  <c r="W88" i="31"/>
  <c r="X88" i="31" s="1"/>
  <c r="D7" i="29"/>
  <c r="B13" i="29" s="1"/>
  <c r="D6" i="29"/>
  <c r="B12" i="29" s="1"/>
  <c r="M155" i="9"/>
  <c r="M156" i="9"/>
  <c r="M157" i="9"/>
  <c r="M158" i="9"/>
  <c r="M159" i="9"/>
  <c r="M154" i="9"/>
  <c r="C10" i="14"/>
  <c r="P86" i="31" l="1"/>
  <c r="O87" i="31"/>
  <c r="T5" i="2"/>
  <c r="T87" i="2" s="1"/>
  <c r="U5" i="2"/>
  <c r="T46" i="2"/>
  <c r="T3" i="2"/>
  <c r="O88" i="31" l="1"/>
  <c r="P88" i="31" s="1"/>
  <c r="P87" i="31"/>
  <c r="T4" i="2"/>
  <c r="T58" i="2"/>
  <c r="T62" i="2"/>
  <c r="T66" i="2"/>
  <c r="T70" i="2"/>
  <c r="T74" i="2"/>
  <c r="T78" i="2"/>
  <c r="T82" i="2"/>
  <c r="T86" i="2"/>
  <c r="T56" i="2"/>
  <c r="T60" i="2"/>
  <c r="T64" i="2"/>
  <c r="T68" i="2"/>
  <c r="T72" i="2"/>
  <c r="T76" i="2"/>
  <c r="T80" i="2"/>
  <c r="T84" i="2"/>
  <c r="T88" i="2"/>
  <c r="T49" i="2"/>
  <c r="T57" i="2"/>
  <c r="T59" i="2"/>
  <c r="T61" i="2"/>
  <c r="T63" i="2"/>
  <c r="T65" i="2"/>
  <c r="T67" i="2"/>
  <c r="T69" i="2"/>
  <c r="T71" i="2"/>
  <c r="T73" i="2"/>
  <c r="T75" i="2"/>
  <c r="T77" i="2"/>
  <c r="T79" i="2"/>
  <c r="T81" i="2"/>
  <c r="T83" i="2"/>
  <c r="T85" i="2"/>
  <c r="I8" i="31" l="1"/>
  <c r="T50" i="2"/>
  <c r="T51" i="2" s="1"/>
  <c r="T52" i="2" s="1"/>
  <c r="T53" i="2" s="1"/>
  <c r="T54" i="2" s="1"/>
  <c r="T55" i="2" s="1"/>
  <c r="B130" i="9"/>
  <c r="B129" i="9"/>
  <c r="B125" i="9"/>
  <c r="B127" i="9"/>
  <c r="T89" i="2" l="1"/>
  <c r="AE6" i="2" l="1"/>
  <c r="AE49" i="31" s="1"/>
  <c r="AG49" i="31" s="1"/>
  <c r="AE7" i="2" l="1"/>
  <c r="AE50" i="31" s="1"/>
  <c r="AG50" i="31" s="1"/>
  <c r="AE9" i="2"/>
  <c r="AE52" i="31" s="1"/>
  <c r="AG52" i="31" s="1"/>
  <c r="I7" i="31" l="1"/>
  <c r="K5" i="31" s="1"/>
  <c r="I7" i="28"/>
  <c r="I44" i="28" l="1"/>
  <c r="I45" i="28"/>
  <c r="I42" i="28"/>
  <c r="I43" i="28"/>
  <c r="I21" i="28"/>
  <c r="I15" i="28"/>
  <c r="I22" i="28"/>
  <c r="I28" i="28"/>
  <c r="I29" i="28"/>
  <c r="I33" i="28"/>
  <c r="I36" i="28"/>
  <c r="I62" i="28"/>
  <c r="I65" i="28"/>
  <c r="J7" i="28"/>
  <c r="J44" i="28" l="1"/>
  <c r="J45" i="28"/>
  <c r="J42" i="28"/>
  <c r="J43" i="28"/>
  <c r="J21" i="28"/>
  <c r="J15" i="28"/>
  <c r="J22" i="28"/>
  <c r="J28" i="28"/>
  <c r="J29" i="28"/>
  <c r="J33" i="28"/>
  <c r="J36" i="28"/>
  <c r="J62" i="28"/>
  <c r="J65" i="28"/>
  <c r="J8" i="28"/>
  <c r="I47" i="2" a="1"/>
  <c r="I47" i="2" s="1"/>
  <c r="H47" i="2" a="1"/>
  <c r="H47" i="2" s="1"/>
  <c r="B17" i="18" l="1"/>
  <c r="C17" i="18"/>
  <c r="D17" i="18"/>
  <c r="B6" i="18"/>
  <c r="D61" i="28"/>
  <c r="C61" i="28"/>
  <c r="D60" i="28"/>
  <c r="C60" i="28"/>
  <c r="C12" i="14"/>
  <c r="C11" i="14"/>
  <c r="B283" i="9"/>
  <c r="B19" i="9"/>
  <c r="M18" i="9"/>
  <c r="M19" i="9"/>
  <c r="I60" i="28" l="1"/>
  <c r="J60" i="28"/>
  <c r="I61" i="28"/>
  <c r="J61" i="28"/>
  <c r="M194" i="9"/>
  <c r="M195" i="9"/>
  <c r="M193" i="9"/>
  <c r="B195" i="9" l="1"/>
  <c r="M323" i="9" l="1"/>
  <c r="M324" i="9"/>
  <c r="M325" i="9"/>
  <c r="M326" i="9"/>
  <c r="M332" i="9"/>
  <c r="M338" i="9"/>
  <c r="M339" i="9"/>
  <c r="B342" i="9"/>
  <c r="B343" i="9"/>
  <c r="B344" i="9"/>
  <c r="B333" i="9"/>
  <c r="B334" i="9"/>
  <c r="B335" i="9"/>
  <c r="B336" i="9"/>
  <c r="B323" i="9"/>
  <c r="B324" i="9"/>
  <c r="B325" i="9"/>
  <c r="B326" i="9"/>
  <c r="B327" i="9"/>
  <c r="M250" i="9" l="1"/>
  <c r="M249" i="9"/>
  <c r="M248" i="9"/>
  <c r="M247" i="9"/>
  <c r="M246" i="9"/>
  <c r="M260" i="9"/>
  <c r="M259" i="9"/>
  <c r="M258" i="9"/>
  <c r="M257" i="9"/>
  <c r="M256" i="9"/>
  <c r="M268" i="9"/>
  <c r="M267" i="9"/>
  <c r="M266" i="9"/>
  <c r="M275" i="9"/>
  <c r="M274" i="9"/>
  <c r="B293" i="9"/>
  <c r="B292" i="9"/>
  <c r="B291" i="9"/>
  <c r="B290" i="9"/>
  <c r="B289" i="9"/>
  <c r="B282" i="9"/>
  <c r="B281" i="9"/>
  <c r="B280" i="9"/>
  <c r="B279" i="9"/>
  <c r="B278" i="9"/>
  <c r="B268" i="9"/>
  <c r="B269" i="9"/>
  <c r="B270" i="9"/>
  <c r="B271" i="9"/>
  <c r="B272" i="9"/>
  <c r="B257" i="9"/>
  <c r="B258" i="9"/>
  <c r="B259" i="9"/>
  <c r="B260" i="9"/>
  <c r="B261" i="9"/>
  <c r="B262" i="9"/>
  <c r="B246" i="9"/>
  <c r="B247" i="9"/>
  <c r="B248" i="9"/>
  <c r="B249" i="9"/>
  <c r="B250" i="9"/>
  <c r="B251" i="9"/>
  <c r="B233" i="9"/>
  <c r="B234" i="9"/>
  <c r="B235" i="9"/>
  <c r="B236" i="9"/>
  <c r="M220" i="9"/>
  <c r="M221" i="9"/>
  <c r="M222" i="9"/>
  <c r="M223" i="9"/>
  <c r="B223" i="9"/>
  <c r="B224" i="9"/>
  <c r="B225" i="9"/>
  <c r="B226" i="9"/>
  <c r="B227" i="9"/>
  <c r="M213" i="9"/>
  <c r="M214" i="9"/>
  <c r="B213" i="9"/>
  <c r="B214" i="9"/>
  <c r="B215" i="9"/>
  <c r="B216" i="9"/>
  <c r="B217" i="9"/>
  <c r="M168" i="9"/>
  <c r="M169" i="9"/>
  <c r="M170" i="9"/>
  <c r="M171" i="9"/>
  <c r="M172" i="9"/>
  <c r="M173" i="9"/>
  <c r="M174" i="9"/>
  <c r="M175" i="9"/>
  <c r="M176" i="9"/>
  <c r="B172" i="9"/>
  <c r="B171" i="9"/>
  <c r="B170" i="9"/>
  <c r="B169" i="9"/>
  <c r="B168" i="9"/>
  <c r="M148" i="9"/>
  <c r="M149" i="9"/>
  <c r="M140" i="9"/>
  <c r="M141" i="9"/>
  <c r="M142" i="9"/>
  <c r="M128" i="9"/>
  <c r="M129" i="9"/>
  <c r="M130" i="9"/>
  <c r="M131" i="9"/>
  <c r="M132" i="9"/>
  <c r="M133" i="9"/>
  <c r="M134" i="9"/>
  <c r="M116" i="9"/>
  <c r="M117" i="9"/>
  <c r="M118" i="9"/>
  <c r="M119" i="9"/>
  <c r="M120" i="9"/>
  <c r="M121" i="9"/>
  <c r="M122" i="9"/>
  <c r="M104" i="9"/>
  <c r="M105" i="9"/>
  <c r="M106" i="9"/>
  <c r="M107" i="9"/>
  <c r="M108" i="9"/>
  <c r="M109" i="9"/>
  <c r="M110" i="9"/>
  <c r="B153" i="9"/>
  <c r="B154" i="9"/>
  <c r="B155" i="9"/>
  <c r="B156" i="9"/>
  <c r="B157" i="9"/>
  <c r="B158" i="9"/>
  <c r="B159" i="9"/>
  <c r="B136" i="9"/>
  <c r="B137" i="9"/>
  <c r="B138" i="9"/>
  <c r="B139" i="9"/>
  <c r="B140" i="9"/>
  <c r="B141" i="9"/>
  <c r="B142" i="9"/>
  <c r="B143" i="9"/>
  <c r="B144" i="9"/>
  <c r="B145" i="9"/>
  <c r="B146" i="9"/>
  <c r="B147" i="9"/>
  <c r="B119" i="9"/>
  <c r="B120" i="9"/>
  <c r="B121" i="9"/>
  <c r="B122" i="9"/>
  <c r="B123" i="9"/>
  <c r="B124" i="9"/>
  <c r="B126" i="9"/>
  <c r="B128" i="9"/>
  <c r="M64" i="9"/>
  <c r="M65" i="9"/>
  <c r="M66" i="9"/>
  <c r="M67" i="9"/>
  <c r="M68" i="9"/>
  <c r="M69" i="9"/>
  <c r="M70" i="9"/>
  <c r="M76" i="9"/>
  <c r="M77" i="9"/>
  <c r="M78" i="9"/>
  <c r="M79" i="9"/>
  <c r="B88" i="9"/>
  <c r="B89" i="9"/>
  <c r="B90" i="9"/>
  <c r="B91" i="9"/>
  <c r="B92" i="9"/>
  <c r="B93" i="9"/>
  <c r="B94" i="9"/>
  <c r="B78" i="9"/>
  <c r="B79" i="9"/>
  <c r="B80" i="9"/>
  <c r="B81" i="9"/>
  <c r="B82" i="9"/>
  <c r="B64" i="9"/>
  <c r="B65" i="9"/>
  <c r="B66" i="9"/>
  <c r="B67" i="9"/>
  <c r="B68" i="9"/>
  <c r="B69" i="9"/>
  <c r="B70" i="9"/>
  <c r="B71" i="9"/>
  <c r="B72" i="9"/>
  <c r="M25" i="9"/>
  <c r="M26" i="9"/>
  <c r="M27" i="9"/>
  <c r="M28" i="9"/>
  <c r="M29" i="9"/>
  <c r="M30" i="9"/>
  <c r="M31" i="9"/>
  <c r="M32" i="9"/>
  <c r="M33" i="9"/>
  <c r="M34" i="9"/>
  <c r="M9" i="9"/>
  <c r="M10" i="9"/>
  <c r="M11" i="9"/>
  <c r="M12" i="9"/>
  <c r="M13" i="9"/>
  <c r="M14" i="9"/>
  <c r="M15" i="9"/>
  <c r="M16" i="9"/>
  <c r="M17" i="9"/>
  <c r="B50" i="9"/>
  <c r="B51" i="9"/>
  <c r="B52" i="9"/>
  <c r="B53" i="9"/>
  <c r="B54" i="9"/>
  <c r="B35" i="9"/>
  <c r="B36" i="9"/>
  <c r="B37" i="9"/>
  <c r="B38" i="9"/>
  <c r="B39" i="9"/>
  <c r="B40" i="9"/>
  <c r="B41" i="9"/>
  <c r="B42" i="9"/>
  <c r="B43" i="9"/>
  <c r="B44" i="9"/>
  <c r="B25" i="9"/>
  <c r="B26" i="9"/>
  <c r="B27" i="9"/>
  <c r="B28" i="9"/>
  <c r="B29" i="9"/>
  <c r="B9" i="9"/>
  <c r="B10" i="9"/>
  <c r="B11" i="9"/>
  <c r="B12" i="9"/>
  <c r="B13" i="9"/>
  <c r="B14" i="9"/>
  <c r="B15" i="9"/>
  <c r="B16" i="9"/>
  <c r="B17" i="9"/>
  <c r="B18" i="9"/>
  <c r="C14" i="14" l="1"/>
  <c r="C13" i="14"/>
  <c r="AO3" i="2" l="1"/>
  <c r="C15" i="14" l="1"/>
  <c r="C16" i="14" l="1"/>
  <c r="C17" i="14"/>
  <c r="C18" i="14"/>
  <c r="C19" i="14"/>
  <c r="AG3" i="2" l="1"/>
  <c r="C20" i="14" l="1"/>
  <c r="BD3" i="2" l="1"/>
  <c r="BC3" i="2"/>
  <c r="C21" i="14" l="1"/>
  <c r="C22" i="14" l="1"/>
  <c r="BB3" i="2" l="1"/>
  <c r="BA3" i="2"/>
  <c r="AZ3" i="2"/>
  <c r="AY3" i="2"/>
  <c r="AK3" i="2"/>
  <c r="AI3" i="2"/>
  <c r="AH3" i="2"/>
  <c r="AX3" i="2"/>
  <c r="AW3" i="2"/>
  <c r="AV3" i="2"/>
  <c r="AU3" i="2"/>
  <c r="AT3" i="2"/>
  <c r="AS3" i="2"/>
  <c r="AR3" i="2"/>
  <c r="AQ3" i="2"/>
  <c r="AP3" i="2"/>
  <c r="C23" i="14" l="1"/>
  <c r="L3" i="2" l="1"/>
  <c r="C24" i="14" l="1"/>
  <c r="C61" i="14" l="1"/>
  <c r="C60" i="14"/>
  <c r="C59" i="14"/>
  <c r="C58" i="14"/>
  <c r="C57" i="14"/>
  <c r="C56" i="14"/>
  <c r="C55" i="14"/>
  <c r="C54" i="14"/>
  <c r="C53" i="14"/>
  <c r="C52" i="14"/>
  <c r="C51" i="14"/>
  <c r="C50" i="14"/>
  <c r="C49" i="14"/>
  <c r="C48" i="14"/>
  <c r="C47" i="14"/>
  <c r="C46" i="14"/>
  <c r="C45" i="14"/>
  <c r="C44" i="14"/>
  <c r="C43" i="14"/>
  <c r="C42" i="14"/>
  <c r="C41" i="14"/>
  <c r="C40" i="14"/>
  <c r="C39" i="14"/>
  <c r="C38" i="14"/>
  <c r="C37" i="14"/>
  <c r="C36" i="14"/>
  <c r="C35" i="14"/>
  <c r="C34" i="14"/>
  <c r="C33" i="14"/>
  <c r="C32" i="14"/>
  <c r="C31" i="14"/>
  <c r="C30" i="14"/>
  <c r="C29" i="14"/>
  <c r="C28" i="14"/>
  <c r="C27" i="14"/>
  <c r="C26" i="14"/>
  <c r="C25" i="14"/>
  <c r="M337" i="9" l="1"/>
  <c r="AA5" i="2" l="1"/>
  <c r="AA3" i="2"/>
  <c r="X3" i="2"/>
  <c r="AC3" i="2"/>
  <c r="Z3" i="2"/>
  <c r="P30" i="22" l="1"/>
  <c r="Q29" i="22"/>
  <c r="K29" i="22"/>
  <c r="L29" i="22" l="1"/>
  <c r="N29" i="22"/>
  <c r="M29" i="22"/>
  <c r="C71" i="28"/>
  <c r="D71" i="28"/>
  <c r="D70" i="28"/>
  <c r="C70" i="28"/>
  <c r="D69" i="28"/>
  <c r="C69" i="28"/>
  <c r="D68" i="28"/>
  <c r="C68" i="28"/>
  <c r="D67" i="28"/>
  <c r="C67" i="28"/>
  <c r="D66" i="28"/>
  <c r="C66" i="28"/>
  <c r="D59" i="28"/>
  <c r="C59" i="28"/>
  <c r="Z5" i="2"/>
  <c r="AC5" i="2"/>
  <c r="AB5" i="2"/>
  <c r="AB3" i="2"/>
  <c r="Y5" i="2"/>
  <c r="I71" i="28" l="1"/>
  <c r="J71" i="28"/>
  <c r="I59" i="28"/>
  <c r="J59" i="28"/>
  <c r="I66" i="28"/>
  <c r="J66" i="28"/>
  <c r="I67" i="28"/>
  <c r="J67" i="28"/>
  <c r="I68" i="28"/>
  <c r="J68" i="28"/>
  <c r="I69" i="28"/>
  <c r="J69" i="28"/>
  <c r="I70" i="28"/>
  <c r="J70" i="28"/>
  <c r="M186" i="9"/>
  <c r="M187" i="9"/>
  <c r="M188" i="9"/>
  <c r="M185" i="9"/>
  <c r="M201" i="9"/>
  <c r="M202" i="9"/>
  <c r="M200" i="9"/>
  <c r="B201" i="9" l="1"/>
  <c r="B202" i="9"/>
  <c r="B203" i="9"/>
  <c r="B200" i="9"/>
  <c r="B186" i="9" l="1"/>
  <c r="B187" i="9"/>
  <c r="B188" i="9"/>
  <c r="B189" i="9"/>
  <c r="B190" i="9"/>
  <c r="B185" i="9" l="1"/>
  <c r="M103" i="9" l="1"/>
  <c r="C58" i="28" l="1"/>
  <c r="G60" i="28" l="1"/>
  <c r="BD46" i="2" l="1"/>
  <c r="B152" i="9"/>
  <c r="BD4" i="2" l="1"/>
  <c r="D58" i="28" l="1"/>
  <c r="BA46" i="2"/>
  <c r="I58" i="28" l="1"/>
  <c r="J58" i="28"/>
  <c r="BA4" i="2"/>
  <c r="G58" i="28"/>
  <c r="G59" i="28"/>
  <c r="AC46" i="2" l="1"/>
  <c r="AC87" i="2"/>
  <c r="AC4" i="2" l="1"/>
  <c r="AC49" i="2" s="1"/>
  <c r="AC50" i="2" s="1"/>
  <c r="AC51" i="2" s="1"/>
  <c r="AC52" i="2"/>
  <c r="AC54" i="2"/>
  <c r="AC56" i="2"/>
  <c r="AC58" i="2"/>
  <c r="AC60" i="2"/>
  <c r="AC62" i="2"/>
  <c r="AC64" i="2"/>
  <c r="AC66" i="2"/>
  <c r="AC68" i="2"/>
  <c r="AC70" i="2"/>
  <c r="AC72" i="2"/>
  <c r="AC74" i="2"/>
  <c r="AC76" i="2"/>
  <c r="AC78" i="2"/>
  <c r="AC80" i="2"/>
  <c r="AC82" i="2"/>
  <c r="AC84" i="2"/>
  <c r="AC86" i="2"/>
  <c r="AC88" i="2"/>
  <c r="AC53" i="2"/>
  <c r="AC55" i="2"/>
  <c r="AC57" i="2"/>
  <c r="AC59" i="2"/>
  <c r="AC61" i="2"/>
  <c r="AC63" i="2"/>
  <c r="AC65" i="2"/>
  <c r="AC67" i="2"/>
  <c r="AC69" i="2"/>
  <c r="AC71" i="2"/>
  <c r="AC73" i="2"/>
  <c r="AC75" i="2"/>
  <c r="AC77" i="2"/>
  <c r="AC79" i="2"/>
  <c r="AC81" i="2"/>
  <c r="AC83" i="2"/>
  <c r="AC85" i="2"/>
  <c r="G71" i="28"/>
  <c r="R46" i="2"/>
  <c r="AB46" i="2"/>
  <c r="AB4" i="2" s="1"/>
  <c r="AA46" i="2"/>
  <c r="Z46" i="2"/>
  <c r="AB87" i="2"/>
  <c r="AA88" i="2"/>
  <c r="Z87" i="2"/>
  <c r="G66" i="28"/>
  <c r="AC89" i="2" l="1"/>
  <c r="G68" i="28"/>
  <c r="G67" i="28"/>
  <c r="G69" i="28"/>
  <c r="G70" i="28"/>
  <c r="AA4" i="2"/>
  <c r="AA49" i="2" s="1"/>
  <c r="AA50" i="2" s="1"/>
  <c r="AA51" i="2" s="1"/>
  <c r="AA52" i="2" s="1"/>
  <c r="AA53" i="2" s="1"/>
  <c r="Z4" i="2"/>
  <c r="Z49" i="2" s="1"/>
  <c r="Z50" i="2" s="1"/>
  <c r="Z51" i="2" s="1"/>
  <c r="Z52" i="2" s="1"/>
  <c r="Z53" i="2" s="1"/>
  <c r="Z54" i="2"/>
  <c r="AB54" i="2"/>
  <c r="AA55" i="2"/>
  <c r="Z56" i="2"/>
  <c r="AB56" i="2"/>
  <c r="AA57" i="2"/>
  <c r="Z58" i="2"/>
  <c r="AB58" i="2"/>
  <c r="AA59" i="2"/>
  <c r="Z60" i="2"/>
  <c r="AB60" i="2"/>
  <c r="AA61" i="2"/>
  <c r="Z62" i="2"/>
  <c r="AB62" i="2"/>
  <c r="AA63" i="2"/>
  <c r="Z64" i="2"/>
  <c r="AB64" i="2"/>
  <c r="AA65" i="2"/>
  <c r="Z66" i="2"/>
  <c r="AB66" i="2"/>
  <c r="AA67" i="2"/>
  <c r="Z68" i="2"/>
  <c r="AB68" i="2"/>
  <c r="AA69" i="2"/>
  <c r="Z70" i="2"/>
  <c r="AB70" i="2"/>
  <c r="AA71" i="2"/>
  <c r="Z72" i="2"/>
  <c r="AB72" i="2"/>
  <c r="AA73" i="2"/>
  <c r="Z74" i="2"/>
  <c r="AB74" i="2"/>
  <c r="AA75" i="2"/>
  <c r="Z76" i="2"/>
  <c r="AB76" i="2"/>
  <c r="AA77" i="2"/>
  <c r="Z78" i="2"/>
  <c r="AB78" i="2"/>
  <c r="AA79" i="2"/>
  <c r="Z80" i="2"/>
  <c r="AB80" i="2"/>
  <c r="AA81" i="2"/>
  <c r="Z82" i="2"/>
  <c r="AB82" i="2"/>
  <c r="AA83" i="2"/>
  <c r="Z84" i="2"/>
  <c r="AB84" i="2"/>
  <c r="AA85" i="2"/>
  <c r="Z86" i="2"/>
  <c r="AB86" i="2"/>
  <c r="AA87" i="2"/>
  <c r="Z88" i="2"/>
  <c r="AB88" i="2"/>
  <c r="AB49" i="2"/>
  <c r="AA54" i="2"/>
  <c r="Z55" i="2"/>
  <c r="AB55" i="2"/>
  <c r="AA56" i="2"/>
  <c r="Z57" i="2"/>
  <c r="AB57" i="2"/>
  <c r="AA58" i="2"/>
  <c r="Z59" i="2"/>
  <c r="AB59" i="2"/>
  <c r="AA60" i="2"/>
  <c r="Z61" i="2"/>
  <c r="AB61" i="2"/>
  <c r="AA62" i="2"/>
  <c r="Z63" i="2"/>
  <c r="AB63" i="2"/>
  <c r="AA64" i="2"/>
  <c r="Z65" i="2"/>
  <c r="AB65" i="2"/>
  <c r="AA66" i="2"/>
  <c r="Z67" i="2"/>
  <c r="AB67" i="2"/>
  <c r="AA68" i="2"/>
  <c r="Z69" i="2"/>
  <c r="AB69" i="2"/>
  <c r="AA70" i="2"/>
  <c r="Z71" i="2"/>
  <c r="AB71" i="2"/>
  <c r="AA72" i="2"/>
  <c r="Z73" i="2"/>
  <c r="AB73" i="2"/>
  <c r="AA74" i="2"/>
  <c r="Z75" i="2"/>
  <c r="AB75" i="2"/>
  <c r="AA76" i="2"/>
  <c r="Z77" i="2"/>
  <c r="AB77" i="2"/>
  <c r="AA78" i="2"/>
  <c r="Z79" i="2"/>
  <c r="AB79" i="2"/>
  <c r="AA80" i="2"/>
  <c r="Z81" i="2"/>
  <c r="AB81" i="2"/>
  <c r="AA82" i="2"/>
  <c r="Z83" i="2"/>
  <c r="AB83" i="2"/>
  <c r="AA84" i="2"/>
  <c r="Z85" i="2"/>
  <c r="AB85" i="2"/>
  <c r="AA86" i="2"/>
  <c r="Q46" i="2"/>
  <c r="R5" i="2"/>
  <c r="R88" i="2" s="1"/>
  <c r="Q5" i="2"/>
  <c r="Q88" i="2" s="1"/>
  <c r="R3" i="2"/>
  <c r="R4" i="2" s="1"/>
  <c r="Q3" i="2"/>
  <c r="Q4" i="2" l="1"/>
  <c r="Q49" i="2" s="1"/>
  <c r="Q50" i="2" s="1"/>
  <c r="Q51" i="2" s="1"/>
  <c r="Q52" i="2" s="1"/>
  <c r="Q53" i="2" s="1"/>
  <c r="Q54" i="2" s="1"/>
  <c r="Q55" i="2" s="1"/>
  <c r="Q56" i="2" s="1"/>
  <c r="Z89" i="2"/>
  <c r="AB50" i="2"/>
  <c r="AB51" i="2" s="1"/>
  <c r="AB52" i="2" s="1"/>
  <c r="AB53" i="2" s="1"/>
  <c r="AA89"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R49"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Q24" i="22"/>
  <c r="Q25" i="22"/>
  <c r="AB89" i="2" l="1"/>
  <c r="R50" i="2"/>
  <c r="R51" i="2" s="1"/>
  <c r="R52" i="2" s="1"/>
  <c r="R53" i="2" s="1"/>
  <c r="R54" i="2" s="1"/>
  <c r="R55" i="2" s="1"/>
  <c r="R56" i="2" s="1"/>
  <c r="Q89" i="2"/>
  <c r="R89" i="2" l="1"/>
  <c r="B5" i="2" l="1"/>
  <c r="C9" i="28" l="1"/>
  <c r="K7" i="28" l="1"/>
  <c r="I2" i="28"/>
  <c r="K43" i="28" l="1"/>
  <c r="K44" i="28"/>
  <c r="K45" i="28"/>
  <c r="K42" i="28"/>
  <c r="K21" i="28"/>
  <c r="K15" i="28"/>
  <c r="K22" i="28"/>
  <c r="K28" i="28"/>
  <c r="K29" i="28"/>
  <c r="K33" i="28"/>
  <c r="K36" i="28"/>
  <c r="K58" i="28"/>
  <c r="K59" i="28"/>
  <c r="K60" i="28"/>
  <c r="K61" i="28"/>
  <c r="K8" i="28"/>
  <c r="K62" i="28"/>
  <c r="K65" i="28"/>
  <c r="K66" i="28"/>
  <c r="K67" i="28"/>
  <c r="K68" i="28"/>
  <c r="K69" i="28"/>
  <c r="K70" i="28"/>
  <c r="K71" i="28"/>
  <c r="L7" i="28"/>
  <c r="I8" i="28"/>
  <c r="L44" i="28" l="1"/>
  <c r="L45" i="28"/>
  <c r="L42" i="28"/>
  <c r="L43" i="28"/>
  <c r="L21" i="28"/>
  <c r="L15" i="28"/>
  <c r="L22" i="28"/>
  <c r="L28" i="28"/>
  <c r="L29" i="28"/>
  <c r="L33" i="28"/>
  <c r="L36" i="28"/>
  <c r="L58" i="28"/>
  <c r="L59" i="28"/>
  <c r="L60" i="28"/>
  <c r="L61" i="28"/>
  <c r="L62" i="28"/>
  <c r="L65" i="28"/>
  <c r="L66" i="28"/>
  <c r="L67" i="28"/>
  <c r="L68" i="28"/>
  <c r="L69" i="28"/>
  <c r="L70" i="28"/>
  <c r="L71" i="28"/>
  <c r="L8" i="28"/>
  <c r="M7" i="28"/>
  <c r="B363" i="9"/>
  <c r="K12" i="10"/>
  <c r="A2" i="9"/>
  <c r="Q26" i="22"/>
  <c r="Q27" i="22"/>
  <c r="Q28" i="22"/>
  <c r="S6" i="22"/>
  <c r="S7" i="22"/>
  <c r="S8" i="22"/>
  <c r="S9" i="22"/>
  <c r="S10" i="22"/>
  <c r="S11" i="22"/>
  <c r="S12" i="22"/>
  <c r="S13" i="22"/>
  <c r="S14" i="22"/>
  <c r="S5" i="22"/>
  <c r="D300" i="9" l="1"/>
  <c r="D308" i="9"/>
  <c r="I308" i="9" s="1"/>
  <c r="O300" i="9"/>
  <c r="T300" i="9" s="1"/>
  <c r="U300" i="9" s="1"/>
  <c r="T18" i="16" s="1"/>
  <c r="M44" i="28"/>
  <c r="M45" i="28"/>
  <c r="M42" i="28"/>
  <c r="M43" i="28"/>
  <c r="M21" i="28"/>
  <c r="I300" i="9"/>
  <c r="P82" i="9"/>
  <c r="N84" i="9" s="1"/>
  <c r="N85" i="9" s="1"/>
  <c r="N86" i="9" s="1"/>
  <c r="O82" i="9"/>
  <c r="T82" i="9" s="1"/>
  <c r="M15" i="28"/>
  <c r="M22" i="28"/>
  <c r="M28" i="28"/>
  <c r="M29" i="28"/>
  <c r="M33" i="28"/>
  <c r="M36" i="28"/>
  <c r="M58" i="28"/>
  <c r="M59" i="28"/>
  <c r="M60" i="28"/>
  <c r="M61" i="28"/>
  <c r="M62" i="28"/>
  <c r="M65" i="28"/>
  <c r="M66" i="28"/>
  <c r="M67" i="28"/>
  <c r="M68" i="28"/>
  <c r="M69" i="28"/>
  <c r="M70" i="28"/>
  <c r="M71" i="28"/>
  <c r="M8" i="28"/>
  <c r="O152" i="9"/>
  <c r="T152" i="9" s="1"/>
  <c r="P152" i="9"/>
  <c r="N154" i="9" s="1"/>
  <c r="N155" i="9" s="1"/>
  <c r="N156" i="9" s="1"/>
  <c r="N157" i="9" s="1"/>
  <c r="N158" i="9" s="1"/>
  <c r="N159" i="9" s="1"/>
  <c r="E183" i="9"/>
  <c r="E193" i="9"/>
  <c r="C195" i="9" s="1"/>
  <c r="P191" i="9"/>
  <c r="N193" i="9" s="1"/>
  <c r="N194" i="9" s="1"/>
  <c r="N195" i="9" s="1"/>
  <c r="O191" i="9"/>
  <c r="T191" i="9" s="1"/>
  <c r="D193" i="9"/>
  <c r="I193" i="9" s="1"/>
  <c r="E165" i="9"/>
  <c r="C167" i="9" s="1"/>
  <c r="D165" i="9"/>
  <c r="P198" i="9"/>
  <c r="N200" i="9" s="1"/>
  <c r="N201" i="9" s="1"/>
  <c r="N202" i="9" s="1"/>
  <c r="O183" i="9"/>
  <c r="T183" i="9" s="1"/>
  <c r="P183" i="9"/>
  <c r="O198" i="9"/>
  <c r="T198" i="9" s="1"/>
  <c r="D198" i="9"/>
  <c r="I198" i="9" s="1"/>
  <c r="D183" i="9"/>
  <c r="I183" i="9" s="1"/>
  <c r="E198" i="9"/>
  <c r="C200" i="9" s="1"/>
  <c r="C201" i="9" s="1"/>
  <c r="C202" i="9" s="1"/>
  <c r="C203" i="9" s="1"/>
  <c r="E101" i="9"/>
  <c r="C103" i="9" s="1"/>
  <c r="D351" i="9"/>
  <c r="N7" i="28"/>
  <c r="E351" i="9"/>
  <c r="C353" i="9" s="1"/>
  <c r="BC46" i="2"/>
  <c r="K28" i="22"/>
  <c r="N44" i="28" l="1"/>
  <c r="N45" i="28"/>
  <c r="N42" i="28"/>
  <c r="N43" i="28"/>
  <c r="N21" i="28"/>
  <c r="J308" i="9"/>
  <c r="T19" i="16" s="1"/>
  <c r="J300" i="9"/>
  <c r="T17" i="16" s="1"/>
  <c r="U82" i="9"/>
  <c r="H12" i="16" s="1"/>
  <c r="N15" i="28"/>
  <c r="N22" i="28"/>
  <c r="N28" i="28"/>
  <c r="N29" i="28"/>
  <c r="N33" i="28"/>
  <c r="N36" i="28"/>
  <c r="N58" i="28"/>
  <c r="N59" i="28"/>
  <c r="N60" i="28"/>
  <c r="N61" i="28"/>
  <c r="N62" i="28"/>
  <c r="N65" i="28"/>
  <c r="N66" i="28"/>
  <c r="N67" i="28"/>
  <c r="N68" i="28"/>
  <c r="N69" i="28"/>
  <c r="N70" i="28"/>
  <c r="N71" i="28"/>
  <c r="N8" i="28"/>
  <c r="U152" i="9"/>
  <c r="H26" i="16" s="1"/>
  <c r="U191" i="9"/>
  <c r="N11" i="16" s="1"/>
  <c r="J193" i="9"/>
  <c r="N8" i="16" s="1"/>
  <c r="N185" i="9"/>
  <c r="N186" i="9" s="1"/>
  <c r="N187" i="9" s="1"/>
  <c r="N188" i="9" s="1"/>
  <c r="C185" i="9"/>
  <c r="C186" i="9" s="1"/>
  <c r="C187" i="9" s="1"/>
  <c r="C188" i="9" s="1"/>
  <c r="C189" i="9" s="1"/>
  <c r="C190" i="9" s="1"/>
  <c r="U183" i="9"/>
  <c r="N10" i="16" s="1"/>
  <c r="U198" i="9"/>
  <c r="N12" i="16" s="1"/>
  <c r="J198" i="9"/>
  <c r="N9" i="16" s="1"/>
  <c r="J183" i="9"/>
  <c r="N7" i="16" s="1"/>
  <c r="O7" i="28"/>
  <c r="N28" i="22"/>
  <c r="L28" i="22"/>
  <c r="M28" i="22"/>
  <c r="A2" i="28"/>
  <c r="T20" i="16" l="1"/>
  <c r="O43" i="28"/>
  <c r="O44" i="28"/>
  <c r="O45" i="28"/>
  <c r="O42" i="28"/>
  <c r="O21" i="28"/>
  <c r="O15" i="28"/>
  <c r="O22" i="28"/>
  <c r="O28" i="28"/>
  <c r="O29" i="28"/>
  <c r="O33" i="28"/>
  <c r="O36" i="28"/>
  <c r="O58" i="28"/>
  <c r="O59" i="28"/>
  <c r="O60" i="28"/>
  <c r="O61" i="28"/>
  <c r="O8" i="28"/>
  <c r="O62" i="28"/>
  <c r="O65" i="28"/>
  <c r="O66" i="28"/>
  <c r="O67" i="28"/>
  <c r="O68" i="28"/>
  <c r="O69" i="28"/>
  <c r="O70" i="28"/>
  <c r="O71" i="28"/>
  <c r="N13" i="16"/>
  <c r="P7" i="28"/>
  <c r="A2" i="19"/>
  <c r="B6" i="19" s="1"/>
  <c r="P44" i="28" l="1"/>
  <c r="P45" i="28"/>
  <c r="P42" i="28"/>
  <c r="P43" i="28"/>
  <c r="P21" i="28"/>
  <c r="P15" i="28"/>
  <c r="P22" i="28"/>
  <c r="P28" i="28"/>
  <c r="P29" i="28"/>
  <c r="P33" i="28"/>
  <c r="P36" i="28"/>
  <c r="P58" i="28"/>
  <c r="P59" i="28"/>
  <c r="P60" i="28"/>
  <c r="P61" i="28"/>
  <c r="P62" i="28"/>
  <c r="P65" i="28"/>
  <c r="P66" i="28"/>
  <c r="P67" i="28"/>
  <c r="P68" i="28"/>
  <c r="P69" i="28"/>
  <c r="P70" i="28"/>
  <c r="P71" i="28"/>
  <c r="P8" i="28"/>
  <c r="Q7" i="28"/>
  <c r="G6" i="19"/>
  <c r="F6" i="19"/>
  <c r="E6" i="19"/>
  <c r="D6" i="19"/>
  <c r="C6" i="19"/>
  <c r="Q44" i="28" l="1"/>
  <c r="Q45" i="28"/>
  <c r="Q42" i="28"/>
  <c r="Q43" i="28"/>
  <c r="Q21" i="28"/>
  <c r="Q15" i="28"/>
  <c r="Q22" i="28"/>
  <c r="Q28" i="28"/>
  <c r="Q29" i="28"/>
  <c r="Q33" i="28"/>
  <c r="Q36" i="28"/>
  <c r="Q58" i="28"/>
  <c r="Q59" i="28"/>
  <c r="Q60" i="28"/>
  <c r="Q61" i="28"/>
  <c r="Q62" i="28"/>
  <c r="Q65" i="28"/>
  <c r="Q66" i="28"/>
  <c r="Q67" i="28"/>
  <c r="Q68" i="28"/>
  <c r="Q69" i="28"/>
  <c r="Q70" i="28"/>
  <c r="Q71" i="28"/>
  <c r="Q8" i="28"/>
  <c r="R7" i="28"/>
  <c r="R44" i="28" l="1"/>
  <c r="R45" i="28"/>
  <c r="R42" i="28"/>
  <c r="R43" i="28"/>
  <c r="R21" i="28"/>
  <c r="R15" i="28"/>
  <c r="R22" i="28"/>
  <c r="R28" i="28"/>
  <c r="R29" i="28"/>
  <c r="R33" i="28"/>
  <c r="R36" i="28"/>
  <c r="R58" i="28"/>
  <c r="R59" i="28"/>
  <c r="R60" i="28"/>
  <c r="R61" i="28"/>
  <c r="R62" i="28"/>
  <c r="R65" i="28"/>
  <c r="R66" i="28"/>
  <c r="R67" i="28"/>
  <c r="R68" i="28"/>
  <c r="R69" i="28"/>
  <c r="R70" i="28"/>
  <c r="R71" i="28"/>
  <c r="R8" i="28"/>
  <c r="S7" i="28"/>
  <c r="G61" i="28"/>
  <c r="S43" i="28" l="1"/>
  <c r="S44" i="28"/>
  <c r="S45" i="28"/>
  <c r="S42" i="28"/>
  <c r="S21" i="28"/>
  <c r="S15" i="28"/>
  <c r="S22" i="28"/>
  <c r="S28" i="28"/>
  <c r="S29" i="28"/>
  <c r="S33" i="28"/>
  <c r="S36" i="28"/>
  <c r="S58" i="28"/>
  <c r="S59" i="28"/>
  <c r="S60" i="28"/>
  <c r="S61" i="28"/>
  <c r="S62" i="28"/>
  <c r="S65" i="28"/>
  <c r="S66" i="28"/>
  <c r="S67" i="28"/>
  <c r="S68" i="28"/>
  <c r="S69" i="28"/>
  <c r="S70" i="28"/>
  <c r="S71" i="28"/>
  <c r="S8" i="28"/>
  <c r="T7" i="28"/>
  <c r="T44" i="28" l="1"/>
  <c r="T45" i="28"/>
  <c r="T42" i="28"/>
  <c r="T43" i="28"/>
  <c r="T21" i="28"/>
  <c r="T15" i="28"/>
  <c r="T22" i="28"/>
  <c r="T28" i="28"/>
  <c r="T29" i="28"/>
  <c r="T33" i="28"/>
  <c r="T36" i="28"/>
  <c r="T58" i="28"/>
  <c r="T59" i="28"/>
  <c r="T60" i="28"/>
  <c r="T61" i="28"/>
  <c r="T62" i="28"/>
  <c r="T65" i="28"/>
  <c r="T66" i="28"/>
  <c r="T67" i="28"/>
  <c r="T68" i="28"/>
  <c r="T69" i="28"/>
  <c r="T70" i="28"/>
  <c r="T71" i="28"/>
  <c r="T8" i="28"/>
  <c r="U7" i="28"/>
  <c r="M331" i="9"/>
  <c r="BC4" i="2"/>
  <c r="K24" i="22"/>
  <c r="U44" i="28" l="1"/>
  <c r="U45" i="28"/>
  <c r="U42" i="28"/>
  <c r="U43" i="28"/>
  <c r="U21" i="28"/>
  <c r="U15" i="28"/>
  <c r="U22" i="28"/>
  <c r="U28" i="28"/>
  <c r="U29" i="28"/>
  <c r="U33" i="28"/>
  <c r="U36" i="28"/>
  <c r="U58" i="28"/>
  <c r="U59" i="28"/>
  <c r="U60" i="28"/>
  <c r="U61" i="28"/>
  <c r="U62" i="28"/>
  <c r="U8" i="28"/>
  <c r="U65" i="28"/>
  <c r="U66" i="28"/>
  <c r="U67" i="28"/>
  <c r="U68" i="28"/>
  <c r="U69" i="28"/>
  <c r="U70" i="28"/>
  <c r="U71" i="28"/>
  <c r="V7" i="28"/>
  <c r="V44" i="28" l="1"/>
  <c r="V45" i="28"/>
  <c r="V42" i="28"/>
  <c r="V43" i="28"/>
  <c r="V21" i="28"/>
  <c r="V15" i="28"/>
  <c r="V22" i="28"/>
  <c r="V28" i="28"/>
  <c r="V29" i="28"/>
  <c r="V33" i="28"/>
  <c r="V36" i="28"/>
  <c r="V58" i="28"/>
  <c r="V59" i="28"/>
  <c r="V60" i="28"/>
  <c r="V61" i="28"/>
  <c r="V62" i="28"/>
  <c r="V65" i="28"/>
  <c r="V66" i="28"/>
  <c r="V67" i="28"/>
  <c r="V68" i="28"/>
  <c r="V69" i="28"/>
  <c r="V70" i="28"/>
  <c r="V71" i="28"/>
  <c r="V8" i="28"/>
  <c r="W7" i="28"/>
  <c r="W43" i="28" l="1"/>
  <c r="W44" i="28"/>
  <c r="W45" i="28"/>
  <c r="W42" i="28"/>
  <c r="W21" i="28"/>
  <c r="W15" i="28"/>
  <c r="W22" i="28"/>
  <c r="W28" i="28"/>
  <c r="W29" i="28"/>
  <c r="W33" i="28"/>
  <c r="W36" i="28"/>
  <c r="W58" i="28"/>
  <c r="W59" i="28"/>
  <c r="W60" i="28"/>
  <c r="W61" i="28"/>
  <c r="W62" i="28"/>
  <c r="W65" i="28"/>
  <c r="W66" i="28"/>
  <c r="W67" i="28"/>
  <c r="W68" i="28"/>
  <c r="W69" i="28"/>
  <c r="W70" i="28"/>
  <c r="W71" i="28"/>
  <c r="W8" i="28"/>
  <c r="X7" i="28"/>
  <c r="X43" i="28" l="1"/>
  <c r="X44" i="28"/>
  <c r="X45" i="28"/>
  <c r="X42" i="28"/>
  <c r="X21" i="28"/>
  <c r="X15" i="28"/>
  <c r="X22" i="28"/>
  <c r="X28" i="28"/>
  <c r="X29" i="28"/>
  <c r="X33" i="28"/>
  <c r="X36" i="28"/>
  <c r="X58" i="28"/>
  <c r="X59" i="28"/>
  <c r="X60" i="28"/>
  <c r="X61" i="28"/>
  <c r="X62" i="28"/>
  <c r="X65" i="28"/>
  <c r="X66" i="28"/>
  <c r="X67" i="28"/>
  <c r="X68" i="28"/>
  <c r="X69" i="28"/>
  <c r="X70" i="28"/>
  <c r="X71" i="28"/>
  <c r="X8" i="28"/>
  <c r="Y7" i="28"/>
  <c r="Y43" i="28" l="1"/>
  <c r="Y44" i="28"/>
  <c r="Y45" i="28"/>
  <c r="Y42" i="28"/>
  <c r="Y21" i="28"/>
  <c r="Y15" i="28"/>
  <c r="Y22" i="28"/>
  <c r="Y28" i="28"/>
  <c r="Y29" i="28"/>
  <c r="Y33" i="28"/>
  <c r="Y36" i="28"/>
  <c r="Y58" i="28"/>
  <c r="Y59" i="28"/>
  <c r="Y60" i="28"/>
  <c r="Y61" i="28"/>
  <c r="Y62" i="28"/>
  <c r="Y8" i="28"/>
  <c r="Y65" i="28"/>
  <c r="Y66" i="28"/>
  <c r="Y67" i="28"/>
  <c r="Y68" i="28"/>
  <c r="Y69" i="28"/>
  <c r="Y70" i="28"/>
  <c r="Y71" i="28"/>
  <c r="Z7" i="28"/>
  <c r="Z43" i="28" l="1"/>
  <c r="Z44" i="28"/>
  <c r="Z45" i="28"/>
  <c r="Z42" i="28"/>
  <c r="Z21" i="28"/>
  <c r="Z15" i="28"/>
  <c r="Z22" i="28"/>
  <c r="Z28" i="28"/>
  <c r="Z29" i="28"/>
  <c r="Z33" i="28"/>
  <c r="Z36" i="28"/>
  <c r="Z58" i="28"/>
  <c r="Z59" i="28"/>
  <c r="Z60" i="28"/>
  <c r="Z61" i="28"/>
  <c r="Z62" i="28"/>
  <c r="Z65" i="28"/>
  <c r="Z66" i="28"/>
  <c r="Z67" i="28"/>
  <c r="Z68" i="28"/>
  <c r="Z69" i="28"/>
  <c r="Z70" i="28"/>
  <c r="Z71" i="28"/>
  <c r="Z8" i="28"/>
  <c r="AA7" i="28"/>
  <c r="D11" i="28"/>
  <c r="G11" i="28" s="1"/>
  <c r="C11" i="28"/>
  <c r="AA43" i="28" l="1"/>
  <c r="AA44" i="28"/>
  <c r="AA45" i="28"/>
  <c r="AA42" i="28"/>
  <c r="AA21" i="28"/>
  <c r="I11" i="28"/>
  <c r="J11" i="28"/>
  <c r="K11" i="28"/>
  <c r="L11" i="28"/>
  <c r="M11" i="28"/>
  <c r="N11" i="28"/>
  <c r="O11" i="28"/>
  <c r="P11" i="28"/>
  <c r="Q11" i="28"/>
  <c r="R11" i="28"/>
  <c r="S11" i="28"/>
  <c r="T11" i="28"/>
  <c r="U11" i="28"/>
  <c r="V11" i="28"/>
  <c r="W11" i="28"/>
  <c r="X11" i="28"/>
  <c r="Y11" i="28"/>
  <c r="AA11" i="28"/>
  <c r="AA15" i="28"/>
  <c r="AA22" i="28"/>
  <c r="AA28" i="28"/>
  <c r="AA29" i="28"/>
  <c r="AA33" i="28"/>
  <c r="AA36" i="28"/>
  <c r="AA58" i="28"/>
  <c r="AA59" i="28"/>
  <c r="AA60" i="28"/>
  <c r="AA61" i="28"/>
  <c r="AA62" i="28"/>
  <c r="AA65" i="28"/>
  <c r="AA66" i="28"/>
  <c r="AA67" i="28"/>
  <c r="AA68" i="28"/>
  <c r="AA69" i="28"/>
  <c r="AA70" i="28"/>
  <c r="AA71" i="28"/>
  <c r="AA8" i="28"/>
  <c r="Z11" i="28"/>
  <c r="AB7" i="28"/>
  <c r="I3" i="28"/>
  <c r="I4" i="28" s="1"/>
  <c r="AB43" i="28" l="1"/>
  <c r="AB44" i="28"/>
  <c r="AB45" i="28"/>
  <c r="AB42" i="28"/>
  <c r="AB21" i="28"/>
  <c r="AB11" i="28"/>
  <c r="AB15" i="28"/>
  <c r="AB22" i="28"/>
  <c r="AB28" i="28"/>
  <c r="AB29" i="28"/>
  <c r="AB33" i="28"/>
  <c r="AB36" i="28"/>
  <c r="AB58" i="28"/>
  <c r="AB59" i="28"/>
  <c r="AB60" i="28"/>
  <c r="AB61" i="28"/>
  <c r="AB62" i="28"/>
  <c r="AB65" i="28"/>
  <c r="AB66" i="28"/>
  <c r="AB67" i="28"/>
  <c r="AB68" i="28"/>
  <c r="AB69" i="28"/>
  <c r="AB70" i="28"/>
  <c r="AB71" i="28"/>
  <c r="AB8" i="28"/>
  <c r="AC7" i="28"/>
  <c r="I5" i="28"/>
  <c r="D10" i="28"/>
  <c r="G10" i="28" s="1"/>
  <c r="C10" i="28"/>
  <c r="AC43" i="28" l="1"/>
  <c r="AC44" i="28"/>
  <c r="AC45" i="28"/>
  <c r="AC42" i="28"/>
  <c r="AC21" i="28"/>
  <c r="I10" i="28"/>
  <c r="J10" i="28"/>
  <c r="K10" i="28"/>
  <c r="L10" i="28"/>
  <c r="M10" i="28"/>
  <c r="N10" i="28"/>
  <c r="O10" i="28"/>
  <c r="P10" i="28"/>
  <c r="Q10" i="28"/>
  <c r="R10" i="28"/>
  <c r="S10" i="28"/>
  <c r="T10" i="28"/>
  <c r="U10" i="28"/>
  <c r="V10" i="28"/>
  <c r="W10" i="28"/>
  <c r="X10" i="28"/>
  <c r="Y10" i="28"/>
  <c r="Z10" i="28"/>
  <c r="AA10" i="28"/>
  <c r="AC10" i="28"/>
  <c r="AC11" i="28"/>
  <c r="AC15" i="28"/>
  <c r="AC22" i="28"/>
  <c r="AC28" i="28"/>
  <c r="AC29" i="28"/>
  <c r="AC33" i="28"/>
  <c r="AC36" i="28"/>
  <c r="AC58" i="28"/>
  <c r="AC59" i="28"/>
  <c r="AC60" i="28"/>
  <c r="AC61" i="28"/>
  <c r="AC62" i="28"/>
  <c r="AC8" i="28"/>
  <c r="AC65" i="28"/>
  <c r="AC66" i="28"/>
  <c r="AC67" i="28"/>
  <c r="AC68" i="28"/>
  <c r="AC69" i="28"/>
  <c r="AC70" i="28"/>
  <c r="AC71" i="28"/>
  <c r="AB10" i="28"/>
  <c r="AD7" i="28"/>
  <c r="A3" i="27"/>
  <c r="A4" i="27" s="1"/>
  <c r="A5" i="27" s="1"/>
  <c r="A6" i="27" s="1"/>
  <c r="A7" i="27" s="1"/>
  <c r="A8" i="27" s="1"/>
  <c r="A9" i="27" s="1"/>
  <c r="A10" i="27" s="1"/>
  <c r="A11" i="27" s="1"/>
  <c r="A12" i="27" s="1"/>
  <c r="A13" i="27" s="1"/>
  <c r="A14" i="27" s="1"/>
  <c r="A15" i="27" s="1"/>
  <c r="A16" i="27" s="1"/>
  <c r="A17" i="27" s="1"/>
  <c r="A18" i="27" s="1"/>
  <c r="A19" i="27" s="1"/>
  <c r="A20" i="27" s="1"/>
  <c r="A21" i="27" s="1"/>
  <c r="A22" i="27" s="1"/>
  <c r="A23" i="27" s="1"/>
  <c r="A24" i="27" s="1"/>
  <c r="A25" i="27" s="1"/>
  <c r="A26" i="27" s="1"/>
  <c r="A27" i="27" s="1"/>
  <c r="A28" i="27" s="1"/>
  <c r="A29" i="27" s="1"/>
  <c r="A30" i="27" s="1"/>
  <c r="A31" i="27" s="1"/>
  <c r="A32" i="27" s="1"/>
  <c r="A33" i="27" s="1"/>
  <c r="A34" i="27" s="1"/>
  <c r="A35" i="27" s="1"/>
  <c r="A36" i="27" s="1"/>
  <c r="A37" i="27" s="1"/>
  <c r="A38" i="27" s="1"/>
  <c r="A39" i="27" s="1"/>
  <c r="A40" i="27" s="1"/>
  <c r="A41" i="27" s="1"/>
  <c r="A42" i="27" s="1"/>
  <c r="A43" i="27" s="1"/>
  <c r="A44" i="27" s="1"/>
  <c r="A45" i="27" s="1"/>
  <c r="A46" i="27" s="1"/>
  <c r="A47" i="27" s="1"/>
  <c r="A48" i="27" s="1"/>
  <c r="A49" i="27" s="1"/>
  <c r="A50" i="27" s="1"/>
  <c r="A51" i="27" s="1"/>
  <c r="A52" i="27" s="1"/>
  <c r="A53" i="27" s="1"/>
  <c r="A54" i="27" s="1"/>
  <c r="A55" i="27" s="1"/>
  <c r="A56" i="27" s="1"/>
  <c r="A57" i="27" s="1"/>
  <c r="A58" i="27" s="1"/>
  <c r="A59" i="27" s="1"/>
  <c r="A60" i="27" s="1"/>
  <c r="A61" i="27" s="1"/>
  <c r="A62" i="27" s="1"/>
  <c r="A63" i="27" s="1"/>
  <c r="A64" i="27" s="1"/>
  <c r="A65" i="27" s="1"/>
  <c r="A66" i="27" s="1"/>
  <c r="A67" i="27" s="1"/>
  <c r="A68" i="27" s="1"/>
  <c r="A69" i="27" s="1"/>
  <c r="A70" i="27" s="1"/>
  <c r="A71" i="27" s="1"/>
  <c r="A72" i="27" s="1"/>
  <c r="A73" i="27" s="1"/>
  <c r="A74" i="27" s="1"/>
  <c r="A75" i="27" s="1"/>
  <c r="A76" i="27" s="1"/>
  <c r="A77" i="27" s="1"/>
  <c r="A78" i="27" s="1"/>
  <c r="A79" i="27" s="1"/>
  <c r="A80" i="27" s="1"/>
  <c r="A81" i="27" s="1"/>
  <c r="A82" i="27" s="1"/>
  <c r="A83" i="27" s="1"/>
  <c r="A84" i="27" s="1"/>
  <c r="A85" i="27" s="1"/>
  <c r="A86" i="27" s="1"/>
  <c r="A87" i="27" s="1"/>
  <c r="A88" i="27" s="1"/>
  <c r="A89" i="27" s="1"/>
  <c r="A90" i="27" s="1"/>
  <c r="A91" i="27" s="1"/>
  <c r="A92" i="27" s="1"/>
  <c r="A93" i="27" s="1"/>
  <c r="A94" i="27" s="1"/>
  <c r="A95" i="27" s="1"/>
  <c r="A96" i="27" s="1"/>
  <c r="A97" i="27" s="1"/>
  <c r="A98" i="27" s="1"/>
  <c r="A99" i="27" s="1"/>
  <c r="A100" i="27" s="1"/>
  <c r="A101" i="27" s="1"/>
  <c r="A102" i="27" s="1"/>
  <c r="A103" i="27" s="1"/>
  <c r="A104" i="27" s="1"/>
  <c r="A105" i="27" s="1"/>
  <c r="A106" i="27" s="1"/>
  <c r="A107" i="27" s="1"/>
  <c r="A108" i="27" s="1"/>
  <c r="A109" i="27" s="1"/>
  <c r="A110" i="27" s="1"/>
  <c r="A111" i="27" s="1"/>
  <c r="A112" i="27" s="1"/>
  <c r="A113" i="27" s="1"/>
  <c r="A114" i="27" s="1"/>
  <c r="A115" i="27" s="1"/>
  <c r="A116" i="27" s="1"/>
  <c r="A117" i="27" s="1"/>
  <c r="A118" i="27" s="1"/>
  <c r="A119" i="27" s="1"/>
  <c r="A120" i="27" s="1"/>
  <c r="A121" i="27" s="1"/>
  <c r="A122" i="27" s="1"/>
  <c r="A123" i="27" s="1"/>
  <c r="A124" i="27" s="1"/>
  <c r="A125" i="27" s="1"/>
  <c r="A126" i="27" s="1"/>
  <c r="A127" i="27" s="1"/>
  <c r="A128" i="27" s="1"/>
  <c r="A129" i="27" s="1"/>
  <c r="A130" i="27" s="1"/>
  <c r="A131" i="27" s="1"/>
  <c r="A132" i="27" s="1"/>
  <c r="A133" i="27" s="1"/>
  <c r="A134" i="27" s="1"/>
  <c r="A135" i="27" s="1"/>
  <c r="A136" i="27" s="1"/>
  <c r="A137" i="27" s="1"/>
  <c r="A138" i="27" s="1"/>
  <c r="A139" i="27" s="1"/>
  <c r="A140" i="27" s="1"/>
  <c r="A141" i="27" s="1"/>
  <c r="A142" i="27" s="1"/>
  <c r="A143" i="27" s="1"/>
  <c r="A144" i="27" s="1"/>
  <c r="A145" i="27" s="1"/>
  <c r="A146" i="27" s="1"/>
  <c r="A147" i="27" s="1"/>
  <c r="A148" i="27" s="1"/>
  <c r="A149" i="27" s="1"/>
  <c r="A150" i="27" s="1"/>
  <c r="A151" i="27" s="1"/>
  <c r="A152" i="27" s="1"/>
  <c r="A153" i="27" s="1"/>
  <c r="A154" i="27" s="1"/>
  <c r="A155" i="27" s="1"/>
  <c r="A156" i="27" s="1"/>
  <c r="A157" i="27" s="1"/>
  <c r="A158" i="27" s="1"/>
  <c r="A159" i="27" s="1"/>
  <c r="A160" i="27" s="1"/>
  <c r="A161" i="27" s="1"/>
  <c r="A162" i="27" s="1"/>
  <c r="A163" i="27" s="1"/>
  <c r="A164" i="27" s="1"/>
  <c r="A165" i="27" s="1"/>
  <c r="A166" i="27" s="1"/>
  <c r="A167" i="27" s="1"/>
  <c r="A168" i="27" s="1"/>
  <c r="A169" i="27" s="1"/>
  <c r="A170" i="27" s="1"/>
  <c r="A171" i="27" s="1"/>
  <c r="A172" i="27" s="1"/>
  <c r="A173" i="27" s="1"/>
  <c r="A174" i="27" s="1"/>
  <c r="A175" i="27" s="1"/>
  <c r="A176" i="27" s="1"/>
  <c r="A177" i="27" s="1"/>
  <c r="A178" i="27" s="1"/>
  <c r="A179" i="27" s="1"/>
  <c r="A180" i="27" s="1"/>
  <c r="A181" i="27" s="1"/>
  <c r="A182" i="27" s="1"/>
  <c r="A183" i="27" s="1"/>
  <c r="A184" i="27" s="1"/>
  <c r="A185" i="27" s="1"/>
  <c r="A186" i="27" s="1"/>
  <c r="A187" i="27" s="1"/>
  <c r="A188" i="27" s="1"/>
  <c r="A189" i="27" s="1"/>
  <c r="A190" i="27" s="1"/>
  <c r="A191" i="27" s="1"/>
  <c r="A192" i="27" s="1"/>
  <c r="A193" i="27" s="1"/>
  <c r="A194" i="27" s="1"/>
  <c r="A195" i="27" s="1"/>
  <c r="A196" i="27" s="1"/>
  <c r="A197" i="27" s="1"/>
  <c r="A198" i="27" s="1"/>
  <c r="A199" i="27" s="1"/>
  <c r="A200" i="27" s="1"/>
  <c r="A201" i="27" s="1"/>
  <c r="A202" i="27" s="1"/>
  <c r="A203" i="27" s="1"/>
  <c r="A204" i="27" s="1"/>
  <c r="A205" i="27" s="1"/>
  <c r="A206" i="27" s="1"/>
  <c r="A207" i="27" s="1"/>
  <c r="A208" i="27" s="1"/>
  <c r="A209" i="27" s="1"/>
  <c r="A210" i="27" s="1"/>
  <c r="A211" i="27" s="1"/>
  <c r="A212" i="27" s="1"/>
  <c r="A213" i="27" s="1"/>
  <c r="A214" i="27" s="1"/>
  <c r="A215" i="27" s="1"/>
  <c r="A216" i="27" s="1"/>
  <c r="A217" i="27" s="1"/>
  <c r="A218" i="27" s="1"/>
  <c r="A219" i="27" s="1"/>
  <c r="A220" i="27" s="1"/>
  <c r="A221" i="27" s="1"/>
  <c r="A222" i="27" s="1"/>
  <c r="A223" i="27" s="1"/>
  <c r="A224" i="27" s="1"/>
  <c r="A225" i="27" s="1"/>
  <c r="A226" i="27" s="1"/>
  <c r="A227" i="27" s="1"/>
  <c r="A228" i="27" s="1"/>
  <c r="A229" i="27" s="1"/>
  <c r="A230" i="27" s="1"/>
  <c r="A231" i="27" s="1"/>
  <c r="A232" i="27" s="1"/>
  <c r="A233" i="27" s="1"/>
  <c r="A234" i="27" s="1"/>
  <c r="A235" i="27" s="1"/>
  <c r="A236" i="27" s="1"/>
  <c r="A237" i="27" s="1"/>
  <c r="A238" i="27" s="1"/>
  <c r="A239" i="27" s="1"/>
  <c r="A240" i="27" s="1"/>
  <c r="A241" i="27" s="1"/>
  <c r="A242" i="27" s="1"/>
  <c r="A243" i="27" s="1"/>
  <c r="A244" i="27" s="1"/>
  <c r="A245" i="27" s="1"/>
  <c r="A246" i="27" s="1"/>
  <c r="A247" i="27" s="1"/>
  <c r="A248" i="27" s="1"/>
  <c r="A249" i="27" s="1"/>
  <c r="A250" i="27" s="1"/>
  <c r="A251" i="27" s="1"/>
  <c r="A252" i="27" s="1"/>
  <c r="A253" i="27" s="1"/>
  <c r="A254" i="27" s="1"/>
  <c r="A255" i="27" s="1"/>
  <c r="A256" i="27" s="1"/>
  <c r="A257" i="27" s="1"/>
  <c r="A258" i="27" s="1"/>
  <c r="A259" i="27" s="1"/>
  <c r="A260" i="27" s="1"/>
  <c r="A261" i="27" s="1"/>
  <c r="A262" i="27" s="1"/>
  <c r="A263" i="27" s="1"/>
  <c r="A264" i="27" s="1"/>
  <c r="A265" i="27" s="1"/>
  <c r="A266" i="27" s="1"/>
  <c r="A267" i="27" s="1"/>
  <c r="A268" i="27" s="1"/>
  <c r="A269" i="27" s="1"/>
  <c r="A270" i="27" s="1"/>
  <c r="A271" i="27" s="1"/>
  <c r="A272" i="27" s="1"/>
  <c r="A273" i="27" s="1"/>
  <c r="A274" i="27" s="1"/>
  <c r="A275" i="27" s="1"/>
  <c r="A276" i="27" s="1"/>
  <c r="A277" i="27" s="1"/>
  <c r="A278" i="27" s="1"/>
  <c r="A279" i="27" s="1"/>
  <c r="A280" i="27" s="1"/>
  <c r="A281" i="27" s="1"/>
  <c r="A282" i="27" s="1"/>
  <c r="A283" i="27" s="1"/>
  <c r="A284" i="27" s="1"/>
  <c r="A285" i="27" s="1"/>
  <c r="A286" i="27" s="1"/>
  <c r="A287" i="27" s="1"/>
  <c r="A288" i="27" s="1"/>
  <c r="A289" i="27" s="1"/>
  <c r="A290" i="27" s="1"/>
  <c r="A291" i="27" s="1"/>
  <c r="A292" i="27" s="1"/>
  <c r="A293" i="27" s="1"/>
  <c r="A294" i="27" s="1"/>
  <c r="A295" i="27" s="1"/>
  <c r="A296" i="27" s="1"/>
  <c r="A297" i="27" s="1"/>
  <c r="A298" i="27" s="1"/>
  <c r="A299" i="27" s="1"/>
  <c r="A300" i="27" s="1"/>
  <c r="A301" i="27" s="1"/>
  <c r="A302" i="27" s="1"/>
  <c r="A303" i="27" s="1"/>
  <c r="A304" i="27" s="1"/>
  <c r="A305" i="27" s="1"/>
  <c r="A306" i="27" s="1"/>
  <c r="A307" i="27" s="1"/>
  <c r="A308" i="27" s="1"/>
  <c r="A309" i="27" s="1"/>
  <c r="A310" i="27" s="1"/>
  <c r="A311" i="27" s="1"/>
  <c r="A312" i="27" s="1"/>
  <c r="A313" i="27" s="1"/>
  <c r="A314" i="27" s="1"/>
  <c r="A315" i="27" s="1"/>
  <c r="A316" i="27" s="1"/>
  <c r="A317" i="27" s="1"/>
  <c r="A318" i="27" s="1"/>
  <c r="A319" i="27" s="1"/>
  <c r="A320" i="27" s="1"/>
  <c r="A321" i="27" s="1"/>
  <c r="A322" i="27" s="1"/>
  <c r="A323" i="27" s="1"/>
  <c r="A324" i="27" s="1"/>
  <c r="A325" i="27" s="1"/>
  <c r="A326" i="27" s="1"/>
  <c r="A327" i="27" s="1"/>
  <c r="A328" i="27" s="1"/>
  <c r="A329" i="27" s="1"/>
  <c r="A330" i="27" s="1"/>
  <c r="A331" i="27" s="1"/>
  <c r="A332" i="27" s="1"/>
  <c r="A333" i="27" s="1"/>
  <c r="A334" i="27" s="1"/>
  <c r="A335" i="27" s="1"/>
  <c r="A336" i="27" s="1"/>
  <c r="A337" i="27" s="1"/>
  <c r="A338" i="27" s="1"/>
  <c r="A339" i="27" s="1"/>
  <c r="A340" i="27" s="1"/>
  <c r="A341" i="27" s="1"/>
  <c r="A342" i="27" s="1"/>
  <c r="A343" i="27" s="1"/>
  <c r="A344" i="27" s="1"/>
  <c r="A345" i="27" s="1"/>
  <c r="A346" i="27" s="1"/>
  <c r="A347" i="27" s="1"/>
  <c r="A348" i="27" s="1"/>
  <c r="A349" i="27" s="1"/>
  <c r="A350" i="27" s="1"/>
  <c r="A351" i="27" s="1"/>
  <c r="A352" i="27" s="1"/>
  <c r="A353" i="27" s="1"/>
  <c r="A354" i="27" s="1"/>
  <c r="A355" i="27" s="1"/>
  <c r="A356" i="27" s="1"/>
  <c r="A357" i="27" s="1"/>
  <c r="A358" i="27" s="1"/>
  <c r="A359" i="27" s="1"/>
  <c r="A360" i="27" s="1"/>
  <c r="A361" i="27" s="1"/>
  <c r="A362" i="27" s="1"/>
  <c r="A363" i="27" s="1"/>
  <c r="A364" i="27" s="1"/>
  <c r="A365" i="27" s="1"/>
  <c r="A366" i="27" s="1"/>
  <c r="A367" i="27" s="1"/>
  <c r="A368" i="27" s="1"/>
  <c r="A369" i="27" s="1"/>
  <c r="A370" i="27" s="1"/>
  <c r="A371" i="27" s="1"/>
  <c r="A372" i="27" s="1"/>
  <c r="A373" i="27" s="1"/>
  <c r="A374" i="27" s="1"/>
  <c r="A375" i="27" s="1"/>
  <c r="A376" i="27" s="1"/>
  <c r="A377" i="27" s="1"/>
  <c r="A378" i="27" s="1"/>
  <c r="A379" i="27" s="1"/>
  <c r="A380" i="27" s="1"/>
  <c r="A381" i="27" s="1"/>
  <c r="A382" i="27" s="1"/>
  <c r="A383" i="27" s="1"/>
  <c r="A384" i="27" s="1"/>
  <c r="A385" i="27" s="1"/>
  <c r="A386" i="27" s="1"/>
  <c r="A387" i="27" s="1"/>
  <c r="A388" i="27" s="1"/>
  <c r="A389" i="27" s="1"/>
  <c r="A390" i="27" s="1"/>
  <c r="A391" i="27" s="1"/>
  <c r="A392" i="27" s="1"/>
  <c r="A393" i="27" s="1"/>
  <c r="A394" i="27" s="1"/>
  <c r="A395" i="27" s="1"/>
  <c r="A396" i="27" s="1"/>
  <c r="A397" i="27" s="1"/>
  <c r="A398" i="27" s="1"/>
  <c r="A399" i="27" s="1"/>
  <c r="A400" i="27" s="1"/>
  <c r="A401" i="27" s="1"/>
  <c r="A402" i="27" s="1"/>
  <c r="A403" i="27" s="1"/>
  <c r="A404" i="27" s="1"/>
  <c r="A405" i="27" s="1"/>
  <c r="A406" i="27" s="1"/>
  <c r="A407" i="27" s="1"/>
  <c r="A408" i="27" s="1"/>
  <c r="A409" i="27" s="1"/>
  <c r="A410" i="27" s="1"/>
  <c r="A411" i="27" s="1"/>
  <c r="A412" i="27" s="1"/>
  <c r="A413" i="27" s="1"/>
  <c r="A414" i="27" s="1"/>
  <c r="A415" i="27" s="1"/>
  <c r="A416" i="27" s="1"/>
  <c r="A417" i="27" s="1"/>
  <c r="A418" i="27" s="1"/>
  <c r="A419" i="27" s="1"/>
  <c r="A420" i="27" s="1"/>
  <c r="A421" i="27" s="1"/>
  <c r="A422" i="27" s="1"/>
  <c r="A423" i="27" s="1"/>
  <c r="A424" i="27" s="1"/>
  <c r="A425" i="27" s="1"/>
  <c r="A426" i="27" s="1"/>
  <c r="A427" i="27" s="1"/>
  <c r="A428" i="27" s="1"/>
  <c r="A429" i="27" s="1"/>
  <c r="A430" i="27" s="1"/>
  <c r="A431" i="27" s="1"/>
  <c r="A432" i="27" s="1"/>
  <c r="A433" i="27" s="1"/>
  <c r="A434" i="27" s="1"/>
  <c r="A435" i="27" s="1"/>
  <c r="A436" i="27" s="1"/>
  <c r="A437" i="27" s="1"/>
  <c r="A438" i="27" s="1"/>
  <c r="A439" i="27" s="1"/>
  <c r="A440" i="27" s="1"/>
  <c r="A441" i="27" s="1"/>
  <c r="A442" i="27" s="1"/>
  <c r="A443" i="27" s="1"/>
  <c r="A444" i="27" s="1"/>
  <c r="A445" i="27" s="1"/>
  <c r="A446" i="27" s="1"/>
  <c r="A447" i="27" s="1"/>
  <c r="A448" i="27" s="1"/>
  <c r="A449" i="27" s="1"/>
  <c r="A450" i="27" s="1"/>
  <c r="A451" i="27" s="1"/>
  <c r="A452" i="27" s="1"/>
  <c r="A453" i="27" s="1"/>
  <c r="A454" i="27" s="1"/>
  <c r="A455" i="27" s="1"/>
  <c r="A456" i="27" s="1"/>
  <c r="A457" i="27" s="1"/>
  <c r="A458" i="27" s="1"/>
  <c r="A459" i="27" s="1"/>
  <c r="A460" i="27" s="1"/>
  <c r="A461" i="27" s="1"/>
  <c r="A462" i="27" s="1"/>
  <c r="A463" i="27" s="1"/>
  <c r="A464" i="27" s="1"/>
  <c r="A465" i="27" s="1"/>
  <c r="A466" i="27" s="1"/>
  <c r="A467" i="27" s="1"/>
  <c r="A468" i="27" s="1"/>
  <c r="A469" i="27" s="1"/>
  <c r="A470" i="27" s="1"/>
  <c r="A471" i="27" s="1"/>
  <c r="A472" i="27" s="1"/>
  <c r="A473" i="27" s="1"/>
  <c r="A474" i="27" s="1"/>
  <c r="A475" i="27" s="1"/>
  <c r="A476" i="27" s="1"/>
  <c r="A477" i="27" s="1"/>
  <c r="A478" i="27" s="1"/>
  <c r="A479" i="27" s="1"/>
  <c r="A480" i="27" s="1"/>
  <c r="A481" i="27" s="1"/>
  <c r="A482" i="27" s="1"/>
  <c r="A483" i="27" s="1"/>
  <c r="A484" i="27" s="1"/>
  <c r="A485" i="27" s="1"/>
  <c r="A486" i="27" s="1"/>
  <c r="A487" i="27" s="1"/>
  <c r="A488" i="27" s="1"/>
  <c r="A489" i="27" s="1"/>
  <c r="A490" i="27" s="1"/>
  <c r="A491" i="27" s="1"/>
  <c r="A492" i="27" s="1"/>
  <c r="A493" i="27" s="1"/>
  <c r="A494" i="27" s="1"/>
  <c r="A495" i="27" s="1"/>
  <c r="A496" i="27" s="1"/>
  <c r="A497" i="27" s="1"/>
  <c r="A498" i="27" s="1"/>
  <c r="A499" i="27" s="1"/>
  <c r="A500" i="27" s="1"/>
  <c r="A501" i="27" s="1"/>
  <c r="A502" i="27" s="1"/>
  <c r="A503" i="27" s="1"/>
  <c r="A504" i="27" s="1"/>
  <c r="A505" i="27" s="1"/>
  <c r="A506" i="27" s="1"/>
  <c r="A507" i="27" s="1"/>
  <c r="A508" i="27" s="1"/>
  <c r="A509" i="27" s="1"/>
  <c r="A510" i="27" s="1"/>
  <c r="A511" i="27" s="1"/>
  <c r="A512" i="27" s="1"/>
  <c r="A513" i="27" s="1"/>
  <c r="A514" i="27" s="1"/>
  <c r="A515" i="27" s="1"/>
  <c r="A516" i="27" s="1"/>
  <c r="A517" i="27" s="1"/>
  <c r="A518" i="27" s="1"/>
  <c r="A519" i="27" s="1"/>
  <c r="A520" i="27" s="1"/>
  <c r="A521" i="27" s="1"/>
  <c r="A522" i="27" s="1"/>
  <c r="A523" i="27" s="1"/>
  <c r="A524" i="27" s="1"/>
  <c r="A525" i="27" s="1"/>
  <c r="A526" i="27" s="1"/>
  <c r="A527" i="27" s="1"/>
  <c r="A528" i="27" s="1"/>
  <c r="A529" i="27" s="1"/>
  <c r="A530" i="27" s="1"/>
  <c r="A531" i="27" s="1"/>
  <c r="A532" i="27" s="1"/>
  <c r="A533" i="27" s="1"/>
  <c r="A534" i="27" s="1"/>
  <c r="A535" i="27" s="1"/>
  <c r="A536" i="27" s="1"/>
  <c r="A537" i="27" s="1"/>
  <c r="A538" i="27" s="1"/>
  <c r="A539" i="27" s="1"/>
  <c r="A540" i="27" s="1"/>
  <c r="A541" i="27" s="1"/>
  <c r="A542" i="27" s="1"/>
  <c r="A543" i="27" s="1"/>
  <c r="A544" i="27" s="1"/>
  <c r="A545" i="27" s="1"/>
  <c r="A546" i="27" s="1"/>
  <c r="A547" i="27" s="1"/>
  <c r="A548" i="27" s="1"/>
  <c r="A549" i="27" s="1"/>
  <c r="A550" i="27" s="1"/>
  <c r="A551" i="27" s="1"/>
  <c r="A552" i="27" s="1"/>
  <c r="A553" i="27" s="1"/>
  <c r="A554" i="27" s="1"/>
  <c r="A555" i="27" s="1"/>
  <c r="A556" i="27" s="1"/>
  <c r="A557" i="27" s="1"/>
  <c r="A558" i="27" s="1"/>
  <c r="A559" i="27" s="1"/>
  <c r="A560" i="27" s="1"/>
  <c r="A561" i="27" s="1"/>
  <c r="A562" i="27" s="1"/>
  <c r="A563" i="27" s="1"/>
  <c r="A564" i="27" s="1"/>
  <c r="A565" i="27" s="1"/>
  <c r="A566" i="27" s="1"/>
  <c r="A567" i="27" s="1"/>
  <c r="A568" i="27" s="1"/>
  <c r="A569" i="27" s="1"/>
  <c r="A570" i="27" s="1"/>
  <c r="A571" i="27" s="1"/>
  <c r="A572" i="27" s="1"/>
  <c r="A573" i="27" s="1"/>
  <c r="A574" i="27" s="1"/>
  <c r="A575" i="27" s="1"/>
  <c r="A576" i="27" s="1"/>
  <c r="A577" i="27" s="1"/>
  <c r="A578" i="27" s="1"/>
  <c r="A579" i="27" s="1"/>
  <c r="A580" i="27" s="1"/>
  <c r="A581" i="27" s="1"/>
  <c r="A582" i="27" s="1"/>
  <c r="A583" i="27" s="1"/>
  <c r="A584" i="27" s="1"/>
  <c r="A585" i="27" s="1"/>
  <c r="A586" i="27" s="1"/>
  <c r="A587" i="27" s="1"/>
  <c r="A588" i="27" s="1"/>
  <c r="A589" i="27" s="1"/>
  <c r="A590" i="27" s="1"/>
  <c r="A591" i="27" s="1"/>
  <c r="A592" i="27" s="1"/>
  <c r="A593" i="27" s="1"/>
  <c r="A594" i="27" s="1"/>
  <c r="A595" i="27" s="1"/>
  <c r="A596" i="27" s="1"/>
  <c r="A597" i="27" s="1"/>
  <c r="A598" i="27" s="1"/>
  <c r="A599" i="27" s="1"/>
  <c r="A600" i="27" s="1"/>
  <c r="A601" i="27" s="1"/>
  <c r="A602" i="27" s="1"/>
  <c r="A603" i="27" s="1"/>
  <c r="A604" i="27" s="1"/>
  <c r="A605" i="27" s="1"/>
  <c r="A606" i="27" s="1"/>
  <c r="A607" i="27" s="1"/>
  <c r="A608" i="27" s="1"/>
  <c r="A609" i="27" s="1"/>
  <c r="A610" i="27" s="1"/>
  <c r="A611" i="27" s="1"/>
  <c r="A612" i="27" s="1"/>
  <c r="A613" i="27" s="1"/>
  <c r="A614" i="27" s="1"/>
  <c r="A615" i="27" s="1"/>
  <c r="A616" i="27" s="1"/>
  <c r="A617" i="27" s="1"/>
  <c r="A618" i="27" s="1"/>
  <c r="A619" i="27" s="1"/>
  <c r="A620" i="27" s="1"/>
  <c r="A621" i="27" s="1"/>
  <c r="A622" i="27" s="1"/>
  <c r="A623" i="27" s="1"/>
  <c r="A624" i="27" s="1"/>
  <c r="A625" i="27" s="1"/>
  <c r="A626" i="27" s="1"/>
  <c r="A627" i="27" s="1"/>
  <c r="A628" i="27" s="1"/>
  <c r="A629" i="27" s="1"/>
  <c r="A630" i="27" s="1"/>
  <c r="A631" i="27" s="1"/>
  <c r="A632" i="27" s="1"/>
  <c r="A633" i="27" s="1"/>
  <c r="A634" i="27" s="1"/>
  <c r="A635" i="27" s="1"/>
  <c r="A636" i="27" s="1"/>
  <c r="A637" i="27" s="1"/>
  <c r="A638" i="27" s="1"/>
  <c r="A639" i="27" s="1"/>
  <c r="A640" i="27" s="1"/>
  <c r="A641" i="27" s="1"/>
  <c r="A642" i="27" s="1"/>
  <c r="A643" i="27" s="1"/>
  <c r="A644" i="27" s="1"/>
  <c r="A645" i="27" s="1"/>
  <c r="A646" i="27" s="1"/>
  <c r="A647" i="27" s="1"/>
  <c r="A648" i="27" s="1"/>
  <c r="A649" i="27" s="1"/>
  <c r="A650" i="27" s="1"/>
  <c r="A651" i="27" s="1"/>
  <c r="A652" i="27" s="1"/>
  <c r="A653" i="27" s="1"/>
  <c r="A654" i="27" s="1"/>
  <c r="A655" i="27" s="1"/>
  <c r="A656" i="27" s="1"/>
  <c r="A657" i="27" s="1"/>
  <c r="A658" i="27" s="1"/>
  <c r="A659" i="27" s="1"/>
  <c r="A660" i="27" s="1"/>
  <c r="A661" i="27" s="1"/>
  <c r="A662" i="27" s="1"/>
  <c r="A663" i="27" s="1"/>
  <c r="A664" i="27" s="1"/>
  <c r="A665" i="27" s="1"/>
  <c r="A666" i="27" s="1"/>
  <c r="A667" i="27" s="1"/>
  <c r="A668" i="27" s="1"/>
  <c r="A669" i="27" s="1"/>
  <c r="A670" i="27" s="1"/>
  <c r="A671" i="27" s="1"/>
  <c r="A672" i="27" s="1"/>
  <c r="A673" i="27" s="1"/>
  <c r="A674" i="27" s="1"/>
  <c r="A675" i="27" s="1"/>
  <c r="A676" i="27" s="1"/>
  <c r="A677" i="27" s="1"/>
  <c r="A678" i="27" s="1"/>
  <c r="A679" i="27" s="1"/>
  <c r="A680" i="27" s="1"/>
  <c r="A681" i="27" s="1"/>
  <c r="A682" i="27" s="1"/>
  <c r="A683" i="27" s="1"/>
  <c r="A684" i="27" s="1"/>
  <c r="A685" i="27" s="1"/>
  <c r="A686" i="27" s="1"/>
  <c r="A687" i="27" s="1"/>
  <c r="A688" i="27" s="1"/>
  <c r="A689" i="27" s="1"/>
  <c r="A690" i="27" s="1"/>
  <c r="A691" i="27" s="1"/>
  <c r="A692" i="27" s="1"/>
  <c r="A693" i="27" s="1"/>
  <c r="A694" i="27" s="1"/>
  <c r="A695" i="27" s="1"/>
  <c r="A696" i="27" s="1"/>
  <c r="A697" i="27" s="1"/>
  <c r="A698" i="27" s="1"/>
  <c r="A699" i="27" s="1"/>
  <c r="A700" i="27" s="1"/>
  <c r="A701" i="27" s="1"/>
  <c r="A702" i="27" s="1"/>
  <c r="A703" i="27" s="1"/>
  <c r="A704" i="27" s="1"/>
  <c r="A705" i="27" s="1"/>
  <c r="A706" i="27" s="1"/>
  <c r="A707" i="27" s="1"/>
  <c r="A708" i="27" s="1"/>
  <c r="A709" i="27" s="1"/>
  <c r="A710" i="27" s="1"/>
  <c r="A711" i="27" s="1"/>
  <c r="A712" i="27" s="1"/>
  <c r="A713" i="27" s="1"/>
  <c r="A714" i="27" s="1"/>
  <c r="A715" i="27" s="1"/>
  <c r="A716" i="27" s="1"/>
  <c r="A717" i="27" s="1"/>
  <c r="A718" i="27" s="1"/>
  <c r="A719" i="27" s="1"/>
  <c r="A720" i="27" s="1"/>
  <c r="A721" i="27" s="1"/>
  <c r="A722" i="27" s="1"/>
  <c r="A723" i="27" s="1"/>
  <c r="A724" i="27" s="1"/>
  <c r="A725" i="27" s="1"/>
  <c r="A726" i="27" s="1"/>
  <c r="A727" i="27" s="1"/>
  <c r="A728" i="27" s="1"/>
  <c r="A729" i="27" s="1"/>
  <c r="A730" i="27" s="1"/>
  <c r="A731" i="27" s="1"/>
  <c r="A732" i="27" s="1"/>
  <c r="A733" i="27" s="1"/>
  <c r="A734" i="27" s="1"/>
  <c r="A735" i="27" s="1"/>
  <c r="A736" i="27" s="1"/>
  <c r="A737" i="27" s="1"/>
  <c r="A738" i="27" s="1"/>
  <c r="A739" i="27" s="1"/>
  <c r="A740" i="27" s="1"/>
  <c r="A741" i="27" s="1"/>
  <c r="A742" i="27" s="1"/>
  <c r="A743" i="27" s="1"/>
  <c r="A744" i="27" s="1"/>
  <c r="A745" i="27" s="1"/>
  <c r="A746" i="27" s="1"/>
  <c r="A747" i="27" s="1"/>
  <c r="A748" i="27" s="1"/>
  <c r="A749" i="27" s="1"/>
  <c r="A750" i="27" s="1"/>
  <c r="A751" i="27" s="1"/>
  <c r="A752" i="27" s="1"/>
  <c r="A753" i="27" s="1"/>
  <c r="A754" i="27" s="1"/>
  <c r="A755" i="27" s="1"/>
  <c r="A756" i="27" s="1"/>
  <c r="A757" i="27" s="1"/>
  <c r="A758" i="27" s="1"/>
  <c r="A759" i="27" s="1"/>
  <c r="A760" i="27" s="1"/>
  <c r="A761" i="27" s="1"/>
  <c r="A762" i="27" s="1"/>
  <c r="A763" i="27" s="1"/>
  <c r="A764" i="27" s="1"/>
  <c r="A765" i="27" s="1"/>
  <c r="A766" i="27" s="1"/>
  <c r="A767" i="27" s="1"/>
  <c r="A768" i="27" s="1"/>
  <c r="A769" i="27" s="1"/>
  <c r="A770" i="27" s="1"/>
  <c r="A771" i="27" s="1"/>
  <c r="A772" i="27" s="1"/>
  <c r="A773" i="27" s="1"/>
  <c r="A774" i="27" s="1"/>
  <c r="A775" i="27" s="1"/>
  <c r="A776" i="27" s="1"/>
  <c r="A777" i="27" s="1"/>
  <c r="A778" i="27" s="1"/>
  <c r="A779" i="27" s="1"/>
  <c r="A780" i="27" s="1"/>
  <c r="A781" i="27" s="1"/>
  <c r="A782" i="27" s="1"/>
  <c r="A783" i="27" s="1"/>
  <c r="A784" i="27" s="1"/>
  <c r="A785" i="27" s="1"/>
  <c r="A786" i="27" s="1"/>
  <c r="A787" i="27" s="1"/>
  <c r="A788" i="27" s="1"/>
  <c r="A789" i="27" s="1"/>
  <c r="A790" i="27" s="1"/>
  <c r="A791" i="27" s="1"/>
  <c r="A792" i="27" s="1"/>
  <c r="A793" i="27" s="1"/>
  <c r="A794" i="27" s="1"/>
  <c r="A795" i="27" s="1"/>
  <c r="A796" i="27" s="1"/>
  <c r="A797" i="27" s="1"/>
  <c r="A798" i="27" s="1"/>
  <c r="A799" i="27" s="1"/>
  <c r="A800" i="27" s="1"/>
  <c r="A801" i="27" s="1"/>
  <c r="A802" i="27" s="1"/>
  <c r="A803" i="27" s="1"/>
  <c r="A804" i="27" s="1"/>
  <c r="A805" i="27" s="1"/>
  <c r="A806" i="27" s="1"/>
  <c r="A807" i="27" s="1"/>
  <c r="A808" i="27" s="1"/>
  <c r="A809" i="27" s="1"/>
  <c r="A810" i="27" s="1"/>
  <c r="A811" i="27" s="1"/>
  <c r="A812" i="27" s="1"/>
  <c r="A813" i="27" s="1"/>
  <c r="A814" i="27" s="1"/>
  <c r="A815" i="27" s="1"/>
  <c r="A816" i="27" s="1"/>
  <c r="A817" i="27" s="1"/>
  <c r="A818" i="27" s="1"/>
  <c r="A819" i="27" s="1"/>
  <c r="A820" i="27" s="1"/>
  <c r="A821" i="27" s="1"/>
  <c r="A822" i="27" s="1"/>
  <c r="A823" i="27" s="1"/>
  <c r="A824" i="27" s="1"/>
  <c r="A825" i="27" s="1"/>
  <c r="A826" i="27" s="1"/>
  <c r="A827" i="27" s="1"/>
  <c r="A828" i="27" s="1"/>
  <c r="A829" i="27" s="1"/>
  <c r="A830" i="27" s="1"/>
  <c r="A831" i="27" s="1"/>
  <c r="A832" i="27" s="1"/>
  <c r="A833" i="27" s="1"/>
  <c r="A834" i="27" s="1"/>
  <c r="A835" i="27" s="1"/>
  <c r="A836" i="27" s="1"/>
  <c r="A837" i="27" s="1"/>
  <c r="A838" i="27" s="1"/>
  <c r="A839" i="27" s="1"/>
  <c r="A840" i="27" s="1"/>
  <c r="A841" i="27" s="1"/>
  <c r="A842" i="27" s="1"/>
  <c r="A843" i="27" s="1"/>
  <c r="A844" i="27" s="1"/>
  <c r="A845" i="27" s="1"/>
  <c r="A846" i="27" s="1"/>
  <c r="A847" i="27" s="1"/>
  <c r="A848" i="27" s="1"/>
  <c r="A849" i="27" s="1"/>
  <c r="A850" i="27" s="1"/>
  <c r="A851" i="27" s="1"/>
  <c r="A852" i="27" s="1"/>
  <c r="A853" i="27" s="1"/>
  <c r="A854" i="27" s="1"/>
  <c r="A855" i="27" s="1"/>
  <c r="A856" i="27" s="1"/>
  <c r="A857" i="27" s="1"/>
  <c r="A858" i="27" s="1"/>
  <c r="A859" i="27" s="1"/>
  <c r="A860" i="27" s="1"/>
  <c r="A861" i="27" s="1"/>
  <c r="A862" i="27" s="1"/>
  <c r="A863" i="27" s="1"/>
  <c r="A864" i="27" s="1"/>
  <c r="A865" i="27" s="1"/>
  <c r="A866" i="27" s="1"/>
  <c r="A867" i="27" s="1"/>
  <c r="A868" i="27" s="1"/>
  <c r="A869" i="27" s="1"/>
  <c r="A870" i="27" s="1"/>
  <c r="A871" i="27" s="1"/>
  <c r="A872" i="27" s="1"/>
  <c r="A873" i="27" s="1"/>
  <c r="A874" i="27" s="1"/>
  <c r="A875" i="27" s="1"/>
  <c r="A876" i="27" s="1"/>
  <c r="A877" i="27" s="1"/>
  <c r="A878" i="27" s="1"/>
  <c r="A879" i="27" s="1"/>
  <c r="A880" i="27" s="1"/>
  <c r="A881" i="27" s="1"/>
  <c r="A882" i="27" s="1"/>
  <c r="A883" i="27" s="1"/>
  <c r="A884" i="27" s="1"/>
  <c r="A885" i="27" s="1"/>
  <c r="A886" i="27" s="1"/>
  <c r="A887" i="27" s="1"/>
  <c r="A888" i="27" s="1"/>
  <c r="A889" i="27" s="1"/>
  <c r="A890" i="27" s="1"/>
  <c r="A891" i="27" s="1"/>
  <c r="A892" i="27" s="1"/>
  <c r="A893" i="27" s="1"/>
  <c r="A894" i="27" s="1"/>
  <c r="A895" i="27" s="1"/>
  <c r="A896" i="27" s="1"/>
  <c r="A897" i="27" s="1"/>
  <c r="A898" i="27" s="1"/>
  <c r="A899" i="27" s="1"/>
  <c r="A900" i="27" s="1"/>
  <c r="A901" i="27" s="1"/>
  <c r="A902" i="27" s="1"/>
  <c r="A903" i="27" s="1"/>
  <c r="A904" i="27" s="1"/>
  <c r="A905" i="27" s="1"/>
  <c r="A906" i="27" s="1"/>
  <c r="A907" i="27" s="1"/>
  <c r="A908" i="27" s="1"/>
  <c r="A909" i="27" s="1"/>
  <c r="A910" i="27" s="1"/>
  <c r="A911" i="27" s="1"/>
  <c r="A912" i="27" s="1"/>
  <c r="A913" i="27" s="1"/>
  <c r="A914" i="27" s="1"/>
  <c r="A915" i="27" s="1"/>
  <c r="A916" i="27" s="1"/>
  <c r="A917" i="27" s="1"/>
  <c r="A918" i="27" s="1"/>
  <c r="A919" i="27" s="1"/>
  <c r="A920" i="27" s="1"/>
  <c r="A921" i="27" s="1"/>
  <c r="A922" i="27" s="1"/>
  <c r="A923" i="27" s="1"/>
  <c r="A924" i="27" s="1"/>
  <c r="A925" i="27" s="1"/>
  <c r="A926" i="27" s="1"/>
  <c r="A927" i="27" s="1"/>
  <c r="A928" i="27" s="1"/>
  <c r="A929" i="27" s="1"/>
  <c r="A930" i="27" s="1"/>
  <c r="A931" i="27" s="1"/>
  <c r="A932" i="27" s="1"/>
  <c r="A933" i="27" s="1"/>
  <c r="A934" i="27" s="1"/>
  <c r="A935" i="27" s="1"/>
  <c r="A936" i="27" s="1"/>
  <c r="A937" i="27" s="1"/>
  <c r="A938" i="27" s="1"/>
  <c r="A939" i="27" s="1"/>
  <c r="A940" i="27" s="1"/>
  <c r="A941" i="27" s="1"/>
  <c r="A942" i="27" s="1"/>
  <c r="A943" i="27" s="1"/>
  <c r="A944" i="27" s="1"/>
  <c r="A945" i="27" s="1"/>
  <c r="A946" i="27" s="1"/>
  <c r="A947" i="27" s="1"/>
  <c r="A948" i="27" s="1"/>
  <c r="A949" i="27" s="1"/>
  <c r="A950" i="27" s="1"/>
  <c r="A951" i="27" s="1"/>
  <c r="A952" i="27" s="1"/>
  <c r="A953" i="27" s="1"/>
  <c r="A954" i="27" s="1"/>
  <c r="A955" i="27" s="1"/>
  <c r="A956" i="27" s="1"/>
  <c r="A957" i="27" s="1"/>
  <c r="A958" i="27" s="1"/>
  <c r="A959" i="27" s="1"/>
  <c r="A960" i="27" s="1"/>
  <c r="A961" i="27" s="1"/>
  <c r="A962" i="27" s="1"/>
  <c r="A963" i="27" s="1"/>
  <c r="A964" i="27" s="1"/>
  <c r="A965" i="27" s="1"/>
  <c r="A966" i="27" s="1"/>
  <c r="A967" i="27" s="1"/>
  <c r="A968" i="27" s="1"/>
  <c r="A969" i="27" s="1"/>
  <c r="A970" i="27" s="1"/>
  <c r="A971" i="27" s="1"/>
  <c r="A972" i="27" s="1"/>
  <c r="A973" i="27" s="1"/>
  <c r="A974" i="27" s="1"/>
  <c r="A975" i="27" s="1"/>
  <c r="A976" i="27" s="1"/>
  <c r="A977" i="27" s="1"/>
  <c r="A978" i="27" s="1"/>
  <c r="A979" i="27" s="1"/>
  <c r="A980" i="27" s="1"/>
  <c r="A981" i="27" s="1"/>
  <c r="A982" i="27" s="1"/>
  <c r="A983" i="27" s="1"/>
  <c r="A984" i="27" s="1"/>
  <c r="A985" i="27" s="1"/>
  <c r="A986" i="27" s="1"/>
  <c r="A987" i="27" s="1"/>
  <c r="A988" i="27" s="1"/>
  <c r="A989" i="27" s="1"/>
  <c r="A990" i="27" s="1"/>
  <c r="A991" i="27" s="1"/>
  <c r="A992" i="27" s="1"/>
  <c r="A993" i="27" s="1"/>
  <c r="A994" i="27" s="1"/>
  <c r="A995" i="27" s="1"/>
  <c r="A996" i="27" s="1"/>
  <c r="A997" i="27" s="1"/>
  <c r="A998" i="27" s="1"/>
  <c r="A999" i="27" s="1"/>
  <c r="A1000" i="27" s="1"/>
  <c r="AD43" i="28" l="1"/>
  <c r="AD44" i="28"/>
  <c r="AD45" i="28"/>
  <c r="AD42" i="28"/>
  <c r="AD21" i="28"/>
  <c r="AD10" i="28"/>
  <c r="AD11" i="28"/>
  <c r="AD15" i="28"/>
  <c r="AD22" i="28"/>
  <c r="AD28" i="28"/>
  <c r="AD29" i="28"/>
  <c r="AD33" i="28"/>
  <c r="AD36" i="28"/>
  <c r="AD58" i="28"/>
  <c r="AD59" i="28"/>
  <c r="AD60" i="28"/>
  <c r="AD61" i="28"/>
  <c r="AD62" i="28"/>
  <c r="AD65" i="28"/>
  <c r="AD66" i="28"/>
  <c r="AD67" i="28"/>
  <c r="AD68" i="28"/>
  <c r="AD69" i="28"/>
  <c r="AD70" i="28"/>
  <c r="AD71" i="28"/>
  <c r="AD8" i="28"/>
  <c r="AE7" i="28"/>
  <c r="D64" i="28"/>
  <c r="D63" i="28"/>
  <c r="D56" i="28"/>
  <c r="D57" i="28"/>
  <c r="D46" i="28"/>
  <c r="D55" i="28"/>
  <c r="D54" i="28"/>
  <c r="AD54" i="28" s="1"/>
  <c r="D53" i="28"/>
  <c r="D52" i="28"/>
  <c r="AD52" i="28" s="1"/>
  <c r="D51" i="28"/>
  <c r="D50" i="28"/>
  <c r="AD50" i="28" s="1"/>
  <c r="D49" i="28"/>
  <c r="D48" i="28"/>
  <c r="AD48" i="28" s="1"/>
  <c r="D47" i="28"/>
  <c r="AD47" i="28" s="1"/>
  <c r="D37" i="28"/>
  <c r="AD37" i="28" s="1"/>
  <c r="D41" i="28"/>
  <c r="D40" i="28"/>
  <c r="D39" i="28"/>
  <c r="D38" i="28"/>
  <c r="D34" i="28"/>
  <c r="D35" i="28"/>
  <c r="AD35" i="28" s="1"/>
  <c r="D23" i="28"/>
  <c r="D32" i="28"/>
  <c r="D31" i="28"/>
  <c r="D30" i="28"/>
  <c r="D27" i="28"/>
  <c r="D26" i="28"/>
  <c r="D25" i="28"/>
  <c r="D24" i="28"/>
  <c r="D16" i="28"/>
  <c r="D20" i="28"/>
  <c r="AD20" i="28" s="1"/>
  <c r="D19" i="28"/>
  <c r="D18" i="28"/>
  <c r="AD18" i="28" s="1"/>
  <c r="D17" i="28"/>
  <c r="D14" i="28"/>
  <c r="D13" i="28"/>
  <c r="D12" i="28"/>
  <c r="G12" i="28" s="1"/>
  <c r="D9" i="28"/>
  <c r="C64" i="28"/>
  <c r="C63" i="28"/>
  <c r="C57" i="28"/>
  <c r="C56" i="28"/>
  <c r="C55" i="28"/>
  <c r="C54" i="28"/>
  <c r="C53" i="28"/>
  <c r="C52" i="28"/>
  <c r="C51" i="28"/>
  <c r="C50" i="28"/>
  <c r="C49" i="28"/>
  <c r="C48" i="28"/>
  <c r="C47" i="28"/>
  <c r="C46" i="28"/>
  <c r="C41" i="28"/>
  <c r="C40" i="28"/>
  <c r="C39" i="28"/>
  <c r="C38" i="28"/>
  <c r="C37" i="28"/>
  <c r="C35" i="28"/>
  <c r="C34" i="28"/>
  <c r="C32" i="28"/>
  <c r="C31" i="28"/>
  <c r="C30" i="28"/>
  <c r="C28" i="28"/>
  <c r="C27" i="28"/>
  <c r="C26" i="28"/>
  <c r="C25" i="28"/>
  <c r="C24" i="28"/>
  <c r="C23" i="28"/>
  <c r="C20" i="28"/>
  <c r="C19" i="28"/>
  <c r="C18" i="28"/>
  <c r="C17" i="28"/>
  <c r="C16" i="28"/>
  <c r="C14" i="28"/>
  <c r="C13" i="28"/>
  <c r="C12" i="28"/>
  <c r="I46" i="28" l="1"/>
  <c r="J46" i="28"/>
  <c r="K46" i="28"/>
  <c r="L46" i="28"/>
  <c r="M46" i="28"/>
  <c r="N46" i="28"/>
  <c r="O46" i="28"/>
  <c r="P46" i="28"/>
  <c r="Q46" i="28"/>
  <c r="R46" i="28"/>
  <c r="S46" i="28"/>
  <c r="T46" i="28"/>
  <c r="U46" i="28"/>
  <c r="V46" i="28"/>
  <c r="W46" i="28"/>
  <c r="X46" i="28"/>
  <c r="Y46" i="28"/>
  <c r="Z46" i="28"/>
  <c r="AA46" i="28"/>
  <c r="AB46" i="28"/>
  <c r="AC46" i="28"/>
  <c r="I47" i="28"/>
  <c r="J47" i="28"/>
  <c r="K47" i="28"/>
  <c r="L47" i="28"/>
  <c r="M47" i="28"/>
  <c r="N47" i="28"/>
  <c r="O47" i="28"/>
  <c r="P47" i="28"/>
  <c r="Q47" i="28"/>
  <c r="R47" i="28"/>
  <c r="S47" i="28"/>
  <c r="T47" i="28"/>
  <c r="U47" i="28"/>
  <c r="V47" i="28"/>
  <c r="W47" i="28"/>
  <c r="X47" i="28"/>
  <c r="Y47" i="28"/>
  <c r="Z47" i="28"/>
  <c r="AA47" i="28"/>
  <c r="AB47" i="28"/>
  <c r="AC47" i="28"/>
  <c r="AE43" i="28"/>
  <c r="AE44" i="28"/>
  <c r="AE45" i="28"/>
  <c r="AE46" i="28"/>
  <c r="AE47" i="28"/>
  <c r="AE42" i="28"/>
  <c r="AD46" i="28"/>
  <c r="AE21" i="28"/>
  <c r="AD14" i="28"/>
  <c r="G14" i="28"/>
  <c r="L13" i="28"/>
  <c r="G13" i="28"/>
  <c r="AD12" i="28"/>
  <c r="L12" i="28"/>
  <c r="I9" i="28"/>
  <c r="J9" i="28"/>
  <c r="K9" i="28"/>
  <c r="L9" i="28"/>
  <c r="M9" i="28"/>
  <c r="N9" i="28"/>
  <c r="O9" i="28"/>
  <c r="P9" i="28"/>
  <c r="Q9" i="28"/>
  <c r="R9" i="28"/>
  <c r="S9" i="28"/>
  <c r="T9" i="28"/>
  <c r="U9" i="28"/>
  <c r="V9" i="28"/>
  <c r="W9" i="28"/>
  <c r="X9" i="28"/>
  <c r="Y9" i="28"/>
  <c r="Z9" i="28"/>
  <c r="AA9" i="28"/>
  <c r="AB9" i="28"/>
  <c r="AC9" i="28"/>
  <c r="I13" i="28"/>
  <c r="J13" i="28"/>
  <c r="K13" i="28"/>
  <c r="M13" i="28"/>
  <c r="N13" i="28"/>
  <c r="O13" i="28"/>
  <c r="P13" i="28"/>
  <c r="Q13" i="28"/>
  <c r="R13" i="28"/>
  <c r="S13" i="28"/>
  <c r="T13" i="28"/>
  <c r="U13" i="28"/>
  <c r="V13" i="28"/>
  <c r="W13" i="28"/>
  <c r="X13" i="28"/>
  <c r="Y13" i="28"/>
  <c r="Z13" i="28"/>
  <c r="AA13" i="28"/>
  <c r="AB13" i="28"/>
  <c r="AC13" i="28"/>
  <c r="I17" i="28"/>
  <c r="J17" i="28"/>
  <c r="K17" i="28"/>
  <c r="L17" i="28"/>
  <c r="M17" i="28"/>
  <c r="N17" i="28"/>
  <c r="O17" i="28"/>
  <c r="P17" i="28"/>
  <c r="Q17" i="28"/>
  <c r="R17" i="28"/>
  <c r="S17" i="28"/>
  <c r="T17" i="28"/>
  <c r="U17" i="28"/>
  <c r="V17" i="28"/>
  <c r="W17" i="28"/>
  <c r="X17" i="28"/>
  <c r="Y17" i="28"/>
  <c r="Z17" i="28"/>
  <c r="AA17" i="28"/>
  <c r="AB17" i="28"/>
  <c r="AC17" i="28"/>
  <c r="I19" i="28"/>
  <c r="J19" i="28"/>
  <c r="K19" i="28"/>
  <c r="L19" i="28"/>
  <c r="M19" i="28"/>
  <c r="N19" i="28"/>
  <c r="O19" i="28"/>
  <c r="P19" i="28"/>
  <c r="Q19" i="28"/>
  <c r="R19" i="28"/>
  <c r="S19" i="28"/>
  <c r="T19" i="28"/>
  <c r="U19" i="28"/>
  <c r="V19" i="28"/>
  <c r="W19" i="28"/>
  <c r="X19" i="28"/>
  <c r="Y19" i="28"/>
  <c r="Z19" i="28"/>
  <c r="AA19" i="28"/>
  <c r="AB19" i="28"/>
  <c r="AC19" i="28"/>
  <c r="I16" i="28"/>
  <c r="J16" i="28"/>
  <c r="K16" i="28"/>
  <c r="L16" i="28"/>
  <c r="M16" i="28"/>
  <c r="N16" i="28"/>
  <c r="O16" i="28"/>
  <c r="P16" i="28"/>
  <c r="Q16" i="28"/>
  <c r="R16" i="28"/>
  <c r="S16" i="28"/>
  <c r="T16" i="28"/>
  <c r="U16" i="28"/>
  <c r="V16" i="28"/>
  <c r="W16" i="28"/>
  <c r="X16" i="28"/>
  <c r="Y16" i="28"/>
  <c r="Z16" i="28"/>
  <c r="AA16" i="28"/>
  <c r="AB16" i="28"/>
  <c r="AC16" i="28"/>
  <c r="I25" i="28"/>
  <c r="J25" i="28"/>
  <c r="K25" i="28"/>
  <c r="L25" i="28"/>
  <c r="M25" i="28"/>
  <c r="N25" i="28"/>
  <c r="O25" i="28"/>
  <c r="P25" i="28"/>
  <c r="Q25" i="28"/>
  <c r="R25" i="28"/>
  <c r="S25" i="28"/>
  <c r="T25" i="28"/>
  <c r="U25" i="28"/>
  <c r="V25" i="28"/>
  <c r="W25" i="28"/>
  <c r="X25" i="28"/>
  <c r="Y25" i="28"/>
  <c r="Z25" i="28"/>
  <c r="AA25" i="28"/>
  <c r="AB25" i="28"/>
  <c r="AC25" i="28"/>
  <c r="I27" i="28"/>
  <c r="J27" i="28"/>
  <c r="K27" i="28"/>
  <c r="L27" i="28"/>
  <c r="M27" i="28"/>
  <c r="N27" i="28"/>
  <c r="O27" i="28"/>
  <c r="P27" i="28"/>
  <c r="Q27" i="28"/>
  <c r="R27" i="28"/>
  <c r="S27" i="28"/>
  <c r="T27" i="28"/>
  <c r="U27" i="28"/>
  <c r="V27" i="28"/>
  <c r="W27" i="28"/>
  <c r="X27" i="28"/>
  <c r="Y27" i="28"/>
  <c r="Z27" i="28"/>
  <c r="AA27" i="28"/>
  <c r="AB27" i="28"/>
  <c r="AC27" i="28"/>
  <c r="I31" i="28"/>
  <c r="J31" i="28"/>
  <c r="K31" i="28"/>
  <c r="L31" i="28"/>
  <c r="M31" i="28"/>
  <c r="N31" i="28"/>
  <c r="O31" i="28"/>
  <c r="P31" i="28"/>
  <c r="Q31" i="28"/>
  <c r="R31" i="28"/>
  <c r="S31" i="28"/>
  <c r="T31" i="28"/>
  <c r="U31" i="28"/>
  <c r="V31" i="28"/>
  <c r="W31" i="28"/>
  <c r="X31" i="28"/>
  <c r="Y31" i="28"/>
  <c r="Z31" i="28"/>
  <c r="AA31" i="28"/>
  <c r="AB31" i="28"/>
  <c r="AC31" i="28"/>
  <c r="I23" i="28"/>
  <c r="J23" i="28"/>
  <c r="K23" i="28"/>
  <c r="L23" i="28"/>
  <c r="M23" i="28"/>
  <c r="N23" i="28"/>
  <c r="O23" i="28"/>
  <c r="P23" i="28"/>
  <c r="Q23" i="28"/>
  <c r="R23" i="28"/>
  <c r="S23" i="28"/>
  <c r="T23" i="28"/>
  <c r="U23" i="28"/>
  <c r="V23" i="28"/>
  <c r="W23" i="28"/>
  <c r="X23" i="28"/>
  <c r="Y23" i="28"/>
  <c r="Z23" i="28"/>
  <c r="AA23" i="28"/>
  <c r="AB23" i="28"/>
  <c r="AC23" i="28"/>
  <c r="I34" i="28"/>
  <c r="J34" i="28"/>
  <c r="K34" i="28"/>
  <c r="L34" i="28"/>
  <c r="M34" i="28"/>
  <c r="N34" i="28"/>
  <c r="O34" i="28"/>
  <c r="P34" i="28"/>
  <c r="Q34" i="28"/>
  <c r="R34" i="28"/>
  <c r="S34" i="28"/>
  <c r="T34" i="28"/>
  <c r="U34" i="28"/>
  <c r="V34" i="28"/>
  <c r="W34" i="28"/>
  <c r="X34" i="28"/>
  <c r="Y34" i="28"/>
  <c r="Z34" i="28"/>
  <c r="AA34" i="28"/>
  <c r="AB34" i="28"/>
  <c r="AC34" i="28"/>
  <c r="I39" i="28"/>
  <c r="J39" i="28"/>
  <c r="K39" i="28"/>
  <c r="L39" i="28"/>
  <c r="M39" i="28"/>
  <c r="N39" i="28"/>
  <c r="O39" i="28"/>
  <c r="P39" i="28"/>
  <c r="Q39" i="28"/>
  <c r="R39" i="28"/>
  <c r="S39" i="28"/>
  <c r="T39" i="28"/>
  <c r="U39" i="28"/>
  <c r="V39" i="28"/>
  <c r="W39" i="28"/>
  <c r="X39" i="28"/>
  <c r="Y39" i="28"/>
  <c r="Z39" i="28"/>
  <c r="AA39" i="28"/>
  <c r="AB39" i="28"/>
  <c r="AC39" i="28"/>
  <c r="I41" i="28"/>
  <c r="J41" i="28"/>
  <c r="K41" i="28"/>
  <c r="L41" i="28"/>
  <c r="M41" i="28"/>
  <c r="N41" i="28"/>
  <c r="O41" i="28"/>
  <c r="P41" i="28"/>
  <c r="Q41" i="28"/>
  <c r="R41" i="28"/>
  <c r="S41" i="28"/>
  <c r="T41" i="28"/>
  <c r="U41" i="28"/>
  <c r="V41" i="28"/>
  <c r="W41" i="28"/>
  <c r="X41" i="28"/>
  <c r="Y41" i="28"/>
  <c r="Z41" i="28"/>
  <c r="AA41" i="28"/>
  <c r="AB41" i="28"/>
  <c r="AC41" i="28"/>
  <c r="I49" i="28"/>
  <c r="J49" i="28"/>
  <c r="K49" i="28"/>
  <c r="L49" i="28"/>
  <c r="M49" i="28"/>
  <c r="N49" i="28"/>
  <c r="O49" i="28"/>
  <c r="P49" i="28"/>
  <c r="Q49" i="28"/>
  <c r="R49" i="28"/>
  <c r="S49" i="28"/>
  <c r="T49" i="28"/>
  <c r="U49" i="28"/>
  <c r="V49" i="28"/>
  <c r="W49" i="28"/>
  <c r="X49" i="28"/>
  <c r="Y49" i="28"/>
  <c r="Z49" i="28"/>
  <c r="AA49" i="28"/>
  <c r="AB49" i="28"/>
  <c r="AC49" i="28"/>
  <c r="I51" i="28"/>
  <c r="J51" i="28"/>
  <c r="K51" i="28"/>
  <c r="L51" i="28"/>
  <c r="M51" i="28"/>
  <c r="N51" i="28"/>
  <c r="O51" i="28"/>
  <c r="P51" i="28"/>
  <c r="Q51" i="28"/>
  <c r="R51" i="28"/>
  <c r="S51" i="28"/>
  <c r="T51" i="28"/>
  <c r="U51" i="28"/>
  <c r="V51" i="28"/>
  <c r="W51" i="28"/>
  <c r="X51" i="28"/>
  <c r="Y51" i="28"/>
  <c r="Z51" i="28"/>
  <c r="AA51" i="28"/>
  <c r="AB51" i="28"/>
  <c r="AC51" i="28"/>
  <c r="I53" i="28"/>
  <c r="J53" i="28"/>
  <c r="K53" i="28"/>
  <c r="L53" i="28"/>
  <c r="M53" i="28"/>
  <c r="N53" i="28"/>
  <c r="O53" i="28"/>
  <c r="P53" i="28"/>
  <c r="Q53" i="28"/>
  <c r="R53" i="28"/>
  <c r="S53" i="28"/>
  <c r="T53" i="28"/>
  <c r="U53" i="28"/>
  <c r="V53" i="28"/>
  <c r="W53" i="28"/>
  <c r="X53" i="28"/>
  <c r="Y53" i="28"/>
  <c r="Z53" i="28"/>
  <c r="AA53" i="28"/>
  <c r="AB53" i="28"/>
  <c r="AC53" i="28"/>
  <c r="I55" i="28"/>
  <c r="J55" i="28"/>
  <c r="K55" i="28"/>
  <c r="L55" i="28"/>
  <c r="M55" i="28"/>
  <c r="N55" i="28"/>
  <c r="O55" i="28"/>
  <c r="P55" i="28"/>
  <c r="Q55" i="28"/>
  <c r="R55" i="28"/>
  <c r="S55" i="28"/>
  <c r="T55" i="28"/>
  <c r="U55" i="28"/>
  <c r="V55" i="28"/>
  <c r="W55" i="28"/>
  <c r="X55" i="28"/>
  <c r="Y55" i="28"/>
  <c r="Z55" i="28"/>
  <c r="AA55" i="28"/>
  <c r="AB55" i="28"/>
  <c r="AC55" i="28"/>
  <c r="I57" i="28"/>
  <c r="J57" i="28"/>
  <c r="K57" i="28"/>
  <c r="L57" i="28"/>
  <c r="M57" i="28"/>
  <c r="N57" i="28"/>
  <c r="O57" i="28"/>
  <c r="P57" i="28"/>
  <c r="Q57" i="28"/>
  <c r="R57" i="28"/>
  <c r="S57" i="28"/>
  <c r="T57" i="28"/>
  <c r="U57" i="28"/>
  <c r="V57" i="28"/>
  <c r="W57" i="28"/>
  <c r="X57" i="28"/>
  <c r="Y57" i="28"/>
  <c r="Z57" i="28"/>
  <c r="AA57" i="28"/>
  <c r="AB57" i="28"/>
  <c r="AC57" i="28"/>
  <c r="I63" i="28"/>
  <c r="J63" i="28"/>
  <c r="K63" i="28"/>
  <c r="L63" i="28"/>
  <c r="M63" i="28"/>
  <c r="N63" i="28"/>
  <c r="O63" i="28"/>
  <c r="P63" i="28"/>
  <c r="Q63" i="28"/>
  <c r="R63" i="28"/>
  <c r="S63" i="28"/>
  <c r="T63" i="28"/>
  <c r="U63" i="28"/>
  <c r="V63" i="28"/>
  <c r="W63" i="28"/>
  <c r="X63" i="28"/>
  <c r="Y63" i="28"/>
  <c r="Z63" i="28"/>
  <c r="AA63" i="28"/>
  <c r="AB63" i="28"/>
  <c r="AC63" i="28"/>
  <c r="AE10" i="28"/>
  <c r="AE11" i="28"/>
  <c r="AE12" i="28"/>
  <c r="AE13" i="28"/>
  <c r="AE14" i="28"/>
  <c r="AE15" i="28"/>
  <c r="AE16" i="28"/>
  <c r="AE17" i="28"/>
  <c r="AE18" i="28"/>
  <c r="AE19" i="28"/>
  <c r="AE20" i="28"/>
  <c r="AE22" i="28"/>
  <c r="AE23" i="28"/>
  <c r="AE24" i="28"/>
  <c r="AE25" i="28"/>
  <c r="AE26" i="28"/>
  <c r="AE27" i="28"/>
  <c r="AE28" i="28"/>
  <c r="AE29" i="28"/>
  <c r="AE30" i="28"/>
  <c r="AE31" i="28"/>
  <c r="AE32" i="28"/>
  <c r="AE33" i="28"/>
  <c r="AE34" i="28"/>
  <c r="AE35" i="28"/>
  <c r="AE36" i="28"/>
  <c r="AE37" i="28"/>
  <c r="AE38" i="28"/>
  <c r="AE39" i="28"/>
  <c r="AE40" i="28"/>
  <c r="AE41" i="28"/>
  <c r="AE48" i="28"/>
  <c r="AE49" i="28"/>
  <c r="AE50" i="28"/>
  <c r="AE51" i="28"/>
  <c r="AE52" i="28"/>
  <c r="AE53" i="28"/>
  <c r="AE54" i="28"/>
  <c r="AE55" i="28"/>
  <c r="AE56" i="28"/>
  <c r="AE57" i="28"/>
  <c r="AE58" i="28"/>
  <c r="AE59" i="28"/>
  <c r="AE60" i="28"/>
  <c r="AE61" i="28"/>
  <c r="AE62" i="28"/>
  <c r="AE63" i="28"/>
  <c r="AE64" i="28"/>
  <c r="AE65" i="28"/>
  <c r="AE66" i="28"/>
  <c r="AE67" i="28"/>
  <c r="AE68" i="28"/>
  <c r="AE69" i="28"/>
  <c r="AE70" i="28"/>
  <c r="AE71" i="28"/>
  <c r="AE9" i="28"/>
  <c r="AE8" i="28"/>
  <c r="AD9" i="28"/>
  <c r="AD63" i="28"/>
  <c r="AD57" i="28"/>
  <c r="AD41" i="28"/>
  <c r="AD39" i="28"/>
  <c r="AD31" i="28"/>
  <c r="AD27" i="28"/>
  <c r="AD25" i="28"/>
  <c r="AD23" i="28"/>
  <c r="AD16" i="28"/>
  <c r="I12" i="28"/>
  <c r="J12" i="28"/>
  <c r="K12" i="28"/>
  <c r="M12" i="28"/>
  <c r="N12" i="28"/>
  <c r="O12" i="28"/>
  <c r="P12" i="28"/>
  <c r="Q12" i="28"/>
  <c r="R12" i="28"/>
  <c r="S12" i="28"/>
  <c r="T12" i="28"/>
  <c r="U12" i="28"/>
  <c r="V12" i="28"/>
  <c r="W12" i="28"/>
  <c r="X12" i="28"/>
  <c r="Y12" i="28"/>
  <c r="Z12" i="28"/>
  <c r="AA12" i="28"/>
  <c r="AB12" i="28"/>
  <c r="AC12" i="28"/>
  <c r="I14" i="28"/>
  <c r="J14" i="28"/>
  <c r="K14" i="28"/>
  <c r="L14" i="28"/>
  <c r="M14" i="28"/>
  <c r="N14" i="28"/>
  <c r="O14" i="28"/>
  <c r="P14" i="28"/>
  <c r="Q14" i="28"/>
  <c r="R14" i="28"/>
  <c r="S14" i="28"/>
  <c r="T14" i="28"/>
  <c r="U14" i="28"/>
  <c r="V14" i="28"/>
  <c r="W14" i="28"/>
  <c r="X14" i="28"/>
  <c r="Y14" i="28"/>
  <c r="Z14" i="28"/>
  <c r="AA14" i="28"/>
  <c r="AB14" i="28"/>
  <c r="AC14" i="28"/>
  <c r="I18" i="28"/>
  <c r="J18" i="28"/>
  <c r="K18" i="28"/>
  <c r="L18" i="28"/>
  <c r="M18" i="28"/>
  <c r="N18" i="28"/>
  <c r="O18" i="28"/>
  <c r="P18" i="28"/>
  <c r="Q18" i="28"/>
  <c r="R18" i="28"/>
  <c r="S18" i="28"/>
  <c r="T18" i="28"/>
  <c r="U18" i="28"/>
  <c r="V18" i="28"/>
  <c r="W18" i="28"/>
  <c r="X18" i="28"/>
  <c r="Y18" i="28"/>
  <c r="Z18" i="28"/>
  <c r="AA18" i="28"/>
  <c r="AB18" i="28"/>
  <c r="AC18" i="28"/>
  <c r="I20" i="28"/>
  <c r="J20" i="28"/>
  <c r="K20" i="28"/>
  <c r="L20" i="28"/>
  <c r="M20" i="28"/>
  <c r="N20" i="28"/>
  <c r="O20" i="28"/>
  <c r="P20" i="28"/>
  <c r="Q20" i="28"/>
  <c r="R20" i="28"/>
  <c r="S20" i="28"/>
  <c r="T20" i="28"/>
  <c r="U20" i="28"/>
  <c r="V20" i="28"/>
  <c r="W20" i="28"/>
  <c r="X20" i="28"/>
  <c r="Y20" i="28"/>
  <c r="Z20" i="28"/>
  <c r="AA20" i="28"/>
  <c r="AB20" i="28"/>
  <c r="AC20" i="28"/>
  <c r="I24" i="28"/>
  <c r="J24" i="28"/>
  <c r="K24" i="28"/>
  <c r="L24" i="28"/>
  <c r="M24" i="28"/>
  <c r="N24" i="28"/>
  <c r="O24" i="28"/>
  <c r="P24" i="28"/>
  <c r="Q24" i="28"/>
  <c r="R24" i="28"/>
  <c r="S24" i="28"/>
  <c r="T24" i="28"/>
  <c r="U24" i="28"/>
  <c r="V24" i="28"/>
  <c r="W24" i="28"/>
  <c r="X24" i="28"/>
  <c r="Y24" i="28"/>
  <c r="Z24" i="28"/>
  <c r="AA24" i="28"/>
  <c r="AB24" i="28"/>
  <c r="AC24" i="28"/>
  <c r="I26" i="28"/>
  <c r="J26" i="28"/>
  <c r="K26" i="28"/>
  <c r="L26" i="28"/>
  <c r="M26" i="28"/>
  <c r="N26" i="28"/>
  <c r="O26" i="28"/>
  <c r="P26" i="28"/>
  <c r="Q26" i="28"/>
  <c r="R26" i="28"/>
  <c r="S26" i="28"/>
  <c r="T26" i="28"/>
  <c r="U26" i="28"/>
  <c r="V26" i="28"/>
  <c r="W26" i="28"/>
  <c r="X26" i="28"/>
  <c r="Y26" i="28"/>
  <c r="Z26" i="28"/>
  <c r="AA26" i="28"/>
  <c r="AB26" i="28"/>
  <c r="AC26" i="28"/>
  <c r="I30" i="28"/>
  <c r="J30" i="28"/>
  <c r="K30" i="28"/>
  <c r="L30" i="28"/>
  <c r="M30" i="28"/>
  <c r="N30" i="28"/>
  <c r="O30" i="28"/>
  <c r="P30" i="28"/>
  <c r="Q30" i="28"/>
  <c r="R30" i="28"/>
  <c r="S30" i="28"/>
  <c r="T30" i="28"/>
  <c r="U30" i="28"/>
  <c r="V30" i="28"/>
  <c r="W30" i="28"/>
  <c r="X30" i="28"/>
  <c r="Y30" i="28"/>
  <c r="Z30" i="28"/>
  <c r="AA30" i="28"/>
  <c r="AB30" i="28"/>
  <c r="AC30" i="28"/>
  <c r="I32" i="28"/>
  <c r="J32" i="28"/>
  <c r="K32" i="28"/>
  <c r="L32" i="28"/>
  <c r="M32" i="28"/>
  <c r="N32" i="28"/>
  <c r="O32" i="28"/>
  <c r="P32" i="28"/>
  <c r="Q32" i="28"/>
  <c r="R32" i="28"/>
  <c r="S32" i="28"/>
  <c r="T32" i="28"/>
  <c r="U32" i="28"/>
  <c r="V32" i="28"/>
  <c r="W32" i="28"/>
  <c r="X32" i="28"/>
  <c r="Y32" i="28"/>
  <c r="Z32" i="28"/>
  <c r="AA32" i="28"/>
  <c r="AB32" i="28"/>
  <c r="AC32" i="28"/>
  <c r="I35" i="28"/>
  <c r="J35" i="28"/>
  <c r="K35" i="28"/>
  <c r="L35" i="28"/>
  <c r="M35" i="28"/>
  <c r="N35" i="28"/>
  <c r="O35" i="28"/>
  <c r="P35" i="28"/>
  <c r="Q35" i="28"/>
  <c r="R35" i="28"/>
  <c r="S35" i="28"/>
  <c r="T35" i="28"/>
  <c r="U35" i="28"/>
  <c r="V35" i="28"/>
  <c r="W35" i="28"/>
  <c r="X35" i="28"/>
  <c r="Y35" i="28"/>
  <c r="Z35" i="28"/>
  <c r="AA35" i="28"/>
  <c r="AB35" i="28"/>
  <c r="AC35" i="28"/>
  <c r="I38" i="28"/>
  <c r="J38" i="28"/>
  <c r="K38" i="28"/>
  <c r="L38" i="28"/>
  <c r="M38" i="28"/>
  <c r="N38" i="28"/>
  <c r="O38" i="28"/>
  <c r="P38" i="28"/>
  <c r="Q38" i="28"/>
  <c r="R38" i="28"/>
  <c r="S38" i="28"/>
  <c r="T38" i="28"/>
  <c r="U38" i="28"/>
  <c r="V38" i="28"/>
  <c r="W38" i="28"/>
  <c r="X38" i="28"/>
  <c r="Y38" i="28"/>
  <c r="Z38" i="28"/>
  <c r="AA38" i="28"/>
  <c r="AB38" i="28"/>
  <c r="AC38" i="28"/>
  <c r="I40" i="28"/>
  <c r="J40" i="28"/>
  <c r="K40" i="28"/>
  <c r="L40" i="28"/>
  <c r="M40" i="28"/>
  <c r="N40" i="28"/>
  <c r="O40" i="28"/>
  <c r="P40" i="28"/>
  <c r="Q40" i="28"/>
  <c r="R40" i="28"/>
  <c r="S40" i="28"/>
  <c r="T40" i="28"/>
  <c r="U40" i="28"/>
  <c r="V40" i="28"/>
  <c r="W40" i="28"/>
  <c r="X40" i="28"/>
  <c r="Y40" i="28"/>
  <c r="Z40" i="28"/>
  <c r="AA40" i="28"/>
  <c r="AB40" i="28"/>
  <c r="AC40" i="28"/>
  <c r="I37" i="28"/>
  <c r="J37" i="28"/>
  <c r="K37" i="28"/>
  <c r="L37" i="28"/>
  <c r="M37" i="28"/>
  <c r="N37" i="28"/>
  <c r="O37" i="28"/>
  <c r="P37" i="28"/>
  <c r="Q37" i="28"/>
  <c r="R37" i="28"/>
  <c r="S37" i="28"/>
  <c r="T37" i="28"/>
  <c r="U37" i="28"/>
  <c r="V37" i="28"/>
  <c r="W37" i="28"/>
  <c r="X37" i="28"/>
  <c r="Y37" i="28"/>
  <c r="Z37" i="28"/>
  <c r="AA37" i="28"/>
  <c r="AB37" i="28"/>
  <c r="AC37" i="28"/>
  <c r="I48" i="28"/>
  <c r="J48" i="28"/>
  <c r="K48" i="28"/>
  <c r="L48" i="28"/>
  <c r="M48" i="28"/>
  <c r="N48" i="28"/>
  <c r="O48" i="28"/>
  <c r="P48" i="28"/>
  <c r="Q48" i="28"/>
  <c r="R48" i="28"/>
  <c r="S48" i="28"/>
  <c r="T48" i="28"/>
  <c r="U48" i="28"/>
  <c r="V48" i="28"/>
  <c r="W48" i="28"/>
  <c r="X48" i="28"/>
  <c r="Y48" i="28"/>
  <c r="Z48" i="28"/>
  <c r="AA48" i="28"/>
  <c r="AB48" i="28"/>
  <c r="AC48" i="28"/>
  <c r="I50" i="28"/>
  <c r="J50" i="28"/>
  <c r="K50" i="28"/>
  <c r="L50" i="28"/>
  <c r="M50" i="28"/>
  <c r="N50" i="28"/>
  <c r="O50" i="28"/>
  <c r="P50" i="28"/>
  <c r="Q50" i="28"/>
  <c r="R50" i="28"/>
  <c r="S50" i="28"/>
  <c r="T50" i="28"/>
  <c r="U50" i="28"/>
  <c r="V50" i="28"/>
  <c r="W50" i="28"/>
  <c r="X50" i="28"/>
  <c r="Y50" i="28"/>
  <c r="Z50" i="28"/>
  <c r="AA50" i="28"/>
  <c r="AB50" i="28"/>
  <c r="AC50" i="28"/>
  <c r="I52" i="28"/>
  <c r="J52" i="28"/>
  <c r="K52" i="28"/>
  <c r="L52" i="28"/>
  <c r="M52" i="28"/>
  <c r="N52" i="28"/>
  <c r="O52" i="28"/>
  <c r="P52" i="28"/>
  <c r="Q52" i="28"/>
  <c r="R52" i="28"/>
  <c r="S52" i="28"/>
  <c r="T52" i="28"/>
  <c r="U52" i="28"/>
  <c r="V52" i="28"/>
  <c r="W52" i="28"/>
  <c r="X52" i="28"/>
  <c r="Y52" i="28"/>
  <c r="Z52" i="28"/>
  <c r="AA52" i="28"/>
  <c r="AB52" i="28"/>
  <c r="AC52" i="28"/>
  <c r="I54" i="28"/>
  <c r="J54" i="28"/>
  <c r="K54" i="28"/>
  <c r="L54" i="28"/>
  <c r="M54" i="28"/>
  <c r="N54" i="28"/>
  <c r="O54" i="28"/>
  <c r="P54" i="28"/>
  <c r="Q54" i="28"/>
  <c r="R54" i="28"/>
  <c r="S54" i="28"/>
  <c r="T54" i="28"/>
  <c r="U54" i="28"/>
  <c r="V54" i="28"/>
  <c r="W54" i="28"/>
  <c r="X54" i="28"/>
  <c r="Y54" i="28"/>
  <c r="Z54" i="28"/>
  <c r="AA54" i="28"/>
  <c r="AB54" i="28"/>
  <c r="AC54" i="28"/>
  <c r="I56" i="28"/>
  <c r="J56" i="28"/>
  <c r="K56" i="28"/>
  <c r="L56" i="28"/>
  <c r="M56" i="28"/>
  <c r="N56" i="28"/>
  <c r="O56" i="28"/>
  <c r="P56" i="28"/>
  <c r="Q56" i="28"/>
  <c r="R56" i="28"/>
  <c r="S56" i="28"/>
  <c r="T56" i="28"/>
  <c r="U56" i="28"/>
  <c r="V56" i="28"/>
  <c r="W56" i="28"/>
  <c r="X56" i="28"/>
  <c r="Y56" i="28"/>
  <c r="Z56" i="28"/>
  <c r="AA56" i="28"/>
  <c r="AB56" i="28"/>
  <c r="AC56" i="28"/>
  <c r="I64" i="28"/>
  <c r="J64" i="28"/>
  <c r="K64" i="28"/>
  <c r="L64" i="28"/>
  <c r="M64" i="28"/>
  <c r="N64" i="28"/>
  <c r="O64" i="28"/>
  <c r="P64" i="28"/>
  <c r="Q64" i="28"/>
  <c r="R64" i="28"/>
  <c r="S64" i="28"/>
  <c r="T64" i="28"/>
  <c r="U64" i="28"/>
  <c r="V64" i="28"/>
  <c r="W64" i="28"/>
  <c r="X64" i="28"/>
  <c r="Y64" i="28"/>
  <c r="Z64" i="28"/>
  <c r="AA64" i="28"/>
  <c r="AB64" i="28"/>
  <c r="AC64" i="28"/>
  <c r="AD64" i="28"/>
  <c r="AD56" i="28"/>
  <c r="AD55" i="28"/>
  <c r="AD53" i="28"/>
  <c r="AD51" i="28"/>
  <c r="AD49" i="28"/>
  <c r="AD40" i="28"/>
  <c r="AD38" i="28"/>
  <c r="AD34" i="28"/>
  <c r="AD32" i="28"/>
  <c r="AD30" i="28"/>
  <c r="AD26" i="28"/>
  <c r="AD24" i="28"/>
  <c r="AD19" i="28"/>
  <c r="AD17" i="28"/>
  <c r="AD13" i="28"/>
  <c r="AF7" i="28"/>
  <c r="G9" i="28"/>
  <c r="G17" i="28"/>
  <c r="G19" i="28"/>
  <c r="G25" i="28"/>
  <c r="G30" i="28"/>
  <c r="G35" i="28"/>
  <c r="G48" i="28"/>
  <c r="G52" i="28"/>
  <c r="G46" i="28"/>
  <c r="G56" i="28"/>
  <c r="G16" i="28"/>
  <c r="G27" i="28"/>
  <c r="G32" i="28"/>
  <c r="G38" i="28"/>
  <c r="G37" i="28"/>
  <c r="G50" i="28"/>
  <c r="G54" i="28"/>
  <c r="G64" i="28"/>
  <c r="G18" i="28"/>
  <c r="G24" i="28"/>
  <c r="G28" i="28"/>
  <c r="G23" i="28"/>
  <c r="G39" i="28"/>
  <c r="G47" i="28"/>
  <c r="G51" i="28"/>
  <c r="G55" i="28"/>
  <c r="G40" i="28"/>
  <c r="G20" i="28"/>
  <c r="G26" i="28"/>
  <c r="G31" i="28"/>
  <c r="G34" i="28"/>
  <c r="G41" i="28"/>
  <c r="G49" i="28"/>
  <c r="G53" i="28"/>
  <c r="G57" i="28"/>
  <c r="G63" i="28"/>
  <c r="AE6" i="28" l="1"/>
  <c r="AD6" i="28"/>
  <c r="AB6" i="28"/>
  <c r="Z6" i="28"/>
  <c r="X6" i="28"/>
  <c r="V6" i="28"/>
  <c r="T6" i="28"/>
  <c r="R6" i="28"/>
  <c r="P6" i="28"/>
  <c r="N6" i="28"/>
  <c r="L6" i="28"/>
  <c r="J6" i="28"/>
  <c r="AC6" i="28"/>
  <c r="AA6" i="28"/>
  <c r="Y6" i="28"/>
  <c r="W6" i="28"/>
  <c r="U6" i="28"/>
  <c r="S6" i="28"/>
  <c r="Q6" i="28"/>
  <c r="O6" i="28"/>
  <c r="M6" i="28"/>
  <c r="K6" i="28"/>
  <c r="I6" i="28"/>
  <c r="AF43" i="28"/>
  <c r="AF44" i="28"/>
  <c r="AF45" i="28"/>
  <c r="AF46" i="28"/>
  <c r="AF47" i="28"/>
  <c r="AF42" i="28"/>
  <c r="AF21" i="28"/>
  <c r="AF10" i="28"/>
  <c r="AF11" i="28"/>
  <c r="AF12" i="28"/>
  <c r="AF13" i="28"/>
  <c r="AF14" i="28"/>
  <c r="AF15" i="28"/>
  <c r="AF16" i="28"/>
  <c r="AF17" i="28"/>
  <c r="AF18" i="28"/>
  <c r="AF19" i="28"/>
  <c r="AF20" i="28"/>
  <c r="AF22" i="28"/>
  <c r="AF23" i="28"/>
  <c r="AF24" i="28"/>
  <c r="AF25" i="28"/>
  <c r="AF26" i="28"/>
  <c r="AF27" i="28"/>
  <c r="AF28" i="28"/>
  <c r="AF29" i="28"/>
  <c r="AF30" i="28"/>
  <c r="AF31" i="28"/>
  <c r="AF32" i="28"/>
  <c r="AF33" i="28"/>
  <c r="AF34" i="28"/>
  <c r="AF35" i="28"/>
  <c r="AF36" i="28"/>
  <c r="AF37" i="28"/>
  <c r="AF38" i="28"/>
  <c r="AF39" i="28"/>
  <c r="AF40" i="28"/>
  <c r="AF41" i="28"/>
  <c r="AF48" i="28"/>
  <c r="AF49" i="28"/>
  <c r="AF50" i="28"/>
  <c r="AF51" i="28"/>
  <c r="AF52" i="28"/>
  <c r="AF53" i="28"/>
  <c r="AF54" i="28"/>
  <c r="AF55" i="28"/>
  <c r="AF56" i="28"/>
  <c r="AF57" i="28"/>
  <c r="AF58" i="28"/>
  <c r="AF59" i="28"/>
  <c r="AF60" i="28"/>
  <c r="AF61" i="28"/>
  <c r="AF62" i="28"/>
  <c r="AF63" i="28"/>
  <c r="AF64" i="28"/>
  <c r="AF65" i="28"/>
  <c r="AF66" i="28"/>
  <c r="AF67" i="28"/>
  <c r="AF68" i="28"/>
  <c r="AF69" i="28"/>
  <c r="AF70" i="28"/>
  <c r="AF71" i="28"/>
  <c r="AF9" i="28"/>
  <c r="AF8" i="28"/>
  <c r="AG7" i="28"/>
  <c r="AF49" i="2"/>
  <c r="BE49" i="2"/>
  <c r="AF6" i="28" l="1"/>
  <c r="AG43" i="28"/>
  <c r="AG44" i="28"/>
  <c r="AG45" i="28"/>
  <c r="AG46" i="28"/>
  <c r="AG47" i="28"/>
  <c r="AG42" i="28"/>
  <c r="AG21" i="28"/>
  <c r="AG10" i="28"/>
  <c r="AG11" i="28"/>
  <c r="AG12" i="28"/>
  <c r="AG13" i="28"/>
  <c r="AG14" i="28"/>
  <c r="AG15" i="28"/>
  <c r="AG16" i="28"/>
  <c r="AG17" i="28"/>
  <c r="AG18" i="28"/>
  <c r="AG19" i="28"/>
  <c r="AG20" i="28"/>
  <c r="AG22" i="28"/>
  <c r="AG23" i="28"/>
  <c r="AG24" i="28"/>
  <c r="AG25" i="28"/>
  <c r="AG26" i="28"/>
  <c r="AG27" i="28"/>
  <c r="AG28" i="28"/>
  <c r="AG29" i="28"/>
  <c r="AG30" i="28"/>
  <c r="AG31" i="28"/>
  <c r="AG32" i="28"/>
  <c r="AG33" i="28"/>
  <c r="AG34" i="28"/>
  <c r="AG35" i="28"/>
  <c r="AG36" i="28"/>
  <c r="AG37" i="28"/>
  <c r="AG38" i="28"/>
  <c r="AG39" i="28"/>
  <c r="AG40" i="28"/>
  <c r="AG41" i="28"/>
  <c r="AG48" i="28"/>
  <c r="AG49" i="28"/>
  <c r="AG50" i="28"/>
  <c r="AG51" i="28"/>
  <c r="AG52" i="28"/>
  <c r="AG53" i="28"/>
  <c r="AG54" i="28"/>
  <c r="AG55" i="28"/>
  <c r="AG56" i="28"/>
  <c r="AG57" i="28"/>
  <c r="AG58" i="28"/>
  <c r="AG59" i="28"/>
  <c r="AG60" i="28"/>
  <c r="AG61" i="28"/>
  <c r="AG62" i="28"/>
  <c r="AG63" i="28"/>
  <c r="AG8" i="28"/>
  <c r="AG64" i="28"/>
  <c r="AG65" i="28"/>
  <c r="AG66" i="28"/>
  <c r="AG67" i="28"/>
  <c r="AG68" i="28"/>
  <c r="AG69" i="28"/>
  <c r="AG70" i="28"/>
  <c r="AG71" i="28"/>
  <c r="AG9" i="28"/>
  <c r="BE50" i="2"/>
  <c r="AG6" i="28" l="1"/>
  <c r="AF51" i="2"/>
  <c r="BE51" i="2"/>
  <c r="AF52" i="2"/>
  <c r="BE52" i="2"/>
  <c r="AF53" i="2"/>
  <c r="BE53" i="2"/>
  <c r="AF54" i="2"/>
  <c r="BE54" i="2"/>
  <c r="AF55" i="2"/>
  <c r="BE55" i="2"/>
  <c r="AF56" i="2"/>
  <c r="BE56" i="2"/>
  <c r="AF57" i="2"/>
  <c r="BE57" i="2"/>
  <c r="AF58" i="2"/>
  <c r="BE58" i="2"/>
  <c r="AF59" i="2"/>
  <c r="BE59" i="2"/>
  <c r="AF60" i="2"/>
  <c r="BE60" i="2"/>
  <c r="AF61" i="2"/>
  <c r="BE61" i="2"/>
  <c r="AF62" i="2"/>
  <c r="BE62" i="2"/>
  <c r="AF63" i="2"/>
  <c r="BE63" i="2"/>
  <c r="AF64" i="2"/>
  <c r="BE64" i="2"/>
  <c r="AF65" i="2"/>
  <c r="BE65" i="2"/>
  <c r="AF66" i="2"/>
  <c r="BE66" i="2"/>
  <c r="AF67" i="2"/>
  <c r="BE67" i="2"/>
  <c r="AF68" i="2"/>
  <c r="BE68" i="2"/>
  <c r="AF69" i="2"/>
  <c r="BE69" i="2"/>
  <c r="AF70" i="2"/>
  <c r="BE70" i="2"/>
  <c r="AF71" i="2"/>
  <c r="BE71" i="2"/>
  <c r="AF72" i="2"/>
  <c r="BE72" i="2"/>
  <c r="AF73" i="2"/>
  <c r="BE73" i="2"/>
  <c r="AF74" i="2"/>
  <c r="BE74" i="2"/>
  <c r="AF75" i="2"/>
  <c r="BE75" i="2"/>
  <c r="AF76" i="2"/>
  <c r="BE76" i="2"/>
  <c r="AF77" i="2"/>
  <c r="BE77" i="2"/>
  <c r="AF78" i="2"/>
  <c r="BE78" i="2"/>
  <c r="AF79" i="2"/>
  <c r="BE79" i="2"/>
  <c r="AF80" i="2"/>
  <c r="BE80" i="2"/>
  <c r="AF81" i="2"/>
  <c r="BE81" i="2"/>
  <c r="AF82" i="2"/>
  <c r="BE82" i="2"/>
  <c r="AF83" i="2"/>
  <c r="BE83" i="2"/>
  <c r="AF84" i="2"/>
  <c r="BE84" i="2"/>
  <c r="AF85" i="2"/>
  <c r="BE85" i="2"/>
  <c r="AF86" i="2"/>
  <c r="BE86" i="2"/>
  <c r="AF87" i="2"/>
  <c r="BE87" i="2"/>
  <c r="AF88" i="2"/>
  <c r="BE88" i="2"/>
  <c r="AF50" i="2"/>
  <c r="BE89" i="2" l="1"/>
  <c r="AF89" i="2"/>
  <c r="A29" i="19" l="1"/>
  <c r="O8" i="19"/>
  <c r="O7" i="19"/>
  <c r="C5" i="19" l="1"/>
  <c r="D5" i="19"/>
  <c r="E5" i="19"/>
  <c r="F5" i="19"/>
  <c r="F20" i="19" s="1"/>
  <c r="G5" i="19"/>
  <c r="B5" i="19"/>
  <c r="A2" i="18"/>
  <c r="A3" i="24"/>
  <c r="R84" i="9" l="1"/>
  <c r="R154" i="9"/>
  <c r="R193" i="9"/>
  <c r="G200" i="9"/>
  <c r="R185" i="9"/>
  <c r="G195" i="9"/>
  <c r="R200" i="9"/>
  <c r="G185" i="9"/>
  <c r="R194" i="9"/>
  <c r="A4" i="24"/>
  <c r="R85" i="9" s="1"/>
  <c r="T85" i="9" l="1"/>
  <c r="Q85" i="9"/>
  <c r="S85" i="9"/>
  <c r="Q84" i="9"/>
  <c r="S84" i="9"/>
  <c r="U84" i="9" s="1"/>
  <c r="T84" i="9"/>
  <c r="V84" i="9" s="1"/>
  <c r="R201" i="9"/>
  <c r="Q201" i="9" s="1"/>
  <c r="S154" i="9"/>
  <c r="T154" i="9"/>
  <c r="Q154" i="9"/>
  <c r="G186" i="9"/>
  <c r="H186" i="9" s="1"/>
  <c r="R155" i="9"/>
  <c r="H200" i="9"/>
  <c r="I200" i="9"/>
  <c r="R186" i="9"/>
  <c r="Q186" i="9" s="1"/>
  <c r="G201" i="9"/>
  <c r="F185" i="9"/>
  <c r="I185" i="9"/>
  <c r="H185" i="9"/>
  <c r="H195" i="9"/>
  <c r="I195" i="9"/>
  <c r="F195" i="9"/>
  <c r="K193" i="9" s="1"/>
  <c r="O8" i="16" s="1"/>
  <c r="F200" i="9"/>
  <c r="T200" i="9"/>
  <c r="Q200" i="9"/>
  <c r="S200" i="9"/>
  <c r="S185" i="9"/>
  <c r="Q185" i="9"/>
  <c r="T185" i="9"/>
  <c r="Q193" i="9"/>
  <c r="T193" i="9"/>
  <c r="S193" i="9"/>
  <c r="U193" i="9" s="1"/>
  <c r="R195" i="9"/>
  <c r="S194" i="9"/>
  <c r="T194" i="9"/>
  <c r="Q194" i="9"/>
  <c r="A5" i="24"/>
  <c r="R202" i="9" s="1"/>
  <c r="T201" i="9" l="1"/>
  <c r="I186" i="9"/>
  <c r="S201" i="9"/>
  <c r="U201" i="9" s="1"/>
  <c r="G187" i="9"/>
  <c r="I187" i="9" s="1"/>
  <c r="R86" i="9"/>
  <c r="S86" i="9" s="1"/>
  <c r="S155" i="9"/>
  <c r="Q155" i="9"/>
  <c r="T155" i="9"/>
  <c r="S186" i="9"/>
  <c r="U186" i="9" s="1"/>
  <c r="R187" i="9"/>
  <c r="Q187" i="9" s="1"/>
  <c r="R156" i="9"/>
  <c r="F201" i="9"/>
  <c r="I201" i="9"/>
  <c r="H201" i="9"/>
  <c r="J201" i="9" s="1"/>
  <c r="T186" i="9"/>
  <c r="U200" i="9"/>
  <c r="V200" i="9"/>
  <c r="K185" i="9"/>
  <c r="V193" i="9"/>
  <c r="V185" i="9"/>
  <c r="K200" i="9"/>
  <c r="G202" i="9"/>
  <c r="F202" i="9" s="1"/>
  <c r="J195" i="9"/>
  <c r="J196" i="9" s="1"/>
  <c r="P8" i="16" s="1"/>
  <c r="U185" i="9"/>
  <c r="J200" i="9"/>
  <c r="K195" i="9"/>
  <c r="K196" i="9" s="1"/>
  <c r="Q8" i="16" s="1"/>
  <c r="R8" i="16" s="1"/>
  <c r="V186" i="9"/>
  <c r="V194" i="9"/>
  <c r="U194" i="9"/>
  <c r="V201" i="9"/>
  <c r="G203" i="9"/>
  <c r="I203" i="9" s="1"/>
  <c r="S202" i="9"/>
  <c r="Q202" i="9"/>
  <c r="V198" i="9" s="1"/>
  <c r="O12" i="16" s="1"/>
  <c r="T202" i="9"/>
  <c r="T195" i="9"/>
  <c r="Q195" i="9"/>
  <c r="V191" i="9" s="1"/>
  <c r="O11" i="16" s="1"/>
  <c r="S195" i="9"/>
  <c r="H187" i="9"/>
  <c r="A6" i="24"/>
  <c r="R157" i="9" s="1"/>
  <c r="T187" i="9" l="1"/>
  <c r="Q86" i="9"/>
  <c r="V82" i="9" s="1"/>
  <c r="I12" i="16" s="1"/>
  <c r="R188" i="9"/>
  <c r="S188" i="9" s="1"/>
  <c r="T86" i="9"/>
  <c r="S187" i="9"/>
  <c r="U187" i="9" s="1"/>
  <c r="G188" i="9"/>
  <c r="I188" i="9" s="1"/>
  <c r="Q156" i="9"/>
  <c r="T156" i="9"/>
  <c r="S156" i="9"/>
  <c r="Q157" i="9"/>
  <c r="T157" i="9"/>
  <c r="S157" i="9"/>
  <c r="K201" i="9"/>
  <c r="H202" i="9"/>
  <c r="I202" i="9"/>
  <c r="K202" i="9" s="1"/>
  <c r="U195" i="9"/>
  <c r="V195" i="9"/>
  <c r="V196" i="9" s="1"/>
  <c r="Q11" i="16" s="1"/>
  <c r="R11" i="16" s="1"/>
  <c r="U202" i="9"/>
  <c r="U203" i="9" s="1"/>
  <c r="P12" i="16" s="1"/>
  <c r="V202" i="9"/>
  <c r="V203" i="9" s="1"/>
  <c r="U196" i="9"/>
  <c r="P11" i="16" s="1"/>
  <c r="V187" i="9"/>
  <c r="J202" i="9"/>
  <c r="H203" i="9"/>
  <c r="F203" i="9"/>
  <c r="K198" i="9" s="1"/>
  <c r="O9" i="16" s="1"/>
  <c r="T188" i="9"/>
  <c r="A7" i="24"/>
  <c r="R159" i="9" s="1"/>
  <c r="A2" i="22"/>
  <c r="K14" i="22"/>
  <c r="N14" i="22" s="1"/>
  <c r="Q188" i="9" l="1"/>
  <c r="V183" i="9" s="1"/>
  <c r="O10" i="16" s="1"/>
  <c r="R158" i="9"/>
  <c r="G189" i="9"/>
  <c r="H189" i="9" s="1"/>
  <c r="H188" i="9"/>
  <c r="Q159" i="9"/>
  <c r="T159" i="9"/>
  <c r="S159" i="9"/>
  <c r="Q158" i="9"/>
  <c r="T158" i="9"/>
  <c r="S158" i="9"/>
  <c r="J203" i="9"/>
  <c r="J204" i="9" s="1"/>
  <c r="P9" i="16" s="1"/>
  <c r="K203" i="9"/>
  <c r="V188" i="9"/>
  <c r="V189" i="9" s="1"/>
  <c r="A8" i="24"/>
  <c r="A9" i="24" s="1"/>
  <c r="A10" i="24" s="1"/>
  <c r="A11" i="24" s="1"/>
  <c r="A12" i="24" s="1"/>
  <c r="A13" i="24" s="1"/>
  <c r="A14" i="24" s="1"/>
  <c r="A15" i="24" s="1"/>
  <c r="A16" i="24" s="1"/>
  <c r="A17" i="24" s="1"/>
  <c r="A18" i="24" s="1"/>
  <c r="A19" i="24" s="1"/>
  <c r="A20" i="24" s="1"/>
  <c r="A21" i="24" s="1"/>
  <c r="A22" i="24" s="1"/>
  <c r="A23" i="24" s="1"/>
  <c r="A24" i="24" s="1"/>
  <c r="A25" i="24" s="1"/>
  <c r="A26" i="24" s="1"/>
  <c r="A27" i="24" s="1"/>
  <c r="A28" i="24" s="1"/>
  <c r="A29" i="24" s="1"/>
  <c r="A30" i="24" s="1"/>
  <c r="A31" i="24" s="1"/>
  <c r="A32" i="24" s="1"/>
  <c r="A33" i="24" s="1"/>
  <c r="A34" i="24" s="1"/>
  <c r="A35" i="24" s="1"/>
  <c r="A36" i="24" s="1"/>
  <c r="A37" i="24" s="1"/>
  <c r="A38" i="24" s="1"/>
  <c r="A39" i="24" s="1"/>
  <c r="A40" i="24" s="1"/>
  <c r="A41" i="24" s="1"/>
  <c r="A42" i="24" s="1"/>
  <c r="G190" i="9"/>
  <c r="L14" i="22"/>
  <c r="M14" i="22"/>
  <c r="O30" i="22"/>
  <c r="P15" i="22"/>
  <c r="Q15" i="22"/>
  <c r="R15" i="22"/>
  <c r="O15" i="22"/>
  <c r="I189" i="9" l="1"/>
  <c r="U188" i="9"/>
  <c r="U189" i="9" s="1"/>
  <c r="P10" i="16" s="1"/>
  <c r="V152" i="9"/>
  <c r="I26" i="16" s="1"/>
  <c r="I190" i="9"/>
  <c r="H190" i="9"/>
  <c r="Q30" i="22"/>
  <c r="S15" i="22"/>
  <c r="C9" i="22"/>
  <c r="C8" i="22"/>
  <c r="D8" i="22" s="1"/>
  <c r="C7" i="22"/>
  <c r="F7" i="22" s="1"/>
  <c r="C6" i="22"/>
  <c r="E6" i="22" s="1"/>
  <c r="C5" i="22"/>
  <c r="D5" i="22" s="1"/>
  <c r="K13" i="22"/>
  <c r="E9" i="22" l="1"/>
  <c r="D9" i="22"/>
  <c r="F9" i="22"/>
  <c r="D6" i="22"/>
  <c r="F8" i="22"/>
  <c r="E5" i="22"/>
  <c r="F5" i="22"/>
  <c r="F6" i="22"/>
  <c r="D7" i="22"/>
  <c r="E8" i="22"/>
  <c r="E7" i="22"/>
  <c r="K26" i="22"/>
  <c r="G17" i="22" l="1"/>
  <c r="G14" i="22"/>
  <c r="G15" i="22"/>
  <c r="K27" i="22"/>
  <c r="N26" i="22"/>
  <c r="K25" i="22"/>
  <c r="N25" i="22" s="1"/>
  <c r="N24" i="22"/>
  <c r="N27" i="22" l="1"/>
  <c r="Q33" i="22" s="1"/>
  <c r="L27" i="22"/>
  <c r="L24" i="22"/>
  <c r="M24" i="22"/>
  <c r="L25" i="22"/>
  <c r="M25" i="22"/>
  <c r="L26" i="22"/>
  <c r="M26" i="22"/>
  <c r="M27" i="22"/>
  <c r="M13" i="22"/>
  <c r="K12" i="22"/>
  <c r="M12" i="22" s="1"/>
  <c r="K11" i="22"/>
  <c r="L11" i="22" s="1"/>
  <c r="K10" i="22"/>
  <c r="N10" i="22" s="1"/>
  <c r="K9" i="22"/>
  <c r="M9" i="22" s="1"/>
  <c r="K8" i="22"/>
  <c r="M8" i="22" s="1"/>
  <c r="K7" i="22"/>
  <c r="L7" i="22" s="1"/>
  <c r="K6" i="22"/>
  <c r="N6" i="22" s="1"/>
  <c r="K5" i="22"/>
  <c r="M5" i="22" s="1"/>
  <c r="P33" i="22" l="1"/>
  <c r="O33" i="22"/>
  <c r="P31" i="22"/>
  <c r="O31" i="22"/>
  <c r="O32" i="22"/>
  <c r="P32" i="22"/>
  <c r="N9" i="22"/>
  <c r="L10" i="22"/>
  <c r="N13" i="22"/>
  <c r="L6" i="22"/>
  <c r="N11" i="22"/>
  <c r="N5" i="22"/>
  <c r="L8" i="22"/>
  <c r="L12" i="22"/>
  <c r="M6" i="22"/>
  <c r="M10" i="22"/>
  <c r="L5" i="22"/>
  <c r="L9" i="22"/>
  <c r="L13" i="22"/>
  <c r="M7" i="22"/>
  <c r="M11" i="22"/>
  <c r="N8" i="22"/>
  <c r="N12" i="22"/>
  <c r="N7" i="22"/>
  <c r="Q32" i="22" l="1"/>
  <c r="S24" i="22" s="1"/>
  <c r="Q31" i="22"/>
  <c r="O16" i="22"/>
  <c r="O17" i="22"/>
  <c r="R16" i="22"/>
  <c r="Q16" i="22"/>
  <c r="P16" i="22"/>
  <c r="S18" i="22"/>
  <c r="R18" i="22"/>
  <c r="Q18" i="22"/>
  <c r="P18" i="22"/>
  <c r="O18" i="22"/>
  <c r="R17" i="22"/>
  <c r="Q17" i="22"/>
  <c r="P17" i="22"/>
  <c r="D5" i="18"/>
  <c r="S17" i="22" l="1"/>
  <c r="S16" i="22"/>
  <c r="B5" i="18"/>
  <c r="C5" i="18"/>
  <c r="S23" i="22" l="1"/>
  <c r="D2" i="19"/>
  <c r="G3" i="20" l="1"/>
  <c r="G20" i="19"/>
  <c r="G19" i="19"/>
  <c r="G22" i="20"/>
  <c r="G18" i="20"/>
  <c r="G14" i="20"/>
  <c r="G10" i="20"/>
  <c r="G6" i="20"/>
  <c r="G21" i="20"/>
  <c r="G17" i="20"/>
  <c r="G13" i="20"/>
  <c r="G9" i="20"/>
  <c r="G5" i="20"/>
  <c r="G20" i="20"/>
  <c r="G16" i="20"/>
  <c r="G12" i="20"/>
  <c r="G8" i="20"/>
  <c r="G4" i="20"/>
  <c r="G23" i="20"/>
  <c r="G19" i="20"/>
  <c r="G15" i="20"/>
  <c r="G11" i="20"/>
  <c r="G7" i="20"/>
  <c r="D34" i="19" l="1"/>
  <c r="F34" i="19"/>
  <c r="E34" i="19"/>
  <c r="C33" i="19"/>
  <c r="C32" i="19"/>
  <c r="C31" i="19"/>
  <c r="B14" i="19"/>
  <c r="B19" i="19" s="1"/>
  <c r="B25" i="19" l="1"/>
  <c r="E33" i="19"/>
  <c r="D33" i="19"/>
  <c r="B24" i="19"/>
  <c r="B23" i="19"/>
  <c r="B21" i="19"/>
  <c r="B22" i="19"/>
  <c r="B20" i="19"/>
  <c r="B245" i="9"/>
  <c r="B26" i="19" l="1"/>
  <c r="D31" i="19" s="1"/>
  <c r="C14" i="19" l="1"/>
  <c r="C20" i="19" s="1"/>
  <c r="E21" i="19"/>
  <c r="E25" i="19"/>
  <c r="E22" i="19"/>
  <c r="E19" i="19"/>
  <c r="E23" i="19"/>
  <c r="E14" i="19"/>
  <c r="E20" i="19"/>
  <c r="E24" i="19"/>
  <c r="D14" i="19"/>
  <c r="D19" i="19" s="1"/>
  <c r="G23" i="19"/>
  <c r="G14" i="19"/>
  <c r="G24" i="19"/>
  <c r="G21" i="19"/>
  <c r="G25" i="19"/>
  <c r="G22" i="19"/>
  <c r="F14" i="19"/>
  <c r="F24" i="19"/>
  <c r="F19" i="19"/>
  <c r="F21" i="19"/>
  <c r="F25" i="19"/>
  <c r="F22" i="19"/>
  <c r="F23" i="19"/>
  <c r="D7" i="18"/>
  <c r="D8" i="18"/>
  <c r="D9" i="18"/>
  <c r="D10" i="18"/>
  <c r="D11" i="18"/>
  <c r="D12" i="18"/>
  <c r="D13" i="18"/>
  <c r="D14" i="18"/>
  <c r="D15" i="18"/>
  <c r="D16" i="18"/>
  <c r="D6" i="18"/>
  <c r="C6" i="18"/>
  <c r="C7" i="18"/>
  <c r="C8" i="18"/>
  <c r="C9" i="18"/>
  <c r="C10" i="18"/>
  <c r="C11" i="18"/>
  <c r="C12" i="18"/>
  <c r="C13" i="18"/>
  <c r="C14" i="18"/>
  <c r="C15" i="18"/>
  <c r="C16" i="18"/>
  <c r="B16" i="18"/>
  <c r="B15" i="18"/>
  <c r="B7" i="18"/>
  <c r="B8" i="18"/>
  <c r="B9" i="18"/>
  <c r="B10" i="18"/>
  <c r="B11" i="18"/>
  <c r="B12" i="18"/>
  <c r="B13" i="18"/>
  <c r="B14" i="18"/>
  <c r="B18" i="18" l="1"/>
  <c r="B19" i="18" s="1"/>
  <c r="C18" i="18"/>
  <c r="C19" i="18" s="1"/>
  <c r="C24" i="19"/>
  <c r="D20" i="19"/>
  <c r="C25" i="19"/>
  <c r="D25" i="19"/>
  <c r="D21" i="19"/>
  <c r="D23" i="19"/>
  <c r="D24" i="19"/>
  <c r="D22" i="19"/>
  <c r="C23" i="19"/>
  <c r="C22" i="19"/>
  <c r="C21" i="19"/>
  <c r="G26" i="19"/>
  <c r="F32" i="19" s="1"/>
  <c r="E26" i="19"/>
  <c r="D32" i="19" s="1"/>
  <c r="D35" i="19" s="1"/>
  <c r="C19" i="19"/>
  <c r="F26" i="19"/>
  <c r="E32" i="19" s="1"/>
  <c r="D18" i="18"/>
  <c r="D19" i="18" s="1"/>
  <c r="D26" i="19" l="1"/>
  <c r="F31" i="19" s="1"/>
  <c r="F35" i="19" s="1"/>
  <c r="C26" i="19"/>
  <c r="E31" i="19" s="1"/>
  <c r="E35" i="19" s="1"/>
  <c r="A2" i="16" l="1"/>
  <c r="BG5" i="2" l="1"/>
  <c r="BF5" i="2"/>
  <c r="AD5" i="2"/>
  <c r="O5" i="2"/>
  <c r="P5" i="2"/>
  <c r="S5" i="2"/>
  <c r="V5" i="2"/>
  <c r="W5" i="2"/>
  <c r="N5" i="2"/>
  <c r="I5" i="2"/>
  <c r="J5" i="2"/>
  <c r="K5" i="2"/>
  <c r="L5" i="2"/>
  <c r="H5" i="2"/>
  <c r="C5" i="2"/>
  <c r="D5" i="2"/>
  <c r="E5" i="2"/>
  <c r="F5" i="2"/>
  <c r="G5" i="2"/>
  <c r="B61" i="2" l="1"/>
  <c r="B62" i="2"/>
  <c r="B63" i="2"/>
  <c r="B64" i="2"/>
  <c r="B65" i="2"/>
  <c r="B66" i="2"/>
  <c r="B67" i="2"/>
  <c r="B68" i="2"/>
  <c r="B69" i="2"/>
  <c r="B70" i="2"/>
  <c r="B71" i="2"/>
  <c r="B72" i="2"/>
  <c r="B73" i="2"/>
  <c r="B74" i="2"/>
  <c r="B75" i="2"/>
  <c r="B76" i="2"/>
  <c r="B77" i="2"/>
  <c r="B78" i="2"/>
  <c r="B79" i="2"/>
  <c r="B80" i="2"/>
  <c r="B81" i="2"/>
  <c r="B82" i="2"/>
  <c r="B83" i="2"/>
  <c r="B84" i="2"/>
  <c r="B85" i="2"/>
  <c r="B86" i="2"/>
  <c r="B87" i="2"/>
  <c r="B88"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N60" i="2"/>
  <c r="N61" i="2"/>
  <c r="N62" i="2"/>
  <c r="N63" i="2"/>
  <c r="N64" i="2"/>
  <c r="N65" i="2"/>
  <c r="N66" i="2"/>
  <c r="N67" i="2"/>
  <c r="N68" i="2"/>
  <c r="N69" i="2"/>
  <c r="N70" i="2"/>
  <c r="N71" i="2"/>
  <c r="N72" i="2"/>
  <c r="N73" i="2"/>
  <c r="N74" i="2"/>
  <c r="N75" i="2"/>
  <c r="N76" i="2"/>
  <c r="N77" i="2"/>
  <c r="N78" i="2"/>
  <c r="N79" i="2"/>
  <c r="N80" i="2"/>
  <c r="N81" i="2"/>
  <c r="N82" i="2"/>
  <c r="N83" i="2"/>
  <c r="N84" i="2"/>
  <c r="N85" i="2"/>
  <c r="N86" i="2"/>
  <c r="N87" i="2"/>
  <c r="N88" i="2"/>
  <c r="W52" i="2"/>
  <c r="W53" i="2"/>
  <c r="W54" i="2"/>
  <c r="W55" i="2"/>
  <c r="W56" i="2"/>
  <c r="W57" i="2"/>
  <c r="W58" i="2"/>
  <c r="W59" i="2"/>
  <c r="W60" i="2"/>
  <c r="W61" i="2"/>
  <c r="W62" i="2"/>
  <c r="W63" i="2"/>
  <c r="W64" i="2"/>
  <c r="W65" i="2"/>
  <c r="W66" i="2"/>
  <c r="W67" i="2"/>
  <c r="W68" i="2"/>
  <c r="W69" i="2"/>
  <c r="W70" i="2"/>
  <c r="W71" i="2"/>
  <c r="W72" i="2"/>
  <c r="W73" i="2"/>
  <c r="W74" i="2"/>
  <c r="W75" i="2"/>
  <c r="W76" i="2"/>
  <c r="W77" i="2"/>
  <c r="W78" i="2"/>
  <c r="W79" i="2"/>
  <c r="W80" i="2"/>
  <c r="W81" i="2"/>
  <c r="W82" i="2"/>
  <c r="W83" i="2"/>
  <c r="W84" i="2"/>
  <c r="W85" i="2"/>
  <c r="W86" i="2"/>
  <c r="W87" i="2"/>
  <c r="W88" i="2"/>
  <c r="V53" i="2"/>
  <c r="V54" i="2"/>
  <c r="V55" i="2"/>
  <c r="V56" i="2"/>
  <c r="V57" i="2"/>
  <c r="V58" i="2"/>
  <c r="V59" i="2"/>
  <c r="V60" i="2"/>
  <c r="V61" i="2"/>
  <c r="V62" i="2"/>
  <c r="V63" i="2"/>
  <c r="V64" i="2"/>
  <c r="V65" i="2"/>
  <c r="V66" i="2"/>
  <c r="V67" i="2"/>
  <c r="V68" i="2"/>
  <c r="V69" i="2"/>
  <c r="V70" i="2"/>
  <c r="V71" i="2"/>
  <c r="V72" i="2"/>
  <c r="V73" i="2"/>
  <c r="V74" i="2"/>
  <c r="V75" i="2"/>
  <c r="V76" i="2"/>
  <c r="V77" i="2"/>
  <c r="V78" i="2"/>
  <c r="V79" i="2"/>
  <c r="V80" i="2"/>
  <c r="V81" i="2"/>
  <c r="V82" i="2"/>
  <c r="V83" i="2"/>
  <c r="V84" i="2"/>
  <c r="V85" i="2"/>
  <c r="V86" i="2"/>
  <c r="V87" i="2"/>
  <c r="V88" i="2"/>
  <c r="U57" i="2"/>
  <c r="U58" i="2"/>
  <c r="U59" i="2"/>
  <c r="U60" i="2"/>
  <c r="U61" i="2"/>
  <c r="U62" i="2"/>
  <c r="U63" i="2"/>
  <c r="U64" i="2"/>
  <c r="U65" i="2"/>
  <c r="U66" i="2"/>
  <c r="U67" i="2"/>
  <c r="U68" i="2"/>
  <c r="U69" i="2"/>
  <c r="U70" i="2"/>
  <c r="U71" i="2"/>
  <c r="U72" i="2"/>
  <c r="U73" i="2"/>
  <c r="U74" i="2"/>
  <c r="U75" i="2"/>
  <c r="U76" i="2"/>
  <c r="U77" i="2"/>
  <c r="U78" i="2"/>
  <c r="U79" i="2"/>
  <c r="U80" i="2"/>
  <c r="U81" i="2"/>
  <c r="U82" i="2"/>
  <c r="U83" i="2"/>
  <c r="U84" i="2"/>
  <c r="U85" i="2"/>
  <c r="U86" i="2"/>
  <c r="U87" i="2"/>
  <c r="U88" i="2"/>
  <c r="S57" i="2"/>
  <c r="S58" i="2"/>
  <c r="S59" i="2"/>
  <c r="S60" i="2"/>
  <c r="S61" i="2"/>
  <c r="S62" i="2"/>
  <c r="S63" i="2"/>
  <c r="S64" i="2"/>
  <c r="S65" i="2"/>
  <c r="S66" i="2"/>
  <c r="S67" i="2"/>
  <c r="S68" i="2"/>
  <c r="S69" i="2"/>
  <c r="S70" i="2"/>
  <c r="S71" i="2"/>
  <c r="S72" i="2"/>
  <c r="S73" i="2"/>
  <c r="S74" i="2"/>
  <c r="S75" i="2"/>
  <c r="S76" i="2"/>
  <c r="S77" i="2"/>
  <c r="S78" i="2"/>
  <c r="S79" i="2"/>
  <c r="S80" i="2"/>
  <c r="S81" i="2"/>
  <c r="S82" i="2"/>
  <c r="S83" i="2"/>
  <c r="S84" i="2"/>
  <c r="S85" i="2"/>
  <c r="S86" i="2"/>
  <c r="S87" i="2"/>
  <c r="S88" i="2"/>
  <c r="Y57" i="2"/>
  <c r="Y58" i="2"/>
  <c r="Y59" i="2"/>
  <c r="Y60" i="2"/>
  <c r="Y61" i="2"/>
  <c r="Y62" i="2"/>
  <c r="Y63" i="2"/>
  <c r="Y64" i="2"/>
  <c r="Y65" i="2"/>
  <c r="Y66" i="2"/>
  <c r="Y67" i="2"/>
  <c r="Y68" i="2"/>
  <c r="Y69" i="2"/>
  <c r="Y70" i="2"/>
  <c r="Y71" i="2"/>
  <c r="Y72" i="2"/>
  <c r="Y73" i="2"/>
  <c r="Y74" i="2"/>
  <c r="Y75" i="2"/>
  <c r="Y76" i="2"/>
  <c r="Y77" i="2"/>
  <c r="Y78" i="2"/>
  <c r="Y79" i="2"/>
  <c r="Y80" i="2"/>
  <c r="Y81" i="2"/>
  <c r="Y82" i="2"/>
  <c r="Y83" i="2"/>
  <c r="Y84" i="2"/>
  <c r="Y85" i="2"/>
  <c r="Y86" i="2"/>
  <c r="Y87" i="2"/>
  <c r="Y88" i="2"/>
  <c r="X58" i="2"/>
  <c r="X59" i="2"/>
  <c r="X60" i="2"/>
  <c r="X61" i="2"/>
  <c r="X62" i="2"/>
  <c r="X63" i="2"/>
  <c r="X64" i="2"/>
  <c r="X65" i="2"/>
  <c r="X66" i="2"/>
  <c r="X67" i="2"/>
  <c r="X68" i="2"/>
  <c r="X69" i="2"/>
  <c r="X70" i="2"/>
  <c r="X71" i="2"/>
  <c r="X72" i="2"/>
  <c r="X73" i="2"/>
  <c r="X74" i="2"/>
  <c r="X75" i="2"/>
  <c r="X76" i="2"/>
  <c r="X77" i="2"/>
  <c r="X78" i="2"/>
  <c r="X79" i="2"/>
  <c r="X80" i="2"/>
  <c r="X81" i="2"/>
  <c r="X82" i="2"/>
  <c r="X83" i="2"/>
  <c r="X84" i="2"/>
  <c r="X85" i="2"/>
  <c r="X86" i="2"/>
  <c r="X87" i="2"/>
  <c r="X88" i="2"/>
  <c r="P62" i="2"/>
  <c r="P63" i="2"/>
  <c r="P64" i="2"/>
  <c r="P65" i="2"/>
  <c r="P66" i="2"/>
  <c r="P67" i="2"/>
  <c r="P68" i="2"/>
  <c r="P69" i="2"/>
  <c r="P70" i="2"/>
  <c r="P71" i="2"/>
  <c r="P72" i="2"/>
  <c r="P73" i="2"/>
  <c r="P74" i="2"/>
  <c r="P75" i="2"/>
  <c r="P76" i="2"/>
  <c r="P77" i="2"/>
  <c r="P78" i="2"/>
  <c r="P79" i="2"/>
  <c r="P80" i="2"/>
  <c r="P81" i="2"/>
  <c r="P82" i="2"/>
  <c r="P83" i="2"/>
  <c r="P84" i="2"/>
  <c r="P85" i="2"/>
  <c r="P86" i="2"/>
  <c r="P87" i="2"/>
  <c r="P88" i="2"/>
  <c r="O62" i="2"/>
  <c r="O63" i="2"/>
  <c r="O64" i="2"/>
  <c r="O65" i="2"/>
  <c r="O66" i="2"/>
  <c r="O67" i="2"/>
  <c r="O68" i="2"/>
  <c r="O69" i="2"/>
  <c r="O70" i="2"/>
  <c r="O71" i="2"/>
  <c r="O72" i="2"/>
  <c r="O73" i="2"/>
  <c r="O74" i="2"/>
  <c r="O75" i="2"/>
  <c r="O76" i="2"/>
  <c r="O77" i="2"/>
  <c r="O78" i="2"/>
  <c r="O79" i="2"/>
  <c r="O80" i="2"/>
  <c r="O81" i="2"/>
  <c r="O82" i="2"/>
  <c r="O83" i="2"/>
  <c r="O84" i="2"/>
  <c r="O85" i="2"/>
  <c r="O86" i="2"/>
  <c r="O87" i="2"/>
  <c r="O88" i="2"/>
  <c r="AD55" i="2"/>
  <c r="AD56" i="2"/>
  <c r="AD57" i="2"/>
  <c r="AD58" i="2"/>
  <c r="AD59" i="2"/>
  <c r="AD60" i="2"/>
  <c r="AD61" i="2"/>
  <c r="AD62" i="2"/>
  <c r="AD63" i="2"/>
  <c r="AD64" i="2"/>
  <c r="AD65" i="2"/>
  <c r="AD66" i="2"/>
  <c r="AD67" i="2"/>
  <c r="AD68" i="2"/>
  <c r="AD69" i="2"/>
  <c r="AD70" i="2"/>
  <c r="AD71" i="2"/>
  <c r="AD72" i="2"/>
  <c r="AD73" i="2"/>
  <c r="AD74" i="2"/>
  <c r="AD75" i="2"/>
  <c r="AD76" i="2"/>
  <c r="AD77" i="2"/>
  <c r="AD78" i="2"/>
  <c r="AD79" i="2"/>
  <c r="AD80" i="2"/>
  <c r="AD81" i="2"/>
  <c r="AD82" i="2"/>
  <c r="AD83" i="2"/>
  <c r="AD84" i="2"/>
  <c r="AD85" i="2"/>
  <c r="AD86" i="2"/>
  <c r="AD87" i="2"/>
  <c r="AD88" i="2"/>
  <c r="AE59" i="2"/>
  <c r="AE60" i="2"/>
  <c r="AE61" i="2"/>
  <c r="AE62" i="2"/>
  <c r="AE63" i="2"/>
  <c r="AE64" i="2"/>
  <c r="AE65" i="2"/>
  <c r="AE66" i="2"/>
  <c r="AE67" i="2"/>
  <c r="AE68" i="2"/>
  <c r="AE69" i="2"/>
  <c r="AE70" i="2"/>
  <c r="AE71" i="2"/>
  <c r="AE72" i="2"/>
  <c r="AE73" i="2"/>
  <c r="AE74" i="2"/>
  <c r="AE75" i="2"/>
  <c r="AE76" i="2"/>
  <c r="AE77" i="2"/>
  <c r="AE78" i="2"/>
  <c r="AE79" i="2"/>
  <c r="AE80" i="2"/>
  <c r="AE81" i="2"/>
  <c r="AE82" i="2"/>
  <c r="AE83" i="2"/>
  <c r="AE84" i="2"/>
  <c r="AE85" i="2"/>
  <c r="AE86" i="2"/>
  <c r="AE87" i="2"/>
  <c r="AE88" i="2"/>
  <c r="BG3" i="2"/>
  <c r="BF3" i="2"/>
  <c r="AE3" i="2"/>
  <c r="AD3" i="2"/>
  <c r="O3" i="2"/>
  <c r="P3" i="2"/>
  <c r="S3" i="2"/>
  <c r="U3" i="2"/>
  <c r="V3" i="2"/>
  <c r="W3" i="2"/>
  <c r="N3" i="2"/>
  <c r="I3" i="2"/>
  <c r="J3" i="2"/>
  <c r="K3" i="2"/>
  <c r="H3" i="2"/>
  <c r="C3" i="2"/>
  <c r="D3" i="2"/>
  <c r="E3" i="2"/>
  <c r="F3" i="2"/>
  <c r="G3" i="2"/>
  <c r="B3" i="2"/>
  <c r="C18" i="12" l="1"/>
  <c r="M354" i="9"/>
  <c r="M355" i="9"/>
  <c r="M356" i="9"/>
  <c r="M357" i="9"/>
  <c r="M358" i="9"/>
  <c r="M359" i="9"/>
  <c r="M360" i="9"/>
  <c r="M361" i="9"/>
  <c r="M362" i="9"/>
  <c r="M363" i="9"/>
  <c r="M364" i="9"/>
  <c r="M365" i="9"/>
  <c r="M366" i="9"/>
  <c r="M367" i="9"/>
  <c r="M368" i="9"/>
  <c r="M369" i="9"/>
  <c r="M370" i="9"/>
  <c r="M371" i="9"/>
  <c r="M372" i="9"/>
  <c r="M373" i="9"/>
  <c r="M374" i="9"/>
  <c r="M375" i="9"/>
  <c r="M376" i="9"/>
  <c r="M377" i="9"/>
  <c r="M378" i="9"/>
  <c r="M379" i="9"/>
  <c r="M380" i="9"/>
  <c r="M381" i="9"/>
  <c r="M382" i="9"/>
  <c r="M383" i="9"/>
  <c r="M384" i="9"/>
  <c r="M385" i="9"/>
  <c r="M386" i="9"/>
  <c r="M387" i="9"/>
  <c r="M388" i="9"/>
  <c r="M389" i="9"/>
  <c r="M390" i="9"/>
  <c r="M391" i="9"/>
  <c r="M392" i="9"/>
  <c r="M353" i="9"/>
  <c r="B354" i="9"/>
  <c r="B355" i="9"/>
  <c r="B356" i="9"/>
  <c r="B357" i="9"/>
  <c r="B358" i="9"/>
  <c r="B359" i="9"/>
  <c r="B360" i="9"/>
  <c r="B361" i="9"/>
  <c r="B362" i="9"/>
  <c r="B364" i="9"/>
  <c r="B365" i="9"/>
  <c r="B366" i="9"/>
  <c r="B367" i="9"/>
  <c r="B368" i="9"/>
  <c r="B369" i="9"/>
  <c r="B370" i="9"/>
  <c r="B371" i="9"/>
  <c r="B372" i="9"/>
  <c r="B373" i="9"/>
  <c r="B374" i="9"/>
  <c r="B375" i="9"/>
  <c r="B376" i="9"/>
  <c r="B377" i="9"/>
  <c r="B378" i="9"/>
  <c r="B379" i="9"/>
  <c r="B380" i="9"/>
  <c r="B381" i="9"/>
  <c r="B382" i="9"/>
  <c r="B383" i="9"/>
  <c r="B384" i="9"/>
  <c r="B385" i="9"/>
  <c r="B386" i="9"/>
  <c r="B387" i="9"/>
  <c r="B388" i="9"/>
  <c r="B389" i="9"/>
  <c r="B390" i="9"/>
  <c r="B391" i="9"/>
  <c r="B392" i="9"/>
  <c r="B353" i="9"/>
  <c r="M322" i="9"/>
  <c r="B341" i="9"/>
  <c r="B332" i="9"/>
  <c r="B322" i="9"/>
  <c r="B256" i="9"/>
  <c r="M273" i="9"/>
  <c r="M265" i="9"/>
  <c r="M255" i="9"/>
  <c r="M245" i="9"/>
  <c r="B288" i="9"/>
  <c r="B277" i="9"/>
  <c r="B267" i="9"/>
  <c r="M219" i="9"/>
  <c r="M212" i="9"/>
  <c r="B232" i="9"/>
  <c r="B222" i="9"/>
  <c r="B212" i="9"/>
  <c r="M167" i="9"/>
  <c r="B167" i="9"/>
  <c r="C168" i="9" s="1"/>
  <c r="C169" i="9" s="1"/>
  <c r="C170" i="9" s="1"/>
  <c r="C171" i="9" s="1"/>
  <c r="C172" i="9" s="1"/>
  <c r="M147" i="9"/>
  <c r="M139" i="9"/>
  <c r="M127" i="9"/>
  <c r="M115" i="9"/>
  <c r="B135" i="9"/>
  <c r="B118" i="9"/>
  <c r="B104" i="9"/>
  <c r="B105" i="9"/>
  <c r="B106" i="9"/>
  <c r="B108" i="9"/>
  <c r="B109" i="9"/>
  <c r="B110" i="9"/>
  <c r="B111" i="9"/>
  <c r="B112" i="9"/>
  <c r="B113" i="9"/>
  <c r="B103" i="9"/>
  <c r="C104" i="9" s="1"/>
  <c r="B77" i="9"/>
  <c r="B63" i="9"/>
  <c r="M75" i="9"/>
  <c r="M63" i="9"/>
  <c r="B87" i="9"/>
  <c r="M24" i="9"/>
  <c r="M8" i="9"/>
  <c r="B49" i="9"/>
  <c r="B34" i="9"/>
  <c r="B24" i="9"/>
  <c r="B8" i="9"/>
  <c r="B46" i="2"/>
  <c r="C46" i="2"/>
  <c r="D46" i="2"/>
  <c r="E46" i="2"/>
  <c r="F46" i="2"/>
  <c r="G46" i="2"/>
  <c r="H46" i="2"/>
  <c r="I2" i="29" s="1"/>
  <c r="I46" i="2"/>
  <c r="A20" i="29" s="1"/>
  <c r="J46" i="2"/>
  <c r="K46" i="2"/>
  <c r="L46" i="2"/>
  <c r="N46" i="2"/>
  <c r="O46" i="2"/>
  <c r="P46" i="2"/>
  <c r="X46" i="2"/>
  <c r="Y46" i="2"/>
  <c r="S46" i="2"/>
  <c r="U46" i="2"/>
  <c r="V46" i="2"/>
  <c r="W46" i="2"/>
  <c r="AD46" i="2"/>
  <c r="AE46" i="2"/>
  <c r="AG46" i="2"/>
  <c r="AH46" i="2"/>
  <c r="AI46" i="2"/>
  <c r="AJ46" i="2"/>
  <c r="AJ4" i="2" s="1"/>
  <c r="AK46" i="2"/>
  <c r="AO46" i="2"/>
  <c r="AP46" i="2"/>
  <c r="AQ46" i="2"/>
  <c r="AR46" i="2"/>
  <c r="AS46" i="2"/>
  <c r="AT46" i="2"/>
  <c r="AU46" i="2"/>
  <c r="AV46" i="2"/>
  <c r="AW46" i="2"/>
  <c r="AX46" i="2"/>
  <c r="AX4" i="2" s="1"/>
  <c r="AY46" i="2"/>
  <c r="AZ46" i="2"/>
  <c r="BB46" i="2"/>
  <c r="BF46" i="2"/>
  <c r="BG46" i="2"/>
  <c r="C105" i="9" l="1"/>
  <c r="C106" i="9" s="1"/>
  <c r="C107" i="9" s="1"/>
  <c r="C108" i="9" s="1"/>
  <c r="C109" i="9" s="1"/>
  <c r="C110" i="9" s="1"/>
  <c r="C111" i="9" s="1"/>
  <c r="C112" i="9" s="1"/>
  <c r="C113" i="9" s="1"/>
  <c r="J3" i="12"/>
  <c r="K3" i="12" s="1"/>
  <c r="J7" i="12"/>
  <c r="K7" i="12" s="1"/>
  <c r="J11" i="12"/>
  <c r="K11" i="12" s="1"/>
  <c r="H4" i="12"/>
  <c r="I4" i="12" s="1"/>
  <c r="H8" i="12"/>
  <c r="I8" i="12" s="1"/>
  <c r="H12" i="12"/>
  <c r="I12" i="12" s="1"/>
  <c r="F5" i="12"/>
  <c r="G5" i="12" s="1"/>
  <c r="F9" i="12"/>
  <c r="G9" i="12" s="1"/>
  <c r="F13" i="12"/>
  <c r="G13" i="12" s="1"/>
  <c r="J4" i="12"/>
  <c r="K4" i="12" s="1"/>
  <c r="J8" i="12"/>
  <c r="K8" i="12" s="1"/>
  <c r="J12" i="12"/>
  <c r="H5" i="12"/>
  <c r="I5" i="12" s="1"/>
  <c r="H9" i="12"/>
  <c r="H13" i="12"/>
  <c r="I13" i="12" s="1"/>
  <c r="F6" i="12"/>
  <c r="F10" i="12"/>
  <c r="G10" i="12" s="1"/>
  <c r="J5" i="12"/>
  <c r="J9" i="12"/>
  <c r="J13" i="12"/>
  <c r="K13" i="12" s="1"/>
  <c r="H6" i="12"/>
  <c r="H10" i="12"/>
  <c r="F3" i="12"/>
  <c r="G3" i="12" s="1"/>
  <c r="F7" i="12"/>
  <c r="F11" i="12"/>
  <c r="J6" i="12"/>
  <c r="J10" i="12"/>
  <c r="H3" i="12"/>
  <c r="I3" i="12" s="1"/>
  <c r="H7" i="12"/>
  <c r="H11" i="12"/>
  <c r="F4" i="12"/>
  <c r="G4" i="12" s="1"/>
  <c r="F8" i="12"/>
  <c r="F12" i="12"/>
  <c r="D3" i="12"/>
  <c r="D7" i="12"/>
  <c r="E7" i="12" s="1"/>
  <c r="D11" i="12"/>
  <c r="E11" i="12" s="1"/>
  <c r="D4" i="12"/>
  <c r="E4" i="12" s="1"/>
  <c r="D8" i="12"/>
  <c r="E8" i="12" s="1"/>
  <c r="D12" i="12"/>
  <c r="E12" i="12" s="1"/>
  <c r="D10" i="12"/>
  <c r="E10" i="12" s="1"/>
  <c r="D5" i="12"/>
  <c r="D9" i="12"/>
  <c r="D13" i="12"/>
  <c r="D6" i="12"/>
  <c r="E6" i="12" s="1"/>
  <c r="B3" i="12"/>
  <c r="C3" i="12" s="1"/>
  <c r="T33" i="12"/>
  <c r="U33" i="12" s="1"/>
  <c r="T37" i="12"/>
  <c r="U37" i="12" s="1"/>
  <c r="T41" i="12"/>
  <c r="U41" i="12" s="1"/>
  <c r="R34" i="12"/>
  <c r="S34" i="12" s="1"/>
  <c r="R38" i="12"/>
  <c r="S38" i="12" s="1"/>
  <c r="R42" i="12"/>
  <c r="S42" i="12" s="1"/>
  <c r="P35" i="12"/>
  <c r="Q35" i="12" s="1"/>
  <c r="P39" i="12"/>
  <c r="Q39" i="12" s="1"/>
  <c r="P43" i="12"/>
  <c r="Q43" i="12" s="1"/>
  <c r="N36" i="12"/>
  <c r="O36" i="12" s="1"/>
  <c r="N40" i="12"/>
  <c r="O40" i="12" s="1"/>
  <c r="L33" i="12"/>
  <c r="M33" i="12" s="1"/>
  <c r="L37" i="12"/>
  <c r="M37" i="12" s="1"/>
  <c r="L41" i="12"/>
  <c r="M41" i="12" s="1"/>
  <c r="J34" i="12"/>
  <c r="K34" i="12" s="1"/>
  <c r="J38" i="12"/>
  <c r="K38" i="12" s="1"/>
  <c r="J42" i="12"/>
  <c r="K42" i="12" s="1"/>
  <c r="H35" i="12"/>
  <c r="I35" i="12" s="1"/>
  <c r="H39" i="12"/>
  <c r="I39" i="12" s="1"/>
  <c r="H43" i="12"/>
  <c r="I43" i="12" s="1"/>
  <c r="F36" i="12"/>
  <c r="G36" i="12" s="1"/>
  <c r="F40" i="12"/>
  <c r="G40" i="12" s="1"/>
  <c r="D33" i="12"/>
  <c r="E33" i="12" s="1"/>
  <c r="D37" i="12"/>
  <c r="E37" i="12" s="1"/>
  <c r="D41" i="12"/>
  <c r="E41" i="12" s="1"/>
  <c r="T34" i="12"/>
  <c r="U34" i="12" s="1"/>
  <c r="T38" i="12"/>
  <c r="U38" i="12" s="1"/>
  <c r="T42" i="12"/>
  <c r="R35" i="12"/>
  <c r="S35" i="12" s="1"/>
  <c r="R39" i="12"/>
  <c r="S39" i="12" s="1"/>
  <c r="R43" i="12"/>
  <c r="S43" i="12" s="1"/>
  <c r="P36" i="12"/>
  <c r="Q36" i="12" s="1"/>
  <c r="P40" i="12"/>
  <c r="Q40" i="12" s="1"/>
  <c r="N33" i="12"/>
  <c r="O33" i="12" s="1"/>
  <c r="N37" i="12"/>
  <c r="O37" i="12" s="1"/>
  <c r="N41" i="12"/>
  <c r="O41" i="12" s="1"/>
  <c r="L34" i="12"/>
  <c r="M34" i="12" s="1"/>
  <c r="L38" i="12"/>
  <c r="M38" i="12" s="1"/>
  <c r="L42" i="12"/>
  <c r="M42" i="12" s="1"/>
  <c r="J35" i="12"/>
  <c r="K35" i="12" s="1"/>
  <c r="J39" i="12"/>
  <c r="K39" i="12" s="1"/>
  <c r="J43" i="12"/>
  <c r="K43" i="12" s="1"/>
  <c r="H36" i="12"/>
  <c r="I36" i="12" s="1"/>
  <c r="H40" i="12"/>
  <c r="I40" i="12" s="1"/>
  <c r="F33" i="12"/>
  <c r="G33" i="12" s="1"/>
  <c r="F37" i="12"/>
  <c r="G37" i="12" s="1"/>
  <c r="F41" i="12"/>
  <c r="G41" i="12" s="1"/>
  <c r="D34" i="12"/>
  <c r="E34" i="12" s="1"/>
  <c r="D38" i="12"/>
  <c r="E38" i="12" s="1"/>
  <c r="D42" i="12"/>
  <c r="E42" i="12" s="1"/>
  <c r="T40" i="12"/>
  <c r="U40" i="12" s="1"/>
  <c r="P280" i="9" s="1"/>
  <c r="R37" i="12"/>
  <c r="S37" i="12" s="1"/>
  <c r="P34" i="12"/>
  <c r="Q34" i="12" s="1"/>
  <c r="N35" i="12"/>
  <c r="O35" i="12" s="1"/>
  <c r="N43" i="12"/>
  <c r="O43" i="12" s="1"/>
  <c r="L40" i="12"/>
  <c r="M40" i="12" s="1"/>
  <c r="J33" i="12"/>
  <c r="K33" i="12" s="1"/>
  <c r="J41" i="12"/>
  <c r="K41" i="12" s="1"/>
  <c r="H38" i="12"/>
  <c r="I38" i="12" s="1"/>
  <c r="F35" i="12"/>
  <c r="G35" i="12" s="1"/>
  <c r="D36" i="12"/>
  <c r="E36" i="12" s="1"/>
  <c r="T35" i="12"/>
  <c r="U35" i="12" s="1"/>
  <c r="AQ35" i="12" s="1"/>
  <c r="T39" i="12"/>
  <c r="U39" i="12" s="1"/>
  <c r="AQ39" i="12" s="1"/>
  <c r="T43" i="12"/>
  <c r="U43" i="12" s="1"/>
  <c r="R36" i="12"/>
  <c r="S36" i="12" s="1"/>
  <c r="AO36" i="12" s="1"/>
  <c r="R40" i="12"/>
  <c r="S40" i="12" s="1"/>
  <c r="P33" i="12"/>
  <c r="Q33" i="12" s="1"/>
  <c r="P37" i="12"/>
  <c r="Q37" i="12" s="1"/>
  <c r="AM37" i="12" s="1"/>
  <c r="P41" i="12"/>
  <c r="Q41" i="12" s="1"/>
  <c r="N34" i="12"/>
  <c r="O34" i="12" s="1"/>
  <c r="N38" i="12"/>
  <c r="O38" i="12" s="1"/>
  <c r="AK38" i="12" s="1"/>
  <c r="N42" i="12"/>
  <c r="O42" i="12" s="1"/>
  <c r="AK42" i="12" s="1"/>
  <c r="L35" i="12"/>
  <c r="M35" i="12" s="1"/>
  <c r="AI35" i="12" s="1"/>
  <c r="L39" i="12"/>
  <c r="M39" i="12" s="1"/>
  <c r="AI39" i="12" s="1"/>
  <c r="L43" i="12"/>
  <c r="M43" i="12" s="1"/>
  <c r="J36" i="12"/>
  <c r="K36" i="12" s="1"/>
  <c r="J40" i="12"/>
  <c r="K40" i="12" s="1"/>
  <c r="H33" i="12"/>
  <c r="I33" i="12" s="1"/>
  <c r="H37" i="12"/>
  <c r="I37" i="12" s="1"/>
  <c r="AE37" i="12" s="1"/>
  <c r="H41" i="12"/>
  <c r="I41" i="12" s="1"/>
  <c r="F34" i="12"/>
  <c r="G34" i="12" s="1"/>
  <c r="F38" i="12"/>
  <c r="G38" i="12" s="1"/>
  <c r="AC38" i="12" s="1"/>
  <c r="F42" i="12"/>
  <c r="G42" i="12" s="1"/>
  <c r="AC42" i="12" s="1"/>
  <c r="D35" i="12"/>
  <c r="E35" i="12" s="1"/>
  <c r="D39" i="12"/>
  <c r="E39" i="12" s="1"/>
  <c r="AA39" i="12" s="1"/>
  <c r="D43" i="12"/>
  <c r="E43" i="12" s="1"/>
  <c r="T36" i="12"/>
  <c r="U36" i="12" s="1"/>
  <c r="R33" i="12"/>
  <c r="S33" i="12" s="1"/>
  <c r="R41" i="12"/>
  <c r="S41" i="12" s="1"/>
  <c r="P38" i="12"/>
  <c r="Q38" i="12" s="1"/>
  <c r="P42" i="12"/>
  <c r="Q42" i="12" s="1"/>
  <c r="N39" i="12"/>
  <c r="O39" i="12" s="1"/>
  <c r="L36" i="12"/>
  <c r="M36" i="12" s="1"/>
  <c r="AI36" i="12" s="1"/>
  <c r="J37" i="12"/>
  <c r="K37" i="12" s="1"/>
  <c r="H34" i="12"/>
  <c r="I34" i="12" s="1"/>
  <c r="H42" i="12"/>
  <c r="I42" i="12" s="1"/>
  <c r="AE42" i="12" s="1"/>
  <c r="F39" i="12"/>
  <c r="G39" i="12" s="1"/>
  <c r="F43" i="12"/>
  <c r="G43" i="12" s="1"/>
  <c r="D40" i="12"/>
  <c r="E40" i="12" s="1"/>
  <c r="B7" i="12"/>
  <c r="C7" i="12" s="1"/>
  <c r="B11" i="12"/>
  <c r="C11" i="12" s="1"/>
  <c r="B10" i="12"/>
  <c r="C10" i="12" s="1"/>
  <c r="B4" i="12"/>
  <c r="C4" i="12" s="1"/>
  <c r="B8" i="12"/>
  <c r="B12" i="12"/>
  <c r="B5" i="12"/>
  <c r="C5" i="12" s="1"/>
  <c r="B9" i="12"/>
  <c r="C9" i="12" s="1"/>
  <c r="B13" i="12"/>
  <c r="C13" i="12" s="1"/>
  <c r="B6" i="12"/>
  <c r="C6" i="12" s="1"/>
  <c r="I21" i="22"/>
  <c r="L49" i="12"/>
  <c r="M49" i="12" s="1"/>
  <c r="L53" i="12"/>
  <c r="M53" i="12" s="1"/>
  <c r="L57" i="12"/>
  <c r="M57" i="12" s="1"/>
  <c r="J51" i="12"/>
  <c r="K51" i="12" s="1"/>
  <c r="J55" i="12"/>
  <c r="K55" i="12" s="1"/>
  <c r="H49" i="12"/>
  <c r="I49" i="12" s="1"/>
  <c r="H53" i="12"/>
  <c r="I53" i="12" s="1"/>
  <c r="H57" i="12"/>
  <c r="I57" i="12" s="1"/>
  <c r="F51" i="12"/>
  <c r="G51" i="12" s="1"/>
  <c r="F55" i="12"/>
  <c r="G55" i="12" s="1"/>
  <c r="D49" i="12"/>
  <c r="E49" i="12" s="1"/>
  <c r="D53" i="12"/>
  <c r="E53" i="12" s="1"/>
  <c r="D57" i="12"/>
  <c r="E57" i="12" s="1"/>
  <c r="B51" i="12"/>
  <c r="C51" i="12" s="1"/>
  <c r="B55" i="12"/>
  <c r="C55" i="12" s="1"/>
  <c r="L50" i="12"/>
  <c r="L54" i="12"/>
  <c r="M54" i="12" s="1"/>
  <c r="L58" i="12"/>
  <c r="M58" i="12" s="1"/>
  <c r="J48" i="12"/>
  <c r="J52" i="12"/>
  <c r="J56" i="12"/>
  <c r="H50" i="12"/>
  <c r="H54" i="12"/>
  <c r="H58" i="12"/>
  <c r="F48" i="12"/>
  <c r="F52" i="12"/>
  <c r="F56" i="12"/>
  <c r="D50" i="12"/>
  <c r="E50" i="12" s="1"/>
  <c r="D54" i="12"/>
  <c r="D58" i="12"/>
  <c r="B48" i="12"/>
  <c r="B52" i="12"/>
  <c r="C52" i="12" s="1"/>
  <c r="B56" i="12"/>
  <c r="C56" i="12" s="1"/>
  <c r="J54" i="12"/>
  <c r="K54" i="12" s="1"/>
  <c r="H52" i="12"/>
  <c r="I52" i="12" s="1"/>
  <c r="F50" i="12"/>
  <c r="G50" i="12" s="1"/>
  <c r="F58" i="12"/>
  <c r="G58" i="12" s="1"/>
  <c r="D52" i="12"/>
  <c r="E52" i="12" s="1"/>
  <c r="B54" i="12"/>
  <c r="C54" i="12" s="1"/>
  <c r="L51" i="12"/>
  <c r="L55" i="12"/>
  <c r="J49" i="12"/>
  <c r="K49" i="12" s="1"/>
  <c r="J53" i="12"/>
  <c r="J57" i="12"/>
  <c r="H51" i="12"/>
  <c r="I51" i="12" s="1"/>
  <c r="H55" i="12"/>
  <c r="I55" i="12" s="1"/>
  <c r="F49" i="12"/>
  <c r="F53" i="12"/>
  <c r="G53" i="12" s="1"/>
  <c r="F57" i="12"/>
  <c r="G57" i="12" s="1"/>
  <c r="D51" i="12"/>
  <c r="D55" i="12"/>
  <c r="B49" i="12"/>
  <c r="C49" i="12" s="1"/>
  <c r="B53" i="12"/>
  <c r="B57" i="12"/>
  <c r="L48" i="12"/>
  <c r="L52" i="12"/>
  <c r="L56" i="12"/>
  <c r="J50" i="12"/>
  <c r="J58" i="12"/>
  <c r="K58" i="12" s="1"/>
  <c r="H48" i="12"/>
  <c r="H56" i="12"/>
  <c r="I56" i="12" s="1"/>
  <c r="F54" i="12"/>
  <c r="D48" i="12"/>
  <c r="D56" i="12"/>
  <c r="E56" i="12" s="1"/>
  <c r="B50" i="12"/>
  <c r="B58" i="12"/>
  <c r="B33" i="12"/>
  <c r="C33" i="12" s="1"/>
  <c r="Y33" i="12" s="1"/>
  <c r="B37" i="12"/>
  <c r="C37" i="12" s="1"/>
  <c r="B41" i="12"/>
  <c r="C41" i="12" s="1"/>
  <c r="B34" i="12"/>
  <c r="C34" i="12" s="1"/>
  <c r="B38" i="12"/>
  <c r="C38" i="12" s="1"/>
  <c r="B42" i="12"/>
  <c r="C42" i="12" s="1"/>
  <c r="B40" i="12"/>
  <c r="C40" i="12" s="1"/>
  <c r="B35" i="12"/>
  <c r="C35" i="12" s="1"/>
  <c r="B39" i="12"/>
  <c r="C39" i="12" s="1"/>
  <c r="Y39" i="12" s="1"/>
  <c r="B43" i="12"/>
  <c r="C43" i="12" s="1"/>
  <c r="B36" i="12"/>
  <c r="C36" i="12" s="1"/>
  <c r="I2" i="22"/>
  <c r="C354" i="9"/>
  <c r="C355" i="9" s="1"/>
  <c r="C356" i="9" s="1"/>
  <c r="C357" i="9" s="1"/>
  <c r="C358" i="9" s="1"/>
  <c r="C359" i="9" s="1"/>
  <c r="C360" i="9" s="1"/>
  <c r="C361" i="9" s="1"/>
  <c r="C362" i="9" s="1"/>
  <c r="C363" i="9" s="1"/>
  <c r="C364" i="9" s="1"/>
  <c r="C365" i="9" s="1"/>
  <c r="C366" i="9" s="1"/>
  <c r="C367" i="9" s="1"/>
  <c r="C368" i="9" s="1"/>
  <c r="C369" i="9" s="1"/>
  <c r="C370" i="9" s="1"/>
  <c r="C371" i="9" s="1"/>
  <c r="C372" i="9" s="1"/>
  <c r="C373" i="9" s="1"/>
  <c r="C374" i="9" s="1"/>
  <c r="C375" i="9" s="1"/>
  <c r="C376" i="9" s="1"/>
  <c r="C377" i="9" s="1"/>
  <c r="C378" i="9" s="1"/>
  <c r="C379" i="9" s="1"/>
  <c r="C380" i="9" s="1"/>
  <c r="C381" i="9" s="1"/>
  <c r="C382" i="9" s="1"/>
  <c r="C383" i="9" s="1"/>
  <c r="C384" i="9" s="1"/>
  <c r="C385" i="9" s="1"/>
  <c r="C386" i="9" s="1"/>
  <c r="C387" i="9" s="1"/>
  <c r="C388" i="9" s="1"/>
  <c r="C389" i="9" s="1"/>
  <c r="C390" i="9" s="1"/>
  <c r="C391" i="9" s="1"/>
  <c r="C392" i="9" s="1"/>
  <c r="I351" i="9"/>
  <c r="AZ4" i="2"/>
  <c r="AR4" i="2"/>
  <c r="AG4" i="2"/>
  <c r="V4" i="2"/>
  <c r="L4" i="2"/>
  <c r="L49" i="2" s="1"/>
  <c r="L50" i="2" s="1"/>
  <c r="L51" i="2" s="1"/>
  <c r="L52" i="2" s="1"/>
  <c r="D4" i="2"/>
  <c r="D49" i="2" s="1"/>
  <c r="AY4" i="2"/>
  <c r="AQ4" i="2"/>
  <c r="AE4" i="2"/>
  <c r="AE49" i="2" s="1"/>
  <c r="P4" i="2"/>
  <c r="P49" i="2" s="1"/>
  <c r="G4" i="2"/>
  <c r="G49" i="2" s="1"/>
  <c r="BB4" i="2"/>
  <c r="AT4" i="2"/>
  <c r="AP4" i="2"/>
  <c r="AI4" i="2"/>
  <c r="AD4" i="2"/>
  <c r="AD49" i="2" s="1"/>
  <c r="S4" i="2"/>
  <c r="S49" i="2" s="1"/>
  <c r="O4" i="2"/>
  <c r="O49" i="2" s="1"/>
  <c r="J4" i="2"/>
  <c r="J49" i="2" s="1"/>
  <c r="F4" i="2"/>
  <c r="F49" i="2" s="1"/>
  <c r="B4" i="2"/>
  <c r="B49" i="2" s="1"/>
  <c r="BG4" i="2"/>
  <c r="BG49" i="2" s="1"/>
  <c r="AV4" i="2"/>
  <c r="AK4" i="2"/>
  <c r="X4" i="2"/>
  <c r="X49" i="2" s="1"/>
  <c r="H4" i="2"/>
  <c r="BF4" i="2"/>
  <c r="BF49" i="2" s="1"/>
  <c r="AU4" i="2"/>
  <c r="U4" i="2"/>
  <c r="U49" i="2" s="1"/>
  <c r="K4" i="2"/>
  <c r="C4" i="2"/>
  <c r="C49" i="2" s="1"/>
  <c r="AW4" i="2"/>
  <c r="AS4" i="2"/>
  <c r="AO4" i="2"/>
  <c r="AH4" i="2"/>
  <c r="W4" i="2"/>
  <c r="W49" i="2" s="1"/>
  <c r="Y4" i="2"/>
  <c r="Y49" i="2" s="1"/>
  <c r="N4" i="2"/>
  <c r="N49" i="2" s="1"/>
  <c r="I4" i="2"/>
  <c r="E4" i="2"/>
  <c r="E49" i="2" s="1"/>
  <c r="U42" i="12" l="1"/>
  <c r="AQ42" i="12" s="1"/>
  <c r="O280" i="9"/>
  <c r="T280" i="9" s="1"/>
  <c r="U280" i="9" s="1"/>
  <c r="AO40" i="12"/>
  <c r="P271" i="9"/>
  <c r="N282" i="9"/>
  <c r="N283" i="9" s="1"/>
  <c r="N284" i="9" s="1"/>
  <c r="N285" i="9" s="1"/>
  <c r="N286" i="9" s="1"/>
  <c r="R286" i="9"/>
  <c r="K49" i="2"/>
  <c r="K50" i="2" s="1"/>
  <c r="K51" i="2" s="1"/>
  <c r="K52" i="2" s="1"/>
  <c r="K53" i="2" s="1"/>
  <c r="K54" i="2" s="1"/>
  <c r="K55" i="2" s="1"/>
  <c r="K56" i="2" s="1"/>
  <c r="C28" i="12"/>
  <c r="J28" i="12"/>
  <c r="C24" i="12"/>
  <c r="J24" i="12"/>
  <c r="C20" i="12"/>
  <c r="J20" i="12"/>
  <c r="E26" i="12"/>
  <c r="L26" i="12"/>
  <c r="E22" i="12"/>
  <c r="L22" i="12"/>
  <c r="G28" i="12"/>
  <c r="N28" i="12"/>
  <c r="G24" i="12"/>
  <c r="N24" i="12"/>
  <c r="G20" i="12"/>
  <c r="N20" i="12"/>
  <c r="C27" i="12"/>
  <c r="J27" i="12"/>
  <c r="C23" i="12"/>
  <c r="J23" i="12"/>
  <c r="C19" i="12"/>
  <c r="J19" i="12"/>
  <c r="E27" i="12"/>
  <c r="M27" i="12" s="1"/>
  <c r="L27" i="12"/>
  <c r="E23" i="12"/>
  <c r="M23" i="12" s="1"/>
  <c r="L23" i="12"/>
  <c r="E19" i="12"/>
  <c r="L19" i="12"/>
  <c r="G27" i="12"/>
  <c r="N27" i="12"/>
  <c r="G23" i="12"/>
  <c r="N23" i="12"/>
  <c r="G19" i="12"/>
  <c r="N19" i="12"/>
  <c r="C26" i="12"/>
  <c r="J28" i="29" s="1"/>
  <c r="J26" i="12"/>
  <c r="C22" i="12"/>
  <c r="J22" i="12"/>
  <c r="E28" i="12"/>
  <c r="L28" i="12"/>
  <c r="E24" i="12"/>
  <c r="L24" i="12"/>
  <c r="E20" i="12"/>
  <c r="M20" i="12" s="1"/>
  <c r="L20" i="12"/>
  <c r="G26" i="12"/>
  <c r="J30" i="29" s="1"/>
  <c r="N26" i="12"/>
  <c r="G22" i="12"/>
  <c r="N22" i="12"/>
  <c r="J18" i="12"/>
  <c r="C25" i="12"/>
  <c r="J25" i="12"/>
  <c r="C21" i="12"/>
  <c r="J21" i="12"/>
  <c r="E18" i="12"/>
  <c r="M18" i="12" s="1"/>
  <c r="L18" i="12"/>
  <c r="E25" i="12"/>
  <c r="L25" i="12"/>
  <c r="E21" i="12"/>
  <c r="L21" i="12"/>
  <c r="G18" i="12"/>
  <c r="O18" i="12" s="1"/>
  <c r="N18" i="12"/>
  <c r="G25" i="12"/>
  <c r="N25" i="12"/>
  <c r="G21" i="12"/>
  <c r="N21" i="12"/>
  <c r="J11" i="29"/>
  <c r="J13" i="29"/>
  <c r="J7" i="29"/>
  <c r="J5" i="29"/>
  <c r="J6" i="29"/>
  <c r="J14" i="29"/>
  <c r="J9" i="29"/>
  <c r="J10" i="29"/>
  <c r="AM41" i="12"/>
  <c r="J12" i="29"/>
  <c r="AE41" i="12"/>
  <c r="J8" i="29"/>
  <c r="AB36" i="12"/>
  <c r="Y35" i="12"/>
  <c r="AF42" i="12"/>
  <c r="Z39" i="12"/>
  <c r="AH35" i="12"/>
  <c r="AA40" i="12"/>
  <c r="AM42" i="12"/>
  <c r="W8" i="12"/>
  <c r="AN41" i="12"/>
  <c r="AF43" i="12"/>
  <c r="Q12" i="12"/>
  <c r="AA35" i="12"/>
  <c r="S10" i="12"/>
  <c r="U5" i="12"/>
  <c r="AQ36" i="12"/>
  <c r="AC41" i="12"/>
  <c r="AE36" i="12"/>
  <c r="AI42" i="12"/>
  <c r="AK37" i="12"/>
  <c r="AQ38" i="12"/>
  <c r="O6" i="12"/>
  <c r="Q11" i="12"/>
  <c r="R8" i="12"/>
  <c r="G8" i="12"/>
  <c r="R7" i="12"/>
  <c r="G7" i="12"/>
  <c r="R6" i="12"/>
  <c r="G6" i="12"/>
  <c r="S6" i="12" s="1"/>
  <c r="V12" i="12"/>
  <c r="K12" i="12"/>
  <c r="W12" i="12" s="1"/>
  <c r="O5" i="12"/>
  <c r="O10" i="12"/>
  <c r="P13" i="12"/>
  <c r="E13" i="12"/>
  <c r="Q13" i="12" s="1"/>
  <c r="Q7" i="12"/>
  <c r="V10" i="12"/>
  <c r="K10" i="12"/>
  <c r="W11" i="12" s="1"/>
  <c r="V9" i="12"/>
  <c r="K9" i="12"/>
  <c r="U13" i="12"/>
  <c r="S5" i="12"/>
  <c r="N12" i="12"/>
  <c r="C12" i="12"/>
  <c r="O12" i="12" s="1"/>
  <c r="O11" i="12"/>
  <c r="P9" i="12"/>
  <c r="E9" i="12"/>
  <c r="Q9" i="12" s="1"/>
  <c r="Q8" i="12"/>
  <c r="P3" i="12"/>
  <c r="E3" i="12"/>
  <c r="T11" i="12"/>
  <c r="I11" i="12"/>
  <c r="V6" i="12"/>
  <c r="K6" i="12"/>
  <c r="W7" i="12" s="1"/>
  <c r="T10" i="12"/>
  <c r="I10" i="12"/>
  <c r="V5" i="12"/>
  <c r="K5" i="12"/>
  <c r="W5" i="12" s="1"/>
  <c r="T9" i="12"/>
  <c r="I9" i="12"/>
  <c r="N8" i="12"/>
  <c r="C8" i="12"/>
  <c r="O8" i="12" s="1"/>
  <c r="O7" i="12"/>
  <c r="P5" i="12"/>
  <c r="E5" i="12"/>
  <c r="Q5" i="12" s="1"/>
  <c r="R12" i="12"/>
  <c r="G12" i="12"/>
  <c r="S13" i="12" s="1"/>
  <c r="T7" i="12"/>
  <c r="I7" i="12"/>
  <c r="U8" i="12" s="1"/>
  <c r="R11" i="12"/>
  <c r="G11" i="12"/>
  <c r="T6" i="12"/>
  <c r="I6" i="12"/>
  <c r="U6" i="12" s="1"/>
  <c r="P217" i="9"/>
  <c r="AJ35" i="12"/>
  <c r="AD38" i="12"/>
  <c r="Z43" i="12"/>
  <c r="AO41" i="12"/>
  <c r="AP35" i="12"/>
  <c r="AH43" i="12"/>
  <c r="AL34" i="12"/>
  <c r="AB39" i="12"/>
  <c r="V8" i="12"/>
  <c r="T13" i="12"/>
  <c r="R5" i="12"/>
  <c r="V11" i="12"/>
  <c r="V13" i="12"/>
  <c r="R9" i="12"/>
  <c r="T12" i="12"/>
  <c r="V7" i="12"/>
  <c r="R10" i="12"/>
  <c r="T5" i="12"/>
  <c r="R13" i="12"/>
  <c r="T8" i="12"/>
  <c r="P8" i="12"/>
  <c r="P4" i="12"/>
  <c r="P12" i="12"/>
  <c r="P6" i="12"/>
  <c r="P10" i="12"/>
  <c r="P11" i="12"/>
  <c r="P7" i="12"/>
  <c r="Y36" i="12"/>
  <c r="AA54" i="12"/>
  <c r="AK39" i="12"/>
  <c r="AE40" i="12"/>
  <c r="AK41" i="12"/>
  <c r="AM36" i="12"/>
  <c r="AA42" i="12"/>
  <c r="AC37" i="12"/>
  <c r="AI38" i="12"/>
  <c r="AO39" i="12"/>
  <c r="AJ43" i="12"/>
  <c r="AP40" i="12"/>
  <c r="AD34" i="12"/>
  <c r="Y38" i="12"/>
  <c r="AP36" i="12"/>
  <c r="Z40" i="12"/>
  <c r="AD37" i="12"/>
  <c r="Y40" i="12"/>
  <c r="AC35" i="12"/>
  <c r="AI40" i="12"/>
  <c r="AO37" i="12"/>
  <c r="AA37" i="12"/>
  <c r="AM39" i="12"/>
  <c r="AC39" i="12"/>
  <c r="Y41" i="12"/>
  <c r="AO34" i="12"/>
  <c r="N273" i="9"/>
  <c r="N274" i="9" s="1"/>
  <c r="N275" i="9" s="1"/>
  <c r="AW5" i="2"/>
  <c r="AN37" i="12"/>
  <c r="AJ39" i="12"/>
  <c r="AF38" i="12"/>
  <c r="Y43" i="12"/>
  <c r="J5" i="22"/>
  <c r="Y42" i="12"/>
  <c r="Y37" i="12"/>
  <c r="AE34" i="12"/>
  <c r="E275" i="9"/>
  <c r="C277" i="9" s="1"/>
  <c r="C278" i="9" s="1"/>
  <c r="C279" i="9" s="1"/>
  <c r="C280" i="9" s="1"/>
  <c r="C281" i="9" s="1"/>
  <c r="C282" i="9" s="1"/>
  <c r="C283" i="9" s="1"/>
  <c r="AR5" i="2"/>
  <c r="AR49" i="2" s="1"/>
  <c r="AI43" i="12"/>
  <c r="J10" i="22"/>
  <c r="AE38" i="12"/>
  <c r="AK43" i="12"/>
  <c r="J11" i="22"/>
  <c r="AQ40" i="12"/>
  <c r="AO43" i="12"/>
  <c r="J13" i="22"/>
  <c r="AE39" i="12"/>
  <c r="AK40" i="12"/>
  <c r="AM35" i="12"/>
  <c r="AQ41" i="12"/>
  <c r="AA34" i="12"/>
  <c r="AP5" i="2"/>
  <c r="AP49" i="2" s="1"/>
  <c r="AP50" i="2" s="1"/>
  <c r="AP51" i="2" s="1"/>
  <c r="AP52" i="2" s="1"/>
  <c r="AP53" i="2" s="1"/>
  <c r="AP54" i="2" s="1"/>
  <c r="AP55" i="2" s="1"/>
  <c r="E254" i="9"/>
  <c r="C256" i="9" s="1"/>
  <c r="C257" i="9" s="1"/>
  <c r="C258" i="9" s="1"/>
  <c r="C259" i="9" s="1"/>
  <c r="C260" i="9" s="1"/>
  <c r="C261" i="9" s="1"/>
  <c r="C262" i="9" s="1"/>
  <c r="AE43" i="12"/>
  <c r="J8" i="22"/>
  <c r="AC43" i="12"/>
  <c r="J7" i="22"/>
  <c r="AM38" i="12"/>
  <c r="AA43" i="12"/>
  <c r="J6" i="22"/>
  <c r="AK34" i="12"/>
  <c r="P253" i="9"/>
  <c r="N255" i="9" s="1"/>
  <c r="N256" i="9" s="1"/>
  <c r="N257" i="9" s="1"/>
  <c r="N258" i="9" s="1"/>
  <c r="N259" i="9" s="1"/>
  <c r="N260" i="9" s="1"/>
  <c r="AU5" i="2"/>
  <c r="AK35" i="12"/>
  <c r="AQ34" i="12"/>
  <c r="AX5" i="2"/>
  <c r="AC40" i="12"/>
  <c r="AE35" i="12"/>
  <c r="AI41" i="12"/>
  <c r="AK36" i="12"/>
  <c r="AO42" i="12"/>
  <c r="AQ37" i="12"/>
  <c r="AQ43" i="12"/>
  <c r="AF39" i="12"/>
  <c r="AD41" i="12"/>
  <c r="Y34" i="12"/>
  <c r="E243" i="9"/>
  <c r="C245" i="9" s="1"/>
  <c r="C246" i="9" s="1"/>
  <c r="C247" i="9" s="1"/>
  <c r="C248" i="9" s="1"/>
  <c r="C249" i="9" s="1"/>
  <c r="C250" i="9" s="1"/>
  <c r="C251" i="9" s="1"/>
  <c r="AO5" i="2"/>
  <c r="AC34" i="12"/>
  <c r="E265" i="9"/>
  <c r="C267" i="9" s="1"/>
  <c r="C268" i="9" s="1"/>
  <c r="C269" i="9" s="1"/>
  <c r="C270" i="9" s="1"/>
  <c r="C271" i="9" s="1"/>
  <c r="C272" i="9" s="1"/>
  <c r="AQ5" i="2"/>
  <c r="AA36" i="12"/>
  <c r="AM34" i="12"/>
  <c r="P263" i="9"/>
  <c r="N265" i="9" s="1"/>
  <c r="N266" i="9" s="1"/>
  <c r="N267" i="9" s="1"/>
  <c r="N268" i="9" s="1"/>
  <c r="AV5" i="2"/>
  <c r="AA38" i="12"/>
  <c r="AI34" i="12"/>
  <c r="P243" i="9"/>
  <c r="N245" i="9" s="1"/>
  <c r="N246" i="9" s="1"/>
  <c r="N247" i="9" s="1"/>
  <c r="N248" i="9" s="1"/>
  <c r="N249" i="9" s="1"/>
  <c r="N250" i="9" s="1"/>
  <c r="AT5" i="2"/>
  <c r="AT49" i="2" s="1"/>
  <c r="AM40" i="12"/>
  <c r="AO35" i="12"/>
  <c r="AA41" i="12"/>
  <c r="AC36" i="12"/>
  <c r="AI37" i="12"/>
  <c r="AM43" i="12"/>
  <c r="J12" i="22"/>
  <c r="AO38" i="12"/>
  <c r="Q52" i="12"/>
  <c r="S50" i="12"/>
  <c r="N6" i="12"/>
  <c r="N11" i="12"/>
  <c r="N9" i="12"/>
  <c r="N5" i="12"/>
  <c r="N10" i="12"/>
  <c r="N13" i="12"/>
  <c r="D210" i="9"/>
  <c r="N7" i="12"/>
  <c r="R48" i="12"/>
  <c r="E48" i="12"/>
  <c r="S48" i="12" s="1"/>
  <c r="Z48" i="12"/>
  <c r="M48" i="12"/>
  <c r="AA48" i="12" s="1"/>
  <c r="R55" i="12"/>
  <c r="E55" i="12"/>
  <c r="S56" i="12" s="1"/>
  <c r="T49" i="12"/>
  <c r="G49" i="12"/>
  <c r="U50" i="12" s="1"/>
  <c r="X53" i="12"/>
  <c r="K53" i="12"/>
  <c r="Y54" i="12" s="1"/>
  <c r="W52" i="12"/>
  <c r="P48" i="12"/>
  <c r="C48" i="12"/>
  <c r="Q48" i="12" s="1"/>
  <c r="T56" i="12"/>
  <c r="G56" i="12"/>
  <c r="V54" i="12"/>
  <c r="I54" i="12"/>
  <c r="W54" i="12" s="1"/>
  <c r="X48" i="12"/>
  <c r="K48" i="12"/>
  <c r="Y48" i="12" s="1"/>
  <c r="Q55" i="12"/>
  <c r="W53" i="12"/>
  <c r="P58" i="12"/>
  <c r="C58" i="12"/>
  <c r="T54" i="12"/>
  <c r="G54" i="12"/>
  <c r="U54" i="12" s="1"/>
  <c r="X50" i="12"/>
  <c r="K50" i="12"/>
  <c r="Y50" i="12" s="1"/>
  <c r="P57" i="12"/>
  <c r="C57" i="12"/>
  <c r="Q57" i="12" s="1"/>
  <c r="R51" i="12"/>
  <c r="E51" i="12"/>
  <c r="S51" i="12" s="1"/>
  <c r="R58" i="12"/>
  <c r="E58" i="12"/>
  <c r="T52" i="12"/>
  <c r="G52" i="12"/>
  <c r="U52" i="12" s="1"/>
  <c r="V50" i="12"/>
  <c r="I50" i="12"/>
  <c r="W50" i="12" s="1"/>
  <c r="AA58" i="12"/>
  <c r="P50" i="12"/>
  <c r="C50" i="12"/>
  <c r="Q50" i="12" s="1"/>
  <c r="W56" i="12"/>
  <c r="Z56" i="12"/>
  <c r="M56" i="12"/>
  <c r="P53" i="12"/>
  <c r="C53" i="12"/>
  <c r="Q53" i="12" s="1"/>
  <c r="Z55" i="12"/>
  <c r="M55" i="12"/>
  <c r="AA55" i="12" s="1"/>
  <c r="U58" i="12"/>
  <c r="Q56" i="12"/>
  <c r="R54" i="12"/>
  <c r="E54" i="12"/>
  <c r="S54" i="12" s="1"/>
  <c r="T48" i="12"/>
  <c r="G48" i="12"/>
  <c r="U48" i="12" s="1"/>
  <c r="X56" i="12"/>
  <c r="K56" i="12"/>
  <c r="S57" i="12"/>
  <c r="U51" i="12"/>
  <c r="Y55" i="12"/>
  <c r="V48" i="12"/>
  <c r="I48" i="12"/>
  <c r="W48" i="12" s="1"/>
  <c r="Z52" i="12"/>
  <c r="M52" i="12"/>
  <c r="X57" i="12"/>
  <c r="K57" i="12"/>
  <c r="Z51" i="12"/>
  <c r="M51" i="12"/>
  <c r="V58" i="12"/>
  <c r="I58" i="12"/>
  <c r="B26" i="29" s="1"/>
  <c r="X52" i="12"/>
  <c r="K52" i="12"/>
  <c r="Y52" i="12" s="1"/>
  <c r="Z50" i="12"/>
  <c r="M50" i="12"/>
  <c r="AA50" i="12" s="1"/>
  <c r="S53" i="12"/>
  <c r="W57" i="12"/>
  <c r="X49" i="12"/>
  <c r="V56" i="12"/>
  <c r="T57" i="12"/>
  <c r="V51" i="12"/>
  <c r="P56" i="12"/>
  <c r="Z54" i="12"/>
  <c r="V55" i="12"/>
  <c r="X54" i="12"/>
  <c r="R56" i="12"/>
  <c r="P49" i="12"/>
  <c r="T53" i="12"/>
  <c r="P52" i="12"/>
  <c r="R50" i="12"/>
  <c r="X58" i="12"/>
  <c r="O329" i="9"/>
  <c r="T329" i="9" s="1"/>
  <c r="P54" i="12"/>
  <c r="V52" i="12"/>
  <c r="P55" i="12"/>
  <c r="R49" i="12"/>
  <c r="V53" i="12"/>
  <c r="Z57" i="12"/>
  <c r="R52" i="12"/>
  <c r="Z58" i="12"/>
  <c r="O335" i="9"/>
  <c r="T335" i="9" s="1"/>
  <c r="P51" i="12"/>
  <c r="T55" i="12"/>
  <c r="V49" i="12"/>
  <c r="Z53" i="12"/>
  <c r="T58" i="12"/>
  <c r="R57" i="12"/>
  <c r="T51" i="12"/>
  <c r="X55" i="12"/>
  <c r="Z49" i="12"/>
  <c r="T50" i="12"/>
  <c r="R53" i="12"/>
  <c r="V57" i="12"/>
  <c r="X51" i="12"/>
  <c r="Z41" i="12"/>
  <c r="AH38" i="12"/>
  <c r="AN40" i="12"/>
  <c r="AF36" i="12"/>
  <c r="AF40" i="12"/>
  <c r="AP43" i="12"/>
  <c r="AJ38" i="12"/>
  <c r="AH40" i="12"/>
  <c r="AF35" i="12"/>
  <c r="AB41" i="12"/>
  <c r="Z36" i="12"/>
  <c r="Z34" i="12"/>
  <c r="AD39" i="12"/>
  <c r="AD43" i="12"/>
  <c r="Z37" i="12"/>
  <c r="AH34" i="12"/>
  <c r="AD40" i="12"/>
  <c r="AB35" i="12"/>
  <c r="AH41" i="12"/>
  <c r="AB42" i="12"/>
  <c r="AD35" i="12"/>
  <c r="AF41" i="12"/>
  <c r="AD36" i="12"/>
  <c r="Z42" i="12"/>
  <c r="AP39" i="12"/>
  <c r="AJ34" i="12"/>
  <c r="AH36" i="12"/>
  <c r="AD42" i="12"/>
  <c r="AB37" i="12"/>
  <c r="AB34" i="12"/>
  <c r="AH39" i="12"/>
  <c r="AF34" i="12"/>
  <c r="AB40" i="12"/>
  <c r="Z35" i="12"/>
  <c r="AH37" i="12"/>
  <c r="AB38" i="12"/>
  <c r="AH42" i="12"/>
  <c r="AF37" i="12"/>
  <c r="AB43" i="12"/>
  <c r="Z38" i="12"/>
  <c r="AN38" i="12"/>
  <c r="AJ41" i="12"/>
  <c r="AL36" i="12"/>
  <c r="AP37" i="12"/>
  <c r="AJ37" i="12"/>
  <c r="AN34" i="12"/>
  <c r="AN35" i="12"/>
  <c r="AP41" i="12"/>
  <c r="AJ40" i="12"/>
  <c r="AN43" i="12"/>
  <c r="AP38" i="12"/>
  <c r="AP42" i="12"/>
  <c r="AN42" i="12"/>
  <c r="AN36" i="12"/>
  <c r="AJ42" i="12"/>
  <c r="AJ36" i="12"/>
  <c r="AN39" i="12"/>
  <c r="AP34" i="12"/>
  <c r="AL35" i="12"/>
  <c r="AL37" i="12"/>
  <c r="H49" i="2"/>
  <c r="H50" i="2" s="1"/>
  <c r="H51" i="2" s="1"/>
  <c r="H52" i="2" s="1"/>
  <c r="H53" i="2" s="1"/>
  <c r="H54" i="2" s="1"/>
  <c r="H55" i="2" s="1"/>
  <c r="H56" i="2" s="1"/>
  <c r="H57" i="2" s="1"/>
  <c r="H58" i="2" s="1"/>
  <c r="X39" i="12"/>
  <c r="V49" i="2"/>
  <c r="V50" i="2" s="1"/>
  <c r="V51" i="2" s="1"/>
  <c r="V52" i="2" s="1"/>
  <c r="I49" i="2"/>
  <c r="I50" i="2" s="1"/>
  <c r="I51" i="2" s="1"/>
  <c r="I52" i="2" s="1"/>
  <c r="I53" i="2" s="1"/>
  <c r="I54" i="2" s="1"/>
  <c r="S50" i="2"/>
  <c r="S51" i="2" s="1"/>
  <c r="S52" i="2" s="1"/>
  <c r="S53" i="2" s="1"/>
  <c r="S54" i="2" s="1"/>
  <c r="S55" i="2" s="1"/>
  <c r="S56" i="2" s="1"/>
  <c r="Y50" i="2"/>
  <c r="Y51" i="2" s="1"/>
  <c r="Y52" i="2" s="1"/>
  <c r="Y53" i="2" s="1"/>
  <c r="Y54" i="2" s="1"/>
  <c r="Y55" i="2" s="1"/>
  <c r="Y56" i="2" s="1"/>
  <c r="P50" i="2"/>
  <c r="P51" i="2" s="1"/>
  <c r="P52" i="2" s="1"/>
  <c r="P53" i="2" s="1"/>
  <c r="P54" i="2" s="1"/>
  <c r="P55" i="2" s="1"/>
  <c r="P56" i="2" s="1"/>
  <c r="P57" i="2" s="1"/>
  <c r="P58" i="2" s="1"/>
  <c r="P59" i="2" s="1"/>
  <c r="P60" i="2" s="1"/>
  <c r="P61" i="2" s="1"/>
  <c r="N50" i="2"/>
  <c r="N51" i="2" s="1"/>
  <c r="N52" i="2" s="1"/>
  <c r="N53" i="2" s="1"/>
  <c r="BF50" i="2"/>
  <c r="BF51" i="2" s="1"/>
  <c r="BF52" i="2" s="1"/>
  <c r="BF53" i="2" s="1"/>
  <c r="BF54" i="2" s="1"/>
  <c r="BF55" i="2" s="1"/>
  <c r="BF56" i="2" s="1"/>
  <c r="BF57" i="2" s="1"/>
  <c r="BF58" i="2" s="1"/>
  <c r="BF59" i="2" s="1"/>
  <c r="BF60" i="2" s="1"/>
  <c r="BF61" i="2" s="1"/>
  <c r="BF62" i="2" s="1"/>
  <c r="BF63" i="2" s="1"/>
  <c r="BF64" i="2" s="1"/>
  <c r="BF65" i="2" s="1"/>
  <c r="BF66" i="2" s="1"/>
  <c r="BF67" i="2" s="1"/>
  <c r="BF68" i="2" s="1"/>
  <c r="BF69" i="2" s="1"/>
  <c r="BF70" i="2" s="1"/>
  <c r="BF71" i="2" s="1"/>
  <c r="BF72" i="2" s="1"/>
  <c r="BF73" i="2" s="1"/>
  <c r="BF74" i="2" s="1"/>
  <c r="BF75" i="2" s="1"/>
  <c r="BF76" i="2" s="1"/>
  <c r="BF77" i="2" s="1"/>
  <c r="BF78" i="2" s="1"/>
  <c r="BF79" i="2" s="1"/>
  <c r="BF80" i="2" s="1"/>
  <c r="BF81" i="2" s="1"/>
  <c r="BF82" i="2" s="1"/>
  <c r="BF83" i="2" s="1"/>
  <c r="BF84" i="2" s="1"/>
  <c r="BF85" i="2" s="1"/>
  <c r="BF86" i="2" s="1"/>
  <c r="BF87" i="2" s="1"/>
  <c r="BF88" i="2" s="1"/>
  <c r="AD50" i="2"/>
  <c r="AD51" i="2" s="1"/>
  <c r="AD52" i="2" s="1"/>
  <c r="AD53" i="2" s="1"/>
  <c r="AD54" i="2" s="1"/>
  <c r="AE50" i="2"/>
  <c r="AE51" i="2" s="1"/>
  <c r="AE52" i="2" s="1"/>
  <c r="AE53" i="2" s="1"/>
  <c r="AE54" i="2" s="1"/>
  <c r="AE55" i="2" s="1"/>
  <c r="AE56" i="2" s="1"/>
  <c r="AE57" i="2" s="1"/>
  <c r="AE58" i="2" s="1"/>
  <c r="U50" i="2"/>
  <c r="U51" i="2" s="1"/>
  <c r="U52" i="2" s="1"/>
  <c r="U53" i="2" s="1"/>
  <c r="U54" i="2" s="1"/>
  <c r="U55" i="2" s="1"/>
  <c r="U56" i="2" s="1"/>
  <c r="X50" i="2"/>
  <c r="X51" i="2" s="1"/>
  <c r="X52" i="2" s="1"/>
  <c r="X53" i="2" s="1"/>
  <c r="X54" i="2" s="1"/>
  <c r="X55" i="2" s="1"/>
  <c r="X56" i="2" s="1"/>
  <c r="X57" i="2" s="1"/>
  <c r="O50" i="2"/>
  <c r="O51" i="2" s="1"/>
  <c r="O52" i="2" s="1"/>
  <c r="O53" i="2" s="1"/>
  <c r="O54" i="2" s="1"/>
  <c r="O55" i="2" s="1"/>
  <c r="O56" i="2" s="1"/>
  <c r="O57" i="2" s="1"/>
  <c r="O58" i="2" s="1"/>
  <c r="O59" i="2" s="1"/>
  <c r="O60" i="2" s="1"/>
  <c r="O61" i="2" s="1"/>
  <c r="J50" i="2"/>
  <c r="J51" i="2" s="1"/>
  <c r="J52" i="2" s="1"/>
  <c r="J53" i="2" s="1"/>
  <c r="J54" i="2" s="1"/>
  <c r="J55" i="2" s="1"/>
  <c r="J56" i="2" s="1"/>
  <c r="J57" i="2" s="1"/>
  <c r="J58" i="2" s="1"/>
  <c r="L53" i="2"/>
  <c r="E50" i="2"/>
  <c r="E51" i="2" s="1"/>
  <c r="E52" i="2" s="1"/>
  <c r="E53" i="2" s="1"/>
  <c r="E54" i="2" s="1"/>
  <c r="E55" i="2" s="1"/>
  <c r="E56" i="2" s="1"/>
  <c r="E57" i="2" s="1"/>
  <c r="E58" i="2" s="1"/>
  <c r="E59" i="2" s="1"/>
  <c r="C50" i="2"/>
  <c r="C51" i="2" s="1"/>
  <c r="C52" i="2" s="1"/>
  <c r="C53" i="2" s="1"/>
  <c r="C54" i="2" s="1"/>
  <c r="C55" i="2" s="1"/>
  <c r="C56" i="2" s="1"/>
  <c r="C57" i="2" s="1"/>
  <c r="C58" i="2" s="1"/>
  <c r="C59" i="2" s="1"/>
  <c r="C60" i="2" s="1"/>
  <c r="B50" i="2"/>
  <c r="B51" i="2" s="1"/>
  <c r="B52" i="2" s="1"/>
  <c r="B53" i="2" s="1"/>
  <c r="B54" i="2" s="1"/>
  <c r="B55" i="2" s="1"/>
  <c r="B56" i="2" s="1"/>
  <c r="B57" i="2" s="1"/>
  <c r="B58" i="2" s="1"/>
  <c r="B59" i="2" s="1"/>
  <c r="B60" i="2" s="1"/>
  <c r="F50" i="2"/>
  <c r="F51" i="2" s="1"/>
  <c r="F52" i="2" s="1"/>
  <c r="F53" i="2" s="1"/>
  <c r="F54" i="2" s="1"/>
  <c r="F55" i="2" s="1"/>
  <c r="F56" i="2" s="1"/>
  <c r="F57" i="2" s="1"/>
  <c r="F58" i="2" s="1"/>
  <c r="F59" i="2" s="1"/>
  <c r="G50" i="2"/>
  <c r="G51" i="2" s="1"/>
  <c r="G52" i="2" s="1"/>
  <c r="G53" i="2" s="1"/>
  <c r="G54" i="2" s="1"/>
  <c r="D50" i="2"/>
  <c r="D51" i="2" s="1"/>
  <c r="D52" i="2" s="1"/>
  <c r="D53" i="2" s="1"/>
  <c r="D54" i="2" s="1"/>
  <c r="W50" i="2"/>
  <c r="BG50" i="2"/>
  <c r="BG51" i="2" s="1"/>
  <c r="BG52" i="2" s="1"/>
  <c r="BG53" i="2" s="1"/>
  <c r="BG54" i="2" s="1"/>
  <c r="BG55" i="2" s="1"/>
  <c r="BG56" i="2" s="1"/>
  <c r="BG57" i="2" s="1"/>
  <c r="BG58" i="2" s="1"/>
  <c r="BG59" i="2" s="1"/>
  <c r="BG60" i="2" s="1"/>
  <c r="BG61" i="2" s="1"/>
  <c r="BG62" i="2" s="1"/>
  <c r="BG63" i="2" s="1"/>
  <c r="BG64" i="2" s="1"/>
  <c r="BG65" i="2" s="1"/>
  <c r="BG66" i="2" s="1"/>
  <c r="BG67" i="2" s="1"/>
  <c r="BG68" i="2" s="1"/>
  <c r="BG69" i="2" s="1"/>
  <c r="BG70" i="2" s="1"/>
  <c r="BG71" i="2" s="1"/>
  <c r="BG72" i="2" s="1"/>
  <c r="BG73" i="2" s="1"/>
  <c r="BG74" i="2" s="1"/>
  <c r="BG75" i="2" s="1"/>
  <c r="BG76" i="2" s="1"/>
  <c r="BG77" i="2" s="1"/>
  <c r="BG78" i="2" s="1"/>
  <c r="BG79" i="2" s="1"/>
  <c r="BG80" i="2" s="1"/>
  <c r="BG81" i="2" s="1"/>
  <c r="BG82" i="2" s="1"/>
  <c r="BG83" i="2" s="1"/>
  <c r="BG84" i="2" s="1"/>
  <c r="BG85" i="2" s="1"/>
  <c r="BG86" i="2" s="1"/>
  <c r="BG87" i="2" s="1"/>
  <c r="BG88" i="2" s="1"/>
  <c r="C5" i="8"/>
  <c r="R284" i="9" l="1"/>
  <c r="Q284" i="9" s="1"/>
  <c r="R285" i="9"/>
  <c r="R283" i="9"/>
  <c r="T283" i="9" s="1"/>
  <c r="J14" i="22"/>
  <c r="R282" i="9"/>
  <c r="T282" i="9" s="1"/>
  <c r="S285" i="9"/>
  <c r="T285" i="9"/>
  <c r="V285" i="9" s="1"/>
  <c r="Q285" i="9"/>
  <c r="S283" i="9"/>
  <c r="Q283" i="9"/>
  <c r="T286" i="9"/>
  <c r="Q286" i="9"/>
  <c r="S286" i="9"/>
  <c r="T284" i="9"/>
  <c r="V284" i="9" s="1"/>
  <c r="S284" i="9"/>
  <c r="U284" i="9" s="1"/>
  <c r="Q282" i="9"/>
  <c r="N276" i="9"/>
  <c r="N277" i="9" s="1"/>
  <c r="E308" i="9"/>
  <c r="G312" i="9" s="1"/>
  <c r="E300" i="9"/>
  <c r="C302" i="9" s="1"/>
  <c r="C303" i="9" s="1"/>
  <c r="C304" i="9" s="1"/>
  <c r="C305" i="9" s="1"/>
  <c r="J29" i="29"/>
  <c r="B12" i="22"/>
  <c r="B10" i="22"/>
  <c r="B9" i="22"/>
  <c r="M28" i="12"/>
  <c r="B11" i="22"/>
  <c r="C310" i="9"/>
  <c r="C311" i="9" s="1"/>
  <c r="C312" i="9" s="1"/>
  <c r="C313" i="9" s="1"/>
  <c r="G310" i="9"/>
  <c r="AM5" i="2"/>
  <c r="P300" i="9"/>
  <c r="N219" i="9"/>
  <c r="N220" i="9" s="1"/>
  <c r="N221" i="9" s="1"/>
  <c r="N222" i="9" s="1"/>
  <c r="N223" i="9" s="1"/>
  <c r="AL5" i="2"/>
  <c r="W9" i="12"/>
  <c r="AK5" i="2"/>
  <c r="K25" i="12"/>
  <c r="O21" i="12"/>
  <c r="O25" i="12"/>
  <c r="M21" i="12"/>
  <c r="M25" i="12"/>
  <c r="K21" i="12"/>
  <c r="K18" i="12"/>
  <c r="U9" i="12"/>
  <c r="AJ5" i="2"/>
  <c r="AJ72" i="2" s="1"/>
  <c r="M24" i="12"/>
  <c r="O24" i="12"/>
  <c r="AN5" i="2"/>
  <c r="K24" i="12"/>
  <c r="O22" i="12"/>
  <c r="O26" i="12"/>
  <c r="K22" i="12"/>
  <c r="K26" i="12"/>
  <c r="O19" i="12"/>
  <c r="O23" i="12"/>
  <c r="O27" i="12"/>
  <c r="M19" i="12"/>
  <c r="K19" i="12"/>
  <c r="K23" i="12"/>
  <c r="K27" i="12"/>
  <c r="O20" i="12"/>
  <c r="O28" i="12"/>
  <c r="M22" i="12"/>
  <c r="M26" i="12"/>
  <c r="K20" i="12"/>
  <c r="K28" i="12"/>
  <c r="B27" i="29"/>
  <c r="B23" i="29"/>
  <c r="J23" i="29"/>
  <c r="J24" i="29"/>
  <c r="B24" i="29"/>
  <c r="J27" i="29"/>
  <c r="AA57" i="12"/>
  <c r="B28" i="29"/>
  <c r="U57" i="12"/>
  <c r="B25" i="29"/>
  <c r="U12" i="12"/>
  <c r="J26" i="29"/>
  <c r="S11" i="12"/>
  <c r="J25" i="29"/>
  <c r="B5" i="22"/>
  <c r="AK49" i="2"/>
  <c r="B6" i="22"/>
  <c r="B7" i="22"/>
  <c r="B8" i="22"/>
  <c r="J29" i="22"/>
  <c r="J28" i="22"/>
  <c r="E230" i="9"/>
  <c r="C232" i="9" s="1"/>
  <c r="C233" i="9" s="1"/>
  <c r="C234" i="9" s="1"/>
  <c r="C235" i="9" s="1"/>
  <c r="C236" i="9" s="1"/>
  <c r="P210" i="9"/>
  <c r="AI5" i="2"/>
  <c r="AI58" i="2" s="1"/>
  <c r="S49" i="12"/>
  <c r="J26" i="22"/>
  <c r="AR50" i="2"/>
  <c r="AR51" i="2" s="1"/>
  <c r="AR52" i="2" s="1"/>
  <c r="AR53" i="2" s="1"/>
  <c r="AR54" i="2" s="1"/>
  <c r="AR55" i="2" s="1"/>
  <c r="O13" i="12"/>
  <c r="U7" i="12"/>
  <c r="W13" i="12"/>
  <c r="Q10" i="12"/>
  <c r="U10" i="12"/>
  <c r="U11" i="12"/>
  <c r="S7" i="12"/>
  <c r="S8" i="12"/>
  <c r="Q6" i="12"/>
  <c r="S12" i="12"/>
  <c r="S9" i="12"/>
  <c r="O9" i="12"/>
  <c r="W6" i="12"/>
  <c r="W10" i="12"/>
  <c r="P320" i="9"/>
  <c r="N322" i="9" s="1"/>
  <c r="N323" i="9" s="1"/>
  <c r="N324" i="9" s="1"/>
  <c r="N325" i="9" s="1"/>
  <c r="N326" i="9" s="1"/>
  <c r="AY5" i="2"/>
  <c r="AY49" i="2" s="1"/>
  <c r="AY50" i="2" s="1"/>
  <c r="AY51" i="2" s="1"/>
  <c r="AY52" i="2" s="1"/>
  <c r="AY53" i="2" s="1"/>
  <c r="AY54" i="2" s="1"/>
  <c r="AY55" i="2" s="1"/>
  <c r="AZ5" i="2"/>
  <c r="AZ49" i="2" s="1"/>
  <c r="AZ50" i="2" s="1"/>
  <c r="AZ51" i="2" s="1"/>
  <c r="AZ52" i="2" s="1"/>
  <c r="AZ53" i="2" s="1"/>
  <c r="AZ54" i="2" s="1"/>
  <c r="Y51" i="12"/>
  <c r="BB5" i="2"/>
  <c r="BB56" i="2" s="1"/>
  <c r="E330" i="9"/>
  <c r="C332" i="9" s="1"/>
  <c r="C333" i="9" s="1"/>
  <c r="C334" i="9" s="1"/>
  <c r="C335" i="9" s="1"/>
  <c r="C336" i="9" s="1"/>
  <c r="E320" i="9"/>
  <c r="C322" i="9" s="1"/>
  <c r="C323" i="9" s="1"/>
  <c r="C324" i="9" s="1"/>
  <c r="C325" i="9" s="1"/>
  <c r="C326" i="9" s="1"/>
  <c r="C327" i="9" s="1"/>
  <c r="AT50" i="2"/>
  <c r="AT51" i="2" s="1"/>
  <c r="AT52" i="2" s="1"/>
  <c r="AT53" i="2" s="1"/>
  <c r="AT54" i="2" s="1"/>
  <c r="AT55" i="2" s="1"/>
  <c r="U53" i="12"/>
  <c r="AA49" i="12"/>
  <c r="AU49" i="2"/>
  <c r="AU50" i="2" s="1"/>
  <c r="AU51" i="2" s="1"/>
  <c r="AU52" i="2" s="1"/>
  <c r="AU53" i="2" s="1"/>
  <c r="AU54" i="2" s="1"/>
  <c r="AU55" i="2" s="1"/>
  <c r="AW57" i="2"/>
  <c r="AW61" i="2"/>
  <c r="AW65" i="2"/>
  <c r="AW69" i="2"/>
  <c r="AW73" i="2"/>
  <c r="AW77" i="2"/>
  <c r="AW81" i="2"/>
  <c r="AW85" i="2"/>
  <c r="AW64" i="2"/>
  <c r="AW58" i="2"/>
  <c r="AW62" i="2"/>
  <c r="AW66" i="2"/>
  <c r="AW70" i="2"/>
  <c r="AW74" i="2"/>
  <c r="AW78" i="2"/>
  <c r="AW82" i="2"/>
  <c r="AW86" i="2"/>
  <c r="AW56" i="2"/>
  <c r="AW68" i="2"/>
  <c r="AW59" i="2"/>
  <c r="AW63" i="2"/>
  <c r="AW67" i="2"/>
  <c r="AW71" i="2"/>
  <c r="AW75" i="2"/>
  <c r="AW79" i="2"/>
  <c r="AW83" i="2"/>
  <c r="AW87" i="2"/>
  <c r="AW60" i="2"/>
  <c r="AW72" i="2"/>
  <c r="AW88" i="2"/>
  <c r="AW76" i="2"/>
  <c r="AW80" i="2"/>
  <c r="AW84" i="2"/>
  <c r="AT58" i="2"/>
  <c r="AT62" i="2"/>
  <c r="AT66" i="2"/>
  <c r="AT70" i="2"/>
  <c r="AT74" i="2"/>
  <c r="AT78" i="2"/>
  <c r="AT82" i="2"/>
  <c r="AT86" i="2"/>
  <c r="AT59" i="2"/>
  <c r="AT63" i="2"/>
  <c r="AT67" i="2"/>
  <c r="AT71" i="2"/>
  <c r="AT75" i="2"/>
  <c r="AT79" i="2"/>
  <c r="AT83" i="2"/>
  <c r="AT87" i="2"/>
  <c r="AT56" i="2"/>
  <c r="AT60" i="2"/>
  <c r="AT64" i="2"/>
  <c r="AT68" i="2"/>
  <c r="AT72" i="2"/>
  <c r="AT76" i="2"/>
  <c r="AT80" i="2"/>
  <c r="AT84" i="2"/>
  <c r="AT88" i="2"/>
  <c r="AT69" i="2"/>
  <c r="AT85" i="2"/>
  <c r="AT57" i="2"/>
  <c r="AT81" i="2"/>
  <c r="AT73" i="2"/>
  <c r="AT65" i="2"/>
  <c r="AT61" i="2"/>
  <c r="AT77" i="2"/>
  <c r="AV56" i="2"/>
  <c r="AV60" i="2"/>
  <c r="AV64" i="2"/>
  <c r="AV68" i="2"/>
  <c r="AV72" i="2"/>
  <c r="AV76" i="2"/>
  <c r="AV80" i="2"/>
  <c r="AV84" i="2"/>
  <c r="AV88" i="2"/>
  <c r="AV57" i="2"/>
  <c r="AV61" i="2"/>
  <c r="AV65" i="2"/>
  <c r="AV69" i="2"/>
  <c r="AV73" i="2"/>
  <c r="AV77" i="2"/>
  <c r="AV81" i="2"/>
  <c r="AV85" i="2"/>
  <c r="AV58" i="2"/>
  <c r="AV62" i="2"/>
  <c r="AV66" i="2"/>
  <c r="AV70" i="2"/>
  <c r="AV74" i="2"/>
  <c r="AV78" i="2"/>
  <c r="AV82" i="2"/>
  <c r="AV86" i="2"/>
  <c r="AV71" i="2"/>
  <c r="AV87" i="2"/>
  <c r="AV67" i="2"/>
  <c r="AV59" i="2"/>
  <c r="AV75" i="2"/>
  <c r="AV83" i="2"/>
  <c r="AV63" i="2"/>
  <c r="AV79" i="2"/>
  <c r="AQ56" i="2"/>
  <c r="AQ60" i="2"/>
  <c r="AQ64" i="2"/>
  <c r="AQ68" i="2"/>
  <c r="AQ72" i="2"/>
  <c r="AQ76" i="2"/>
  <c r="AQ80" i="2"/>
  <c r="AQ84" i="2"/>
  <c r="AQ88" i="2"/>
  <c r="AQ57" i="2"/>
  <c r="AQ61" i="2"/>
  <c r="AQ65" i="2"/>
  <c r="AQ69" i="2"/>
  <c r="AQ73" i="2"/>
  <c r="AQ77" i="2"/>
  <c r="AQ81" i="2"/>
  <c r="AQ85" i="2"/>
  <c r="AQ58" i="2"/>
  <c r="AQ62" i="2"/>
  <c r="AQ66" i="2"/>
  <c r="AQ70" i="2"/>
  <c r="AQ74" i="2"/>
  <c r="AQ78" i="2"/>
  <c r="AQ82" i="2"/>
  <c r="AQ86" i="2"/>
  <c r="AQ67" i="2"/>
  <c r="AQ83" i="2"/>
  <c r="AQ87" i="2"/>
  <c r="AQ79" i="2"/>
  <c r="AQ71" i="2"/>
  <c r="AQ59" i="2"/>
  <c r="AQ75" i="2"/>
  <c r="AQ63" i="2"/>
  <c r="AW49" i="2"/>
  <c r="AW50" i="2" s="1"/>
  <c r="AW51" i="2" s="1"/>
  <c r="AW52" i="2" s="1"/>
  <c r="AW53" i="2" s="1"/>
  <c r="AW54" i="2" s="1"/>
  <c r="AW55" i="2" s="1"/>
  <c r="AP59" i="2"/>
  <c r="AP63" i="2"/>
  <c r="AP67" i="2"/>
  <c r="AP71" i="2"/>
  <c r="AP75" i="2"/>
  <c r="AP79" i="2"/>
  <c r="AP83" i="2"/>
  <c r="AP87" i="2"/>
  <c r="AP64" i="2"/>
  <c r="AP72" i="2"/>
  <c r="AP76" i="2"/>
  <c r="AP84" i="2"/>
  <c r="AP56" i="2"/>
  <c r="AP60" i="2"/>
  <c r="AP68" i="2"/>
  <c r="AP80" i="2"/>
  <c r="AP88" i="2"/>
  <c r="AP57" i="2"/>
  <c r="AP61" i="2"/>
  <c r="AP65" i="2"/>
  <c r="AP69" i="2"/>
  <c r="AP73" i="2"/>
  <c r="AP77" i="2"/>
  <c r="AP81" i="2"/>
  <c r="AP85" i="2"/>
  <c r="AP66" i="2"/>
  <c r="AP82" i="2"/>
  <c r="AP70" i="2"/>
  <c r="AP86" i="2"/>
  <c r="AP78" i="2"/>
  <c r="AP58" i="2"/>
  <c r="AP74" i="2"/>
  <c r="AP62" i="2"/>
  <c r="AQ49" i="2"/>
  <c r="AQ50" i="2" s="1"/>
  <c r="AQ51" i="2" s="1"/>
  <c r="AQ52" i="2" s="1"/>
  <c r="AQ53" i="2" s="1"/>
  <c r="AQ54" i="2" s="1"/>
  <c r="AQ55" i="2" s="1"/>
  <c r="AU59" i="2"/>
  <c r="AU63" i="2"/>
  <c r="AU67" i="2"/>
  <c r="AU71" i="2"/>
  <c r="AU75" i="2"/>
  <c r="AU79" i="2"/>
  <c r="AU83" i="2"/>
  <c r="AU87" i="2"/>
  <c r="AU56" i="2"/>
  <c r="AU60" i="2"/>
  <c r="AU64" i="2"/>
  <c r="AU68" i="2"/>
  <c r="AU72" i="2"/>
  <c r="AU76" i="2"/>
  <c r="AU80" i="2"/>
  <c r="AU84" i="2"/>
  <c r="AU88" i="2"/>
  <c r="AU57" i="2"/>
  <c r="AU61" i="2"/>
  <c r="AU65" i="2"/>
  <c r="AU69" i="2"/>
  <c r="AU73" i="2"/>
  <c r="AU77" i="2"/>
  <c r="AU81" i="2"/>
  <c r="AU85" i="2"/>
  <c r="AU70" i="2"/>
  <c r="AU86" i="2"/>
  <c r="AU66" i="2"/>
  <c r="AU58" i="2"/>
  <c r="AU74" i="2"/>
  <c r="AU62" i="2"/>
  <c r="AU78" i="2"/>
  <c r="AU82" i="2"/>
  <c r="AV49" i="2"/>
  <c r="AV50" i="2" s="1"/>
  <c r="AV51" i="2" s="1"/>
  <c r="AV52" i="2" s="1"/>
  <c r="AV53" i="2" s="1"/>
  <c r="AV54" i="2" s="1"/>
  <c r="AV55" i="2" s="1"/>
  <c r="AO59" i="2"/>
  <c r="AO63" i="2"/>
  <c r="AO67" i="2"/>
  <c r="AO71" i="2"/>
  <c r="AO75" i="2"/>
  <c r="AO79" i="2"/>
  <c r="AO83" i="2"/>
  <c r="AO87" i="2"/>
  <c r="AO58" i="2"/>
  <c r="AO66" i="2"/>
  <c r="AO78" i="2"/>
  <c r="AO56" i="2"/>
  <c r="AO60" i="2"/>
  <c r="AO64" i="2"/>
  <c r="AO68" i="2"/>
  <c r="AO72" i="2"/>
  <c r="AO76" i="2"/>
  <c r="AO80" i="2"/>
  <c r="AO84" i="2"/>
  <c r="AO88" i="2"/>
  <c r="AO74" i="2"/>
  <c r="AO86" i="2"/>
  <c r="AO57" i="2"/>
  <c r="AO61" i="2"/>
  <c r="AO65" i="2"/>
  <c r="AO69" i="2"/>
  <c r="AO73" i="2"/>
  <c r="AO77" i="2"/>
  <c r="AO81" i="2"/>
  <c r="AO85" i="2"/>
  <c r="AO62" i="2"/>
  <c r="AO70" i="2"/>
  <c r="AO82" i="2"/>
  <c r="AX58" i="2"/>
  <c r="AX62" i="2"/>
  <c r="AX66" i="2"/>
  <c r="AX70" i="2"/>
  <c r="AX74" i="2"/>
  <c r="AX78" i="2"/>
  <c r="AX82" i="2"/>
  <c r="AX86" i="2"/>
  <c r="AX57" i="2"/>
  <c r="AX69" i="2"/>
  <c r="AX85" i="2"/>
  <c r="AX59" i="2"/>
  <c r="AX63" i="2"/>
  <c r="AX67" i="2"/>
  <c r="AX71" i="2"/>
  <c r="AX75" i="2"/>
  <c r="AX79" i="2"/>
  <c r="AX83" i="2"/>
  <c r="AX87" i="2"/>
  <c r="AX65" i="2"/>
  <c r="AX77" i="2"/>
  <c r="AX56" i="2"/>
  <c r="AX60" i="2"/>
  <c r="AX64" i="2"/>
  <c r="AX68" i="2"/>
  <c r="AX72" i="2"/>
  <c r="AX76" i="2"/>
  <c r="AX80" i="2"/>
  <c r="AX84" i="2"/>
  <c r="AX88" i="2"/>
  <c r="AX61" i="2"/>
  <c r="AX73" i="2"/>
  <c r="AX81" i="2"/>
  <c r="AX49" i="2"/>
  <c r="AX50" i="2" s="1"/>
  <c r="AX51" i="2" s="1"/>
  <c r="AX52" i="2" s="1"/>
  <c r="AX53" i="2" s="1"/>
  <c r="AX54" i="2" s="1"/>
  <c r="AX55" i="2" s="1"/>
  <c r="AR57" i="2"/>
  <c r="AR61" i="2"/>
  <c r="AR65" i="2"/>
  <c r="AR69" i="2"/>
  <c r="AR73" i="2"/>
  <c r="AR77" i="2"/>
  <c r="AR81" i="2"/>
  <c r="AR85" i="2"/>
  <c r="AR58" i="2"/>
  <c r="AR62" i="2"/>
  <c r="AR66" i="2"/>
  <c r="AR70" i="2"/>
  <c r="AR74" i="2"/>
  <c r="AR78" i="2"/>
  <c r="AR82" i="2"/>
  <c r="AR86" i="2"/>
  <c r="AR59" i="2"/>
  <c r="AR63" i="2"/>
  <c r="AR67" i="2"/>
  <c r="AR71" i="2"/>
  <c r="AR75" i="2"/>
  <c r="AR79" i="2"/>
  <c r="AR83" i="2"/>
  <c r="AR87" i="2"/>
  <c r="AR68" i="2"/>
  <c r="AR84" i="2"/>
  <c r="AR56" i="2"/>
  <c r="AR88" i="2"/>
  <c r="AR72" i="2"/>
  <c r="AR80" i="2"/>
  <c r="AR60" i="2"/>
  <c r="AR76" i="2"/>
  <c r="AR64" i="2"/>
  <c r="AO49" i="2"/>
  <c r="Q49" i="12"/>
  <c r="W51" i="12"/>
  <c r="U55" i="12"/>
  <c r="Y57" i="12"/>
  <c r="Y49" i="12"/>
  <c r="AA51" i="12"/>
  <c r="S58" i="12"/>
  <c r="J25" i="22"/>
  <c r="U56" i="12"/>
  <c r="E339" i="9"/>
  <c r="BA5" i="2"/>
  <c r="U49" i="12"/>
  <c r="W58" i="12"/>
  <c r="J27" i="22"/>
  <c r="Y56" i="12"/>
  <c r="P329" i="9"/>
  <c r="BC5" i="2"/>
  <c r="Q51" i="12"/>
  <c r="W55" i="12"/>
  <c r="Q54" i="12"/>
  <c r="AA52" i="12"/>
  <c r="AA56" i="12"/>
  <c r="P335" i="9"/>
  <c r="BD5" i="2"/>
  <c r="AA53" i="12"/>
  <c r="Q58" i="12"/>
  <c r="J24" i="22"/>
  <c r="Y53" i="12"/>
  <c r="S55" i="12"/>
  <c r="W49" i="12"/>
  <c r="S52" i="12"/>
  <c r="Y58" i="12"/>
  <c r="U329" i="9"/>
  <c r="U335" i="9"/>
  <c r="T12" i="16" s="1"/>
  <c r="AL43" i="12"/>
  <c r="AL41" i="12"/>
  <c r="AL38" i="12"/>
  <c r="X36" i="12"/>
  <c r="X42" i="12"/>
  <c r="X34" i="12"/>
  <c r="X40" i="12"/>
  <c r="X35" i="12"/>
  <c r="X43" i="12"/>
  <c r="X38" i="12"/>
  <c r="X41" i="12"/>
  <c r="X37" i="12"/>
  <c r="E220" i="9"/>
  <c r="AH5" i="2"/>
  <c r="AG5" i="2"/>
  <c r="E210" i="9"/>
  <c r="N54" i="2"/>
  <c r="N55" i="2" s="1"/>
  <c r="W51" i="2"/>
  <c r="W89" i="2" s="1"/>
  <c r="V89" i="2"/>
  <c r="L89" i="2"/>
  <c r="D89" i="2"/>
  <c r="AE89" i="2"/>
  <c r="P89" i="2"/>
  <c r="G89" i="2"/>
  <c r="AD89" i="2"/>
  <c r="S89" i="2"/>
  <c r="O89" i="2"/>
  <c r="J89" i="2"/>
  <c r="F89" i="2"/>
  <c r="B89" i="2"/>
  <c r="BG89" i="2"/>
  <c r="X89" i="2"/>
  <c r="H89" i="2"/>
  <c r="BF89" i="2"/>
  <c r="U89" i="2"/>
  <c r="K89" i="2"/>
  <c r="C89" i="2"/>
  <c r="Y89" i="2"/>
  <c r="I89" i="2"/>
  <c r="E89" i="2"/>
  <c r="D6" i="9"/>
  <c r="I6" i="9" s="1"/>
  <c r="V280" i="9" l="1"/>
  <c r="G304" i="9"/>
  <c r="I304" i="9" s="1"/>
  <c r="S282" i="9"/>
  <c r="G311" i="9"/>
  <c r="F311" i="9" s="1"/>
  <c r="G303" i="9"/>
  <c r="U286" i="9"/>
  <c r="V286" i="9"/>
  <c r="U285" i="9"/>
  <c r="U283" i="9"/>
  <c r="G305" i="9"/>
  <c r="U282" i="9"/>
  <c r="V282" i="9"/>
  <c r="V283" i="9"/>
  <c r="G302" i="9"/>
  <c r="G313" i="9"/>
  <c r="F313" i="9" s="1"/>
  <c r="H310" i="9"/>
  <c r="J310" i="9" s="1"/>
  <c r="F310" i="9"/>
  <c r="I310" i="9"/>
  <c r="K310" i="9" s="1"/>
  <c r="I311" i="9"/>
  <c r="K311" i="9" s="1"/>
  <c r="F312" i="9"/>
  <c r="I312" i="9"/>
  <c r="K312" i="9" s="1"/>
  <c r="H312" i="9"/>
  <c r="J312" i="9" s="1"/>
  <c r="H303" i="9"/>
  <c r="H305" i="9"/>
  <c r="F304" i="9"/>
  <c r="H304" i="9"/>
  <c r="N302" i="9"/>
  <c r="N303" i="9" s="1"/>
  <c r="N304" i="9" s="1"/>
  <c r="N305" i="9" s="1"/>
  <c r="R302" i="9"/>
  <c r="R305" i="9"/>
  <c r="R304" i="9"/>
  <c r="R303" i="9"/>
  <c r="C222" i="9"/>
  <c r="C223" i="9" s="1"/>
  <c r="C224" i="9" s="1"/>
  <c r="C225" i="9" s="1"/>
  <c r="C226" i="9" s="1"/>
  <c r="C227" i="9" s="1"/>
  <c r="N212" i="9"/>
  <c r="N213" i="9" s="1"/>
  <c r="N214" i="9" s="1"/>
  <c r="C212" i="9"/>
  <c r="C213" i="9" s="1"/>
  <c r="C214" i="9" s="1"/>
  <c r="C215" i="9" s="1"/>
  <c r="C216" i="9" s="1"/>
  <c r="C217" i="9" s="1"/>
  <c r="AL78" i="2"/>
  <c r="AL88" i="2"/>
  <c r="AL54" i="2"/>
  <c r="AL56" i="2"/>
  <c r="AL59" i="2"/>
  <c r="AL62" i="2"/>
  <c r="AL61" i="2"/>
  <c r="AL72" i="2"/>
  <c r="AL81" i="2"/>
  <c r="AL71" i="2"/>
  <c r="AL49" i="2"/>
  <c r="AL50" i="2" s="1"/>
  <c r="AL51" i="2" s="1"/>
  <c r="AL52" i="2" s="1"/>
  <c r="AL58" i="2"/>
  <c r="AL70" i="2"/>
  <c r="AL86" i="2"/>
  <c r="AL77" i="2"/>
  <c r="AL64" i="2"/>
  <c r="AL80" i="2"/>
  <c r="AL65" i="2"/>
  <c r="AL75" i="2"/>
  <c r="AL87" i="2"/>
  <c r="AL55" i="2"/>
  <c r="AL66" i="2"/>
  <c r="AL74" i="2"/>
  <c r="AL82" i="2"/>
  <c r="AL53" i="2"/>
  <c r="AL69" i="2"/>
  <c r="AL85" i="2"/>
  <c r="AL60" i="2"/>
  <c r="AL68" i="2"/>
  <c r="AL76" i="2"/>
  <c r="AL84" i="2"/>
  <c r="AL57" i="2"/>
  <c r="AL73" i="2"/>
  <c r="AL83" i="2"/>
  <c r="AL67" i="2"/>
  <c r="AL79" i="2"/>
  <c r="AL63" i="2"/>
  <c r="AO50" i="2"/>
  <c r="AO51" i="2" s="1"/>
  <c r="AO52" i="2" s="1"/>
  <c r="AO53" i="2" s="1"/>
  <c r="AO54" i="2" s="1"/>
  <c r="AO55" i="2" s="1"/>
  <c r="AN53" i="2"/>
  <c r="AN55" i="2"/>
  <c r="AN57" i="2"/>
  <c r="AN59" i="2"/>
  <c r="AN61" i="2"/>
  <c r="AN65" i="2"/>
  <c r="AN67" i="2"/>
  <c r="AN71" i="2"/>
  <c r="AN75" i="2"/>
  <c r="AN79" i="2"/>
  <c r="AN85" i="2"/>
  <c r="AN52" i="2"/>
  <c r="AN54" i="2"/>
  <c r="AN56" i="2"/>
  <c r="AN58" i="2"/>
  <c r="AN60" i="2"/>
  <c r="AN62" i="2"/>
  <c r="AN64" i="2"/>
  <c r="AN66" i="2"/>
  <c r="AN68" i="2"/>
  <c r="AN70" i="2"/>
  <c r="AN72" i="2"/>
  <c r="AN74" i="2"/>
  <c r="AN76" i="2"/>
  <c r="AN78" i="2"/>
  <c r="AN80" i="2"/>
  <c r="AN82" i="2"/>
  <c r="AN84" i="2"/>
  <c r="AN86" i="2"/>
  <c r="AN88" i="2"/>
  <c r="AN51" i="2"/>
  <c r="AN63" i="2"/>
  <c r="AN69" i="2"/>
  <c r="AN73" i="2"/>
  <c r="AN77" i="2"/>
  <c r="AN81" i="2"/>
  <c r="AN83" i="2"/>
  <c r="AN87" i="2"/>
  <c r="AN49" i="2"/>
  <c r="AN50" i="2" s="1"/>
  <c r="AM55" i="2"/>
  <c r="AM59" i="2"/>
  <c r="AM63" i="2"/>
  <c r="AM67" i="2"/>
  <c r="AM73" i="2"/>
  <c r="AM77" i="2"/>
  <c r="AM83" i="2"/>
  <c r="AM87" i="2"/>
  <c r="AM52" i="2"/>
  <c r="AM54" i="2"/>
  <c r="AM56" i="2"/>
  <c r="AM58" i="2"/>
  <c r="AM60" i="2"/>
  <c r="AM62" i="2"/>
  <c r="AM64" i="2"/>
  <c r="AM66" i="2"/>
  <c r="AM68" i="2"/>
  <c r="AM70" i="2"/>
  <c r="AM72" i="2"/>
  <c r="AM74" i="2"/>
  <c r="AM76" i="2"/>
  <c r="AM78" i="2"/>
  <c r="AM80" i="2"/>
  <c r="AM82" i="2"/>
  <c r="AM84" i="2"/>
  <c r="AM86" i="2"/>
  <c r="AM88" i="2"/>
  <c r="AM53" i="2"/>
  <c r="AM57" i="2"/>
  <c r="AM61" i="2"/>
  <c r="AM65" i="2"/>
  <c r="AM69" i="2"/>
  <c r="AM71" i="2"/>
  <c r="AM75" i="2"/>
  <c r="AM79" i="2"/>
  <c r="AM81" i="2"/>
  <c r="AM85" i="2"/>
  <c r="AM49" i="2"/>
  <c r="AM50" i="2" s="1"/>
  <c r="AM51" i="2" s="1"/>
  <c r="C341" i="9"/>
  <c r="C342" i="9" s="1"/>
  <c r="C343" i="9" s="1"/>
  <c r="C344" i="9" s="1"/>
  <c r="AK63" i="2"/>
  <c r="R332" i="9"/>
  <c r="T332" i="9" s="1"/>
  <c r="N331" i="9"/>
  <c r="N332" i="9" s="1"/>
  <c r="R339" i="9"/>
  <c r="T339" i="9" s="1"/>
  <c r="N337" i="9"/>
  <c r="N338" i="9" s="1"/>
  <c r="N339" i="9" s="1"/>
  <c r="AK86" i="2"/>
  <c r="AK57" i="2"/>
  <c r="AK54" i="2"/>
  <c r="AK60" i="2"/>
  <c r="AK70" i="2"/>
  <c r="AK73" i="2"/>
  <c r="AK76" i="2"/>
  <c r="AK79" i="2"/>
  <c r="AK78" i="2"/>
  <c r="AK62" i="2"/>
  <c r="AK81" i="2"/>
  <c r="AK65" i="2"/>
  <c r="AK84" i="2"/>
  <c r="AK68" i="2"/>
  <c r="AK87" i="2"/>
  <c r="AK71" i="2"/>
  <c r="AK55" i="2"/>
  <c r="AK82" i="2"/>
  <c r="AK74" i="2"/>
  <c r="AK66" i="2"/>
  <c r="AK58" i="2"/>
  <c r="AK85" i="2"/>
  <c r="AK77" i="2"/>
  <c r="AK69" i="2"/>
  <c r="AK61" i="2"/>
  <c r="AK88" i="2"/>
  <c r="AK80" i="2"/>
  <c r="AK72" i="2"/>
  <c r="AK64" i="2"/>
  <c r="AK56" i="2"/>
  <c r="AK83" i="2"/>
  <c r="AK75" i="2"/>
  <c r="AK67" i="2"/>
  <c r="AK59" i="2"/>
  <c r="AK50" i="2"/>
  <c r="AK51" i="2" s="1"/>
  <c r="AK52" i="2" s="1"/>
  <c r="AK53" i="2" s="1"/>
  <c r="AZ55" i="2"/>
  <c r="AI81" i="2"/>
  <c r="AI61" i="2"/>
  <c r="AI72" i="2"/>
  <c r="AI87" i="2"/>
  <c r="AI67" i="2"/>
  <c r="AI78" i="2"/>
  <c r="AI77" i="2"/>
  <c r="AI88" i="2"/>
  <c r="AI68" i="2"/>
  <c r="AI83" i="2"/>
  <c r="AI59" i="2"/>
  <c r="AI74" i="2"/>
  <c r="AI49" i="2"/>
  <c r="AI50" i="2" s="1"/>
  <c r="AI51" i="2" s="1"/>
  <c r="AI52" i="2" s="1"/>
  <c r="AI53" i="2" s="1"/>
  <c r="AI54" i="2" s="1"/>
  <c r="AI85" i="2"/>
  <c r="AI65" i="2"/>
  <c r="AI80" i="2"/>
  <c r="AI56" i="2"/>
  <c r="AI71" i="2"/>
  <c r="AI86" i="2"/>
  <c r="AI62" i="2"/>
  <c r="AI69" i="2"/>
  <c r="AI84" i="2"/>
  <c r="AI64" i="2"/>
  <c r="AI75" i="2"/>
  <c r="AI55" i="2"/>
  <c r="AI70" i="2"/>
  <c r="AJ79" i="2"/>
  <c r="AJ85" i="2"/>
  <c r="AJ63" i="2"/>
  <c r="AJ69" i="2"/>
  <c r="AJ56" i="2"/>
  <c r="AJ82" i="2"/>
  <c r="AJ88" i="2"/>
  <c r="AJ66" i="2"/>
  <c r="AI73" i="2"/>
  <c r="AI57" i="2"/>
  <c r="AI76" i="2"/>
  <c r="AI60" i="2"/>
  <c r="AI79" i="2"/>
  <c r="AI63" i="2"/>
  <c r="AI82" i="2"/>
  <c r="AI66" i="2"/>
  <c r="AJ49" i="2"/>
  <c r="AJ50" i="2" s="1"/>
  <c r="AJ51" i="2" s="1"/>
  <c r="AJ75" i="2"/>
  <c r="AJ59" i="2"/>
  <c r="AJ78" i="2"/>
  <c r="AJ62" i="2"/>
  <c r="AJ81" i="2"/>
  <c r="AJ65" i="2"/>
  <c r="AJ84" i="2"/>
  <c r="AJ68" i="2"/>
  <c r="AJ87" i="2"/>
  <c r="AJ71" i="2"/>
  <c r="AJ55" i="2"/>
  <c r="AJ74" i="2"/>
  <c r="AJ58" i="2"/>
  <c r="AJ77" i="2"/>
  <c r="AJ61" i="2"/>
  <c r="AJ80" i="2"/>
  <c r="AJ64" i="2"/>
  <c r="AJ83" i="2"/>
  <c r="AJ67" i="2"/>
  <c r="AJ86" i="2"/>
  <c r="AJ70" i="2"/>
  <c r="AJ54" i="2"/>
  <c r="AJ73" i="2"/>
  <c r="AJ57" i="2"/>
  <c r="AJ76" i="2"/>
  <c r="AJ60" i="2"/>
  <c r="AZ81" i="2"/>
  <c r="AZ84" i="2"/>
  <c r="AZ58" i="2"/>
  <c r="AZ87" i="2"/>
  <c r="AZ69" i="2"/>
  <c r="AZ72" i="2"/>
  <c r="AZ75" i="2"/>
  <c r="AZ78" i="2"/>
  <c r="AZ65" i="2"/>
  <c r="AZ68" i="2"/>
  <c r="AZ71" i="2"/>
  <c r="AZ74" i="2"/>
  <c r="AZ85" i="2"/>
  <c r="AZ88" i="2"/>
  <c r="AZ56" i="2"/>
  <c r="AZ59" i="2"/>
  <c r="AZ62" i="2"/>
  <c r="AY76" i="2"/>
  <c r="AY78" i="2"/>
  <c r="AY85" i="2"/>
  <c r="AY69" i="2"/>
  <c r="AY88" i="2"/>
  <c r="AY72" i="2"/>
  <c r="AY56" i="2"/>
  <c r="AY75" i="2"/>
  <c r="AY59" i="2"/>
  <c r="AY74" i="2"/>
  <c r="AY58" i="2"/>
  <c r="AY73" i="2"/>
  <c r="AY60" i="2"/>
  <c r="AY63" i="2"/>
  <c r="AY81" i="2"/>
  <c r="AY65" i="2"/>
  <c r="AY84" i="2"/>
  <c r="AY68" i="2"/>
  <c r="AY87" i="2"/>
  <c r="AY71" i="2"/>
  <c r="AY86" i="2"/>
  <c r="AY70" i="2"/>
  <c r="AY57" i="2"/>
  <c r="AY79" i="2"/>
  <c r="AY62" i="2"/>
  <c r="AY77" i="2"/>
  <c r="AY61" i="2"/>
  <c r="AY80" i="2"/>
  <c r="AY64" i="2"/>
  <c r="AY83" i="2"/>
  <c r="AY67" i="2"/>
  <c r="AY82" i="2"/>
  <c r="AY66" i="2"/>
  <c r="AZ77" i="2"/>
  <c r="AZ61" i="2"/>
  <c r="AZ80" i="2"/>
  <c r="AZ64" i="2"/>
  <c r="AZ83" i="2"/>
  <c r="AZ67" i="2"/>
  <c r="AZ86" i="2"/>
  <c r="AZ70" i="2"/>
  <c r="AZ73" i="2"/>
  <c r="AZ57" i="2"/>
  <c r="AZ76" i="2"/>
  <c r="AZ60" i="2"/>
  <c r="AZ79" i="2"/>
  <c r="AZ63" i="2"/>
  <c r="AZ82" i="2"/>
  <c r="AZ66" i="2"/>
  <c r="BB77" i="2"/>
  <c r="R338" i="9"/>
  <c r="BB49" i="2"/>
  <c r="BB50" i="2" s="1"/>
  <c r="BB51" i="2" s="1"/>
  <c r="BB52" i="2" s="1"/>
  <c r="BB53" i="2" s="1"/>
  <c r="BB54" i="2" s="1"/>
  <c r="BB68" i="2"/>
  <c r="BB55" i="2"/>
  <c r="BB82" i="2"/>
  <c r="BB73" i="2"/>
  <c r="BB64" i="2"/>
  <c r="BB75" i="2"/>
  <c r="BB66" i="2"/>
  <c r="BB57" i="2"/>
  <c r="BB71" i="2"/>
  <c r="BB62" i="2"/>
  <c r="BB84" i="2"/>
  <c r="BB87" i="2"/>
  <c r="BB63" i="2"/>
  <c r="BB78" i="2"/>
  <c r="BB58" i="2"/>
  <c r="BB65" i="2"/>
  <c r="BB80" i="2"/>
  <c r="BB60" i="2"/>
  <c r="BB79" i="2"/>
  <c r="BB59" i="2"/>
  <c r="BB74" i="2"/>
  <c r="BB81" i="2"/>
  <c r="BB61" i="2"/>
  <c r="BB76" i="2"/>
  <c r="BB83" i="2"/>
  <c r="BB67" i="2"/>
  <c r="BB86" i="2"/>
  <c r="BB70" i="2"/>
  <c r="BB85" i="2"/>
  <c r="BB69" i="2"/>
  <c r="BB88" i="2"/>
  <c r="BB72" i="2"/>
  <c r="AP89" i="2"/>
  <c r="AR89" i="2"/>
  <c r="AX89" i="2"/>
  <c r="AU89" i="2"/>
  <c r="AV89" i="2"/>
  <c r="AT89" i="2"/>
  <c r="AW89" i="2"/>
  <c r="AQ89" i="2"/>
  <c r="BA87" i="2"/>
  <c r="BA58" i="2"/>
  <c r="BA66" i="2"/>
  <c r="BA74" i="2"/>
  <c r="BA82" i="2"/>
  <c r="BA55" i="2"/>
  <c r="BA63" i="2"/>
  <c r="BA71" i="2"/>
  <c r="BA79" i="2"/>
  <c r="BA81" i="2"/>
  <c r="BA64" i="2"/>
  <c r="BA61" i="2"/>
  <c r="BA85" i="2"/>
  <c r="BA60" i="2"/>
  <c r="BA68" i="2"/>
  <c r="BA76" i="2"/>
  <c r="BA84" i="2"/>
  <c r="BA57" i="2"/>
  <c r="BA65" i="2"/>
  <c r="BA73" i="2"/>
  <c r="BA80" i="2"/>
  <c r="BA69" i="2"/>
  <c r="BA62" i="2"/>
  <c r="BA70" i="2"/>
  <c r="BA78" i="2"/>
  <c r="BA86" i="2"/>
  <c r="BA59" i="2"/>
  <c r="BA67" i="2"/>
  <c r="BA75" i="2"/>
  <c r="BA83" i="2"/>
  <c r="BA56" i="2"/>
  <c r="BA72" i="2"/>
  <c r="BA88" i="2"/>
  <c r="BA77" i="2"/>
  <c r="BA49" i="2"/>
  <c r="BA50" i="2" s="1"/>
  <c r="BA51" i="2" s="1"/>
  <c r="BA52" i="2" s="1"/>
  <c r="BA53" i="2" s="1"/>
  <c r="BA54" i="2" s="1"/>
  <c r="BD87" i="2"/>
  <c r="BD62" i="2"/>
  <c r="BD70" i="2"/>
  <c r="BD78" i="2"/>
  <c r="BD86" i="2"/>
  <c r="BD59" i="2"/>
  <c r="BD67" i="2"/>
  <c r="BD75" i="2"/>
  <c r="BD83" i="2"/>
  <c r="BD68" i="2"/>
  <c r="BD57" i="2"/>
  <c r="BD81" i="2"/>
  <c r="BD56" i="2"/>
  <c r="BD64" i="2"/>
  <c r="BD72" i="2"/>
  <c r="BD80" i="2"/>
  <c r="BD88" i="2"/>
  <c r="BD61" i="2"/>
  <c r="BD69" i="2"/>
  <c r="BD77" i="2"/>
  <c r="BD85" i="2"/>
  <c r="BD76" i="2"/>
  <c r="BD73" i="2"/>
  <c r="BD58" i="2"/>
  <c r="BD66" i="2"/>
  <c r="BD74" i="2"/>
  <c r="BD82" i="2"/>
  <c r="BD55" i="2"/>
  <c r="BD63" i="2"/>
  <c r="BD71" i="2"/>
  <c r="BD79" i="2"/>
  <c r="BD60" i="2"/>
  <c r="BD84" i="2"/>
  <c r="BD65" i="2"/>
  <c r="BD49" i="2"/>
  <c r="BD50" i="2" s="1"/>
  <c r="BD51" i="2" s="1"/>
  <c r="BD52" i="2" s="1"/>
  <c r="BD53" i="2" s="1"/>
  <c r="BD54" i="2" s="1"/>
  <c r="BC61" i="2"/>
  <c r="BC77" i="2"/>
  <c r="BC62" i="2"/>
  <c r="BC78" i="2"/>
  <c r="BC59" i="2"/>
  <c r="BC75" i="2"/>
  <c r="BC56" i="2"/>
  <c r="BC72" i="2"/>
  <c r="BC88" i="2"/>
  <c r="BC80" i="2"/>
  <c r="BC73" i="2"/>
  <c r="BC55" i="2"/>
  <c r="BC68" i="2"/>
  <c r="BC65" i="2"/>
  <c r="BC81" i="2"/>
  <c r="BC66" i="2"/>
  <c r="BC82" i="2"/>
  <c r="BC63" i="2"/>
  <c r="BC79" i="2"/>
  <c r="BC60" i="2"/>
  <c r="BC76" i="2"/>
  <c r="BC86" i="2"/>
  <c r="BC57" i="2"/>
  <c r="BC58" i="2"/>
  <c r="BC71" i="2"/>
  <c r="BC84" i="2"/>
  <c r="BC49" i="2"/>
  <c r="BC69" i="2"/>
  <c r="BC85" i="2"/>
  <c r="BC70" i="2"/>
  <c r="BC51" i="2"/>
  <c r="BC52" i="2" s="1"/>
  <c r="BC53" i="2" s="1"/>
  <c r="BC54" i="2" s="1"/>
  <c r="BC67" i="2"/>
  <c r="BC83" i="2"/>
  <c r="BC64" i="2"/>
  <c r="BC74" i="2"/>
  <c r="BC87" i="2"/>
  <c r="T11" i="16"/>
  <c r="AL42" i="12"/>
  <c r="AL39" i="12"/>
  <c r="AL40" i="12"/>
  <c r="AJ52" i="2"/>
  <c r="AG60" i="2"/>
  <c r="AG64" i="2"/>
  <c r="AG68" i="2"/>
  <c r="AG72" i="2"/>
  <c r="AG76" i="2"/>
  <c r="AG80" i="2"/>
  <c r="AG84" i="2"/>
  <c r="AG88" i="2"/>
  <c r="AG59" i="2"/>
  <c r="AG71" i="2"/>
  <c r="AG79" i="2"/>
  <c r="AG61" i="2"/>
  <c r="AG65" i="2"/>
  <c r="AG69" i="2"/>
  <c r="AG73" i="2"/>
  <c r="AG77" i="2"/>
  <c r="AG81" i="2"/>
  <c r="AG85" i="2"/>
  <c r="AG63" i="2"/>
  <c r="AG83" i="2"/>
  <c r="AG58" i="2"/>
  <c r="AG62" i="2"/>
  <c r="AG66" i="2"/>
  <c r="AG70" i="2"/>
  <c r="AG74" i="2"/>
  <c r="AG78" i="2"/>
  <c r="AG82" i="2"/>
  <c r="AG86" i="2"/>
  <c r="AG67" i="2"/>
  <c r="AG75" i="2"/>
  <c r="AG87" i="2"/>
  <c r="AG49" i="2"/>
  <c r="AG50" i="2" s="1"/>
  <c r="AG51" i="2" s="1"/>
  <c r="AG52" i="2" s="1"/>
  <c r="AG53" i="2" s="1"/>
  <c r="AG54" i="2" s="1"/>
  <c r="AG55" i="2" s="1"/>
  <c r="AG56" i="2" s="1"/>
  <c r="AG57" i="2" s="1"/>
  <c r="AH55" i="2"/>
  <c r="AH59" i="2"/>
  <c r="AH63" i="2"/>
  <c r="AH67" i="2"/>
  <c r="AH71" i="2"/>
  <c r="AH75" i="2"/>
  <c r="AH79" i="2"/>
  <c r="AH83" i="2"/>
  <c r="AH87" i="2"/>
  <c r="AH58" i="2"/>
  <c r="AH70" i="2"/>
  <c r="AH82" i="2"/>
  <c r="AH56" i="2"/>
  <c r="AH60" i="2"/>
  <c r="AH64" i="2"/>
  <c r="AH68" i="2"/>
  <c r="AH72" i="2"/>
  <c r="AH76" i="2"/>
  <c r="AH80" i="2"/>
  <c r="AH84" i="2"/>
  <c r="AH88" i="2"/>
  <c r="AH66" i="2"/>
  <c r="AH78" i="2"/>
  <c r="AH57" i="2"/>
  <c r="AH61" i="2"/>
  <c r="AH65" i="2"/>
  <c r="AH69" i="2"/>
  <c r="AH73" i="2"/>
  <c r="AH77" i="2"/>
  <c r="AH81" i="2"/>
  <c r="AH85" i="2"/>
  <c r="AH62" i="2"/>
  <c r="AH74" i="2"/>
  <c r="AH86" i="2"/>
  <c r="AH49" i="2"/>
  <c r="AH50" i="2" s="1"/>
  <c r="AH51" i="2" s="1"/>
  <c r="AH52" i="2" s="1"/>
  <c r="AH53" i="2" s="1"/>
  <c r="AH54" i="2" s="1"/>
  <c r="J6" i="9"/>
  <c r="N56" i="2"/>
  <c r="N57" i="2" s="1"/>
  <c r="N58" i="2" s="1"/>
  <c r="N59" i="2" s="1"/>
  <c r="X33" i="12"/>
  <c r="Z33" i="12"/>
  <c r="AA33" i="12"/>
  <c r="AB33" i="12"/>
  <c r="AC33" i="12"/>
  <c r="AD33" i="12"/>
  <c r="AE33" i="12"/>
  <c r="AF33" i="12"/>
  <c r="AH33" i="12"/>
  <c r="AI33" i="12"/>
  <c r="AJ33" i="12"/>
  <c r="AK33" i="12"/>
  <c r="AL33" i="12"/>
  <c r="AM33" i="12"/>
  <c r="AN33" i="12"/>
  <c r="AO33" i="12"/>
  <c r="AP33" i="12"/>
  <c r="AQ33" i="12"/>
  <c r="F302" i="9" l="1"/>
  <c r="K300" i="9" s="1"/>
  <c r="U17" i="16" s="1"/>
  <c r="I302" i="9"/>
  <c r="F305" i="9"/>
  <c r="I305" i="9"/>
  <c r="H311" i="9"/>
  <c r="J311" i="9" s="1"/>
  <c r="F303" i="9"/>
  <c r="I303" i="9"/>
  <c r="V287" i="9"/>
  <c r="U287" i="9"/>
  <c r="H302" i="9"/>
  <c r="J302" i="9" s="1"/>
  <c r="I313" i="9"/>
  <c r="K313" i="9" s="1"/>
  <c r="H313" i="9"/>
  <c r="J313" i="9" s="1"/>
  <c r="S332" i="9"/>
  <c r="K308" i="9"/>
  <c r="U19" i="16" s="1"/>
  <c r="Q304" i="9"/>
  <c r="T304" i="9"/>
  <c r="S304" i="9"/>
  <c r="Q302" i="9"/>
  <c r="S302" i="9"/>
  <c r="T302" i="9"/>
  <c r="V302" i="9" s="1"/>
  <c r="Q303" i="9"/>
  <c r="S303" i="9"/>
  <c r="T303" i="9"/>
  <c r="Q305" i="9"/>
  <c r="S305" i="9"/>
  <c r="T305" i="9"/>
  <c r="K302" i="9"/>
  <c r="AL89" i="2"/>
  <c r="AO89" i="2"/>
  <c r="AM89" i="2"/>
  <c r="AN89" i="2"/>
  <c r="Q339" i="9"/>
  <c r="S339" i="9"/>
  <c r="U339" i="9" s="1"/>
  <c r="AK89" i="2"/>
  <c r="S338" i="9"/>
  <c r="AI89" i="2"/>
  <c r="AY89" i="2"/>
  <c r="T338" i="9"/>
  <c r="AZ89" i="2"/>
  <c r="AJ53" i="2"/>
  <c r="AJ89" i="2" s="1"/>
  <c r="BB89" i="2"/>
  <c r="BD89" i="2"/>
  <c r="BC50" i="2"/>
  <c r="BC89" i="2" s="1"/>
  <c r="BA89" i="2"/>
  <c r="V339" i="9"/>
  <c r="AH89" i="2"/>
  <c r="AG89" i="2"/>
  <c r="N89" i="2"/>
  <c r="U302" i="9" l="1"/>
  <c r="V300" i="9"/>
  <c r="U18" i="16" s="1"/>
  <c r="U20" i="16" s="1"/>
  <c r="O165" i="9"/>
  <c r="T165" i="9" s="1"/>
  <c r="O73" i="9"/>
  <c r="T73" i="9" s="1"/>
  <c r="E85" i="9"/>
  <c r="C87" i="9" s="1"/>
  <c r="E75" i="9"/>
  <c r="D85" i="9"/>
  <c r="I85" i="9" s="1"/>
  <c r="D75" i="9"/>
  <c r="I75" i="9" s="1"/>
  <c r="I165" i="9"/>
  <c r="P61" i="9"/>
  <c r="N63" i="9" s="1"/>
  <c r="N64" i="9" s="1"/>
  <c r="N65" i="9" s="1"/>
  <c r="N66" i="9" s="1"/>
  <c r="N67" i="9" s="1"/>
  <c r="N68" i="9" s="1"/>
  <c r="N69" i="9" s="1"/>
  <c r="N70" i="9" s="1"/>
  <c r="E61" i="9"/>
  <c r="C63" i="9" s="1"/>
  <c r="C64" i="9" s="1"/>
  <c r="C65" i="9" s="1"/>
  <c r="C66" i="9" s="1"/>
  <c r="C67" i="9" s="1"/>
  <c r="C68" i="9" s="1"/>
  <c r="C69" i="9" s="1"/>
  <c r="C70" i="9" s="1"/>
  <c r="C71" i="9" s="1"/>
  <c r="C72" i="9" s="1"/>
  <c r="P165" i="9"/>
  <c r="N167" i="9" s="1"/>
  <c r="N168" i="9" s="1"/>
  <c r="N169" i="9" s="1"/>
  <c r="N170" i="9" s="1"/>
  <c r="N171" i="9" s="1"/>
  <c r="N172" i="9" s="1"/>
  <c r="N173" i="9" s="1"/>
  <c r="N174" i="9" s="1"/>
  <c r="N175" i="9" s="1"/>
  <c r="N176" i="9" s="1"/>
  <c r="P73" i="9"/>
  <c r="O61" i="9"/>
  <c r="T61" i="9" s="1"/>
  <c r="D61" i="9"/>
  <c r="I61" i="9" s="1"/>
  <c r="W4" i="12"/>
  <c r="V4" i="12"/>
  <c r="W3" i="12"/>
  <c r="V3" i="12"/>
  <c r="N75" i="9" l="1"/>
  <c r="N76" i="9" s="1"/>
  <c r="N77" i="9" s="1"/>
  <c r="N78" i="9" s="1"/>
  <c r="N79" i="9" s="1"/>
  <c r="C77" i="9"/>
  <c r="C78" i="9" s="1"/>
  <c r="C79" i="9" s="1"/>
  <c r="C80" i="9" s="1"/>
  <c r="C81" i="9" s="1"/>
  <c r="C82" i="9" s="1"/>
  <c r="R173" i="9"/>
  <c r="R168" i="9"/>
  <c r="R169" i="9"/>
  <c r="R170" i="9"/>
  <c r="R171" i="9"/>
  <c r="R172" i="9"/>
  <c r="R174" i="9"/>
  <c r="R175" i="9"/>
  <c r="R176" i="9"/>
  <c r="G172" i="9"/>
  <c r="G171" i="9"/>
  <c r="G170" i="9"/>
  <c r="G169" i="9"/>
  <c r="G168" i="9"/>
  <c r="R64" i="9"/>
  <c r="R65" i="9"/>
  <c r="R66" i="9"/>
  <c r="R69" i="9"/>
  <c r="R70" i="9"/>
  <c r="R67" i="9"/>
  <c r="R68" i="9"/>
  <c r="R76" i="9"/>
  <c r="R77" i="9"/>
  <c r="R78" i="9"/>
  <c r="R79" i="9"/>
  <c r="G88" i="9"/>
  <c r="G89" i="9"/>
  <c r="G90" i="9"/>
  <c r="G91" i="9"/>
  <c r="G92" i="9"/>
  <c r="G93" i="9"/>
  <c r="G94" i="9"/>
  <c r="G78" i="9"/>
  <c r="G79" i="9"/>
  <c r="G80" i="9"/>
  <c r="G81" i="9"/>
  <c r="G82" i="9"/>
  <c r="G65" i="9"/>
  <c r="G66" i="9"/>
  <c r="G67" i="9"/>
  <c r="G68" i="9"/>
  <c r="G69" i="9"/>
  <c r="G70" i="9"/>
  <c r="G71" i="9"/>
  <c r="G72" i="9"/>
  <c r="G64" i="9"/>
  <c r="U61" i="9"/>
  <c r="U86" i="9" l="1"/>
  <c r="V86" i="9"/>
  <c r="U85" i="9"/>
  <c r="V85" i="9"/>
  <c r="S176" i="9"/>
  <c r="T176" i="9"/>
  <c r="S171" i="9"/>
  <c r="T171" i="9"/>
  <c r="S169" i="9"/>
  <c r="T169" i="9"/>
  <c r="S174" i="9"/>
  <c r="T174" i="9"/>
  <c r="S175" i="9"/>
  <c r="T175" i="9"/>
  <c r="S172" i="9"/>
  <c r="T172" i="9"/>
  <c r="S170" i="9"/>
  <c r="T170" i="9"/>
  <c r="S168" i="9"/>
  <c r="S173" i="9"/>
  <c r="T173" i="9"/>
  <c r="H171" i="9"/>
  <c r="I171" i="9"/>
  <c r="I169" i="9"/>
  <c r="H169" i="9"/>
  <c r="I168" i="9"/>
  <c r="H168" i="9"/>
  <c r="I172" i="9"/>
  <c r="H172" i="9"/>
  <c r="H170" i="9"/>
  <c r="I170" i="9"/>
  <c r="S68" i="9"/>
  <c r="T68" i="9"/>
  <c r="S66" i="9"/>
  <c r="T66" i="9"/>
  <c r="S67" i="9"/>
  <c r="T67" i="9"/>
  <c r="S70" i="9"/>
  <c r="T70" i="9"/>
  <c r="S65" i="9"/>
  <c r="T65" i="9"/>
  <c r="S69" i="9"/>
  <c r="T69" i="9"/>
  <c r="S64" i="9"/>
  <c r="T64" i="9"/>
  <c r="S79" i="9"/>
  <c r="T79" i="9"/>
  <c r="S77" i="9"/>
  <c r="T77" i="9"/>
  <c r="S78" i="9"/>
  <c r="T78" i="9"/>
  <c r="T76" i="9"/>
  <c r="S76" i="9"/>
  <c r="H94" i="9"/>
  <c r="I94" i="9"/>
  <c r="H90" i="9"/>
  <c r="I90" i="9"/>
  <c r="H88" i="9"/>
  <c r="I88" i="9"/>
  <c r="H93" i="9"/>
  <c r="I93" i="9"/>
  <c r="H89" i="9"/>
  <c r="I89" i="9"/>
  <c r="H92" i="9"/>
  <c r="I92" i="9"/>
  <c r="H91" i="9"/>
  <c r="I91" i="9"/>
  <c r="H82" i="9"/>
  <c r="I82" i="9"/>
  <c r="H81" i="9"/>
  <c r="I81" i="9"/>
  <c r="H78" i="9"/>
  <c r="I78" i="9"/>
  <c r="H80" i="9"/>
  <c r="I80" i="9"/>
  <c r="H79" i="9"/>
  <c r="I79" i="9"/>
  <c r="H69" i="9"/>
  <c r="I69" i="9"/>
  <c r="I72" i="9"/>
  <c r="H72" i="9"/>
  <c r="H68" i="9"/>
  <c r="I68" i="9"/>
  <c r="H65" i="9"/>
  <c r="I65" i="9"/>
  <c r="H64" i="9"/>
  <c r="I64" i="9"/>
  <c r="H71" i="9"/>
  <c r="I71" i="9"/>
  <c r="H67" i="9"/>
  <c r="I67" i="9"/>
  <c r="H66" i="9"/>
  <c r="I66" i="9"/>
  <c r="I70" i="9"/>
  <c r="H70" i="9"/>
  <c r="R331" i="9"/>
  <c r="R337" i="9"/>
  <c r="H10" i="16"/>
  <c r="N3" i="12"/>
  <c r="O3" i="12"/>
  <c r="Q3" i="12"/>
  <c r="R3" i="12"/>
  <c r="S3" i="12"/>
  <c r="T3" i="12"/>
  <c r="U3" i="12"/>
  <c r="N4" i="12"/>
  <c r="O4" i="12"/>
  <c r="Q4" i="12"/>
  <c r="R4" i="12"/>
  <c r="S4" i="12"/>
  <c r="T4" i="12"/>
  <c r="U4" i="12"/>
  <c r="V87" i="9" l="1"/>
  <c r="K12" i="16" s="1"/>
  <c r="L12" i="16" s="1"/>
  <c r="U87" i="9"/>
  <c r="J12" i="16" s="1"/>
  <c r="S337" i="9"/>
  <c r="T337" i="9"/>
  <c r="T331" i="9"/>
  <c r="S331" i="9"/>
  <c r="F71" i="8"/>
  <c r="T168" i="9" s="1"/>
  <c r="O217" i="9" l="1"/>
  <c r="T217" i="9" s="1"/>
  <c r="P351" i="9"/>
  <c r="O351" i="9"/>
  <c r="T351" i="9" s="1"/>
  <c r="O320" i="9"/>
  <c r="T320" i="9" s="1"/>
  <c r="D339" i="9"/>
  <c r="I339" i="9" s="1"/>
  <c r="D330" i="9"/>
  <c r="I330" i="9" s="1"/>
  <c r="D320" i="9"/>
  <c r="I320" i="9" s="1"/>
  <c r="O271" i="9"/>
  <c r="T271" i="9" s="1"/>
  <c r="O263" i="9"/>
  <c r="T263" i="9" s="1"/>
  <c r="O253" i="9"/>
  <c r="T253" i="9" s="1"/>
  <c r="O243" i="9"/>
  <c r="T243" i="9" s="1"/>
  <c r="D275" i="9"/>
  <c r="I275" i="9" s="1"/>
  <c r="D286" i="9"/>
  <c r="I286" i="9" s="1"/>
  <c r="D265" i="9"/>
  <c r="I265" i="9" s="1"/>
  <c r="D254" i="9"/>
  <c r="I254" i="9" s="1"/>
  <c r="D243" i="9"/>
  <c r="I243" i="9" s="1"/>
  <c r="D230" i="9"/>
  <c r="I230" i="9" s="1"/>
  <c r="O210" i="9"/>
  <c r="T210" i="9" s="1"/>
  <c r="D220" i="9"/>
  <c r="I220" i="9" s="1"/>
  <c r="I210" i="9"/>
  <c r="P145" i="9"/>
  <c r="N147" i="9" s="1"/>
  <c r="N148" i="9" s="1"/>
  <c r="N149" i="9" s="1"/>
  <c r="O145" i="9"/>
  <c r="T145" i="9" s="1"/>
  <c r="P137" i="9"/>
  <c r="N139" i="9" s="1"/>
  <c r="N140" i="9" s="1"/>
  <c r="N141" i="9" s="1"/>
  <c r="N142" i="9" s="1"/>
  <c r="O137" i="9"/>
  <c r="T137" i="9" s="1"/>
  <c r="P125" i="9"/>
  <c r="N127" i="9" s="1"/>
  <c r="N128" i="9" s="1"/>
  <c r="N129" i="9" s="1"/>
  <c r="N130" i="9" s="1"/>
  <c r="N131" i="9" s="1"/>
  <c r="N132" i="9" s="1"/>
  <c r="N133" i="9" s="1"/>
  <c r="N134" i="9" s="1"/>
  <c r="O125" i="9"/>
  <c r="T125" i="9" s="1"/>
  <c r="P6" i="9"/>
  <c r="P113" i="9"/>
  <c r="N115" i="9" s="1"/>
  <c r="N116" i="9" s="1"/>
  <c r="N117" i="9" s="1"/>
  <c r="N118" i="9" s="1"/>
  <c r="N119" i="9" s="1"/>
  <c r="N120" i="9" s="1"/>
  <c r="N121" i="9" s="1"/>
  <c r="N122" i="9" s="1"/>
  <c r="O113" i="9"/>
  <c r="T113" i="9" s="1"/>
  <c r="O101" i="9"/>
  <c r="T101" i="9" s="1"/>
  <c r="P101" i="9"/>
  <c r="N103" i="9" s="1"/>
  <c r="N104" i="9" s="1"/>
  <c r="N105" i="9" s="1"/>
  <c r="N106" i="9" s="1"/>
  <c r="N107" i="9" s="1"/>
  <c r="N108" i="9" s="1"/>
  <c r="N109" i="9" s="1"/>
  <c r="N110" i="9" s="1"/>
  <c r="E47" i="9"/>
  <c r="C49" i="9" s="1"/>
  <c r="C50" i="9" s="1"/>
  <c r="C51" i="9" s="1"/>
  <c r="C52" i="9" s="1"/>
  <c r="C53" i="9" s="1"/>
  <c r="C54" i="9" s="1"/>
  <c r="E150" i="9"/>
  <c r="C152" i="9" s="1"/>
  <c r="C153" i="9" s="1"/>
  <c r="C154" i="9" s="1"/>
  <c r="C155" i="9" s="1"/>
  <c r="C156" i="9" s="1"/>
  <c r="C157" i="9" s="1"/>
  <c r="C158" i="9" s="1"/>
  <c r="C159" i="9" s="1"/>
  <c r="D150" i="9"/>
  <c r="I150" i="9" s="1"/>
  <c r="E133" i="9"/>
  <c r="D133" i="9"/>
  <c r="I133" i="9" s="1"/>
  <c r="D116" i="9"/>
  <c r="I116" i="9" s="1"/>
  <c r="E116" i="9"/>
  <c r="C118" i="9" s="1"/>
  <c r="C119" i="9" s="1"/>
  <c r="C120" i="9" s="1"/>
  <c r="C121" i="9" s="1"/>
  <c r="C122" i="9" s="1"/>
  <c r="C123" i="9" s="1"/>
  <c r="C124" i="9" s="1"/>
  <c r="C125" i="9" s="1"/>
  <c r="C126" i="9" s="1"/>
  <c r="C127" i="9" s="1"/>
  <c r="C128" i="9" s="1"/>
  <c r="C129" i="9" s="1"/>
  <c r="C130" i="9" s="1"/>
  <c r="D101" i="9"/>
  <c r="I101" i="9" s="1"/>
  <c r="D32" i="9"/>
  <c r="I32" i="9" s="1"/>
  <c r="E32" i="9"/>
  <c r="C34" i="9" s="1"/>
  <c r="C35" i="9" s="1"/>
  <c r="C36" i="9" s="1"/>
  <c r="C37" i="9" s="1"/>
  <c r="C38" i="9" s="1"/>
  <c r="C39" i="9" s="1"/>
  <c r="C40" i="9" s="1"/>
  <c r="C41" i="9" s="1"/>
  <c r="C42" i="9" s="1"/>
  <c r="C43" i="9" s="1"/>
  <c r="C44" i="9" s="1"/>
  <c r="D47" i="9"/>
  <c r="I47" i="9" s="1"/>
  <c r="O6" i="9"/>
  <c r="T6" i="9" s="1"/>
  <c r="P22" i="9"/>
  <c r="N24" i="9" s="1"/>
  <c r="N25" i="9" s="1"/>
  <c r="N26" i="9" s="1"/>
  <c r="N27" i="9" s="1"/>
  <c r="N28" i="9" s="1"/>
  <c r="N29" i="9" s="1"/>
  <c r="N30" i="9" s="1"/>
  <c r="N31" i="9" s="1"/>
  <c r="N32" i="9" s="1"/>
  <c r="N33" i="9" s="1"/>
  <c r="N34" i="9" s="1"/>
  <c r="O22" i="9"/>
  <c r="T22" i="9" s="1"/>
  <c r="R277" i="9" l="1"/>
  <c r="T277" i="9" s="1"/>
  <c r="R276" i="9"/>
  <c r="T276" i="9" s="1"/>
  <c r="V303" i="9"/>
  <c r="V305" i="9"/>
  <c r="U305" i="9"/>
  <c r="U304" i="9"/>
  <c r="V304" i="9"/>
  <c r="U303" i="9"/>
  <c r="G130" i="9"/>
  <c r="G129" i="9"/>
  <c r="J116" i="9"/>
  <c r="G118" i="9"/>
  <c r="G283" i="9"/>
  <c r="H283" i="9" s="1"/>
  <c r="R18" i="9"/>
  <c r="R19" i="9"/>
  <c r="R323" i="9"/>
  <c r="R324" i="9"/>
  <c r="R325" i="9"/>
  <c r="R326" i="9"/>
  <c r="G342" i="9"/>
  <c r="G343" i="9"/>
  <c r="G344" i="9"/>
  <c r="G333" i="9"/>
  <c r="G334" i="9"/>
  <c r="G335" i="9"/>
  <c r="G336" i="9"/>
  <c r="G323" i="9"/>
  <c r="G324" i="9"/>
  <c r="G325" i="9"/>
  <c r="G326" i="9"/>
  <c r="G327" i="9"/>
  <c r="R250" i="9"/>
  <c r="R249" i="9"/>
  <c r="R248" i="9"/>
  <c r="R247" i="9"/>
  <c r="R246" i="9"/>
  <c r="R260" i="9"/>
  <c r="R259" i="9"/>
  <c r="R258" i="9"/>
  <c r="R257" i="9"/>
  <c r="R256" i="9"/>
  <c r="R268" i="9"/>
  <c r="R267" i="9"/>
  <c r="R266" i="9"/>
  <c r="R275" i="9"/>
  <c r="R274" i="9"/>
  <c r="G282" i="9"/>
  <c r="G281" i="9"/>
  <c r="G280" i="9"/>
  <c r="G279" i="9"/>
  <c r="G278" i="9"/>
  <c r="G269" i="9"/>
  <c r="G272" i="9"/>
  <c r="G268" i="9"/>
  <c r="G270" i="9"/>
  <c r="G271" i="9"/>
  <c r="G259" i="9"/>
  <c r="G257" i="9"/>
  <c r="G258" i="9"/>
  <c r="G260" i="9"/>
  <c r="G261" i="9"/>
  <c r="G262" i="9"/>
  <c r="G246" i="9"/>
  <c r="G247" i="9"/>
  <c r="G248" i="9"/>
  <c r="G249" i="9"/>
  <c r="G250" i="9"/>
  <c r="G251" i="9"/>
  <c r="G233" i="9"/>
  <c r="G234" i="9"/>
  <c r="G235" i="9"/>
  <c r="G236" i="9"/>
  <c r="R221" i="9"/>
  <c r="R222" i="9"/>
  <c r="R223" i="9"/>
  <c r="R220" i="9"/>
  <c r="G223" i="9"/>
  <c r="G224" i="9"/>
  <c r="G225" i="9"/>
  <c r="G226" i="9"/>
  <c r="G227" i="9"/>
  <c r="R213" i="9"/>
  <c r="R214" i="9"/>
  <c r="G214" i="9"/>
  <c r="G215" i="9"/>
  <c r="G216" i="9"/>
  <c r="G217" i="9"/>
  <c r="G213" i="9"/>
  <c r="R148" i="9"/>
  <c r="R149" i="9"/>
  <c r="R140" i="9"/>
  <c r="R141" i="9"/>
  <c r="R142" i="9"/>
  <c r="R130" i="9"/>
  <c r="R131" i="9"/>
  <c r="R129" i="9"/>
  <c r="R132" i="9"/>
  <c r="R134" i="9"/>
  <c r="R128" i="9"/>
  <c r="R133" i="9"/>
  <c r="R116" i="9"/>
  <c r="R117" i="9"/>
  <c r="R118" i="9"/>
  <c r="R119" i="9"/>
  <c r="R120" i="9"/>
  <c r="R121" i="9"/>
  <c r="R122" i="9"/>
  <c r="R104" i="9"/>
  <c r="R105" i="9"/>
  <c r="R106" i="9"/>
  <c r="R107" i="9"/>
  <c r="R108" i="9"/>
  <c r="R109" i="9"/>
  <c r="R110" i="9"/>
  <c r="G153" i="9"/>
  <c r="G154" i="9"/>
  <c r="G155" i="9"/>
  <c r="G156" i="9"/>
  <c r="G157" i="9"/>
  <c r="G158" i="9"/>
  <c r="G159" i="9"/>
  <c r="G136" i="9"/>
  <c r="G137" i="9"/>
  <c r="G138" i="9"/>
  <c r="G142" i="9"/>
  <c r="G147" i="9"/>
  <c r="G139" i="9"/>
  <c r="G140" i="9"/>
  <c r="G141" i="9"/>
  <c r="G143" i="9"/>
  <c r="G144" i="9"/>
  <c r="G145" i="9"/>
  <c r="G146" i="9"/>
  <c r="G119" i="9"/>
  <c r="G120" i="9"/>
  <c r="G121" i="9"/>
  <c r="G122" i="9"/>
  <c r="G123" i="9"/>
  <c r="G124" i="9"/>
  <c r="G125" i="9"/>
  <c r="G126" i="9"/>
  <c r="G127" i="9"/>
  <c r="H127" i="9" s="1"/>
  <c r="G128" i="9"/>
  <c r="R25" i="9"/>
  <c r="R26" i="9"/>
  <c r="R27" i="9"/>
  <c r="R28" i="9"/>
  <c r="R29" i="9"/>
  <c r="R30" i="9"/>
  <c r="R31" i="9"/>
  <c r="R32" i="9"/>
  <c r="R33" i="9"/>
  <c r="R34" i="9"/>
  <c r="R9" i="9"/>
  <c r="R10" i="9"/>
  <c r="R11" i="9"/>
  <c r="R12" i="9"/>
  <c r="R13" i="9"/>
  <c r="R14" i="9"/>
  <c r="R15" i="9"/>
  <c r="R16" i="9"/>
  <c r="R17" i="9"/>
  <c r="G50" i="9"/>
  <c r="G51" i="9"/>
  <c r="G52" i="9"/>
  <c r="G53" i="9"/>
  <c r="G54" i="9"/>
  <c r="G35" i="9"/>
  <c r="G36" i="9"/>
  <c r="G37" i="9"/>
  <c r="G38" i="9"/>
  <c r="G39" i="9"/>
  <c r="G40" i="9"/>
  <c r="G41" i="9"/>
  <c r="G42" i="9"/>
  <c r="G43" i="9"/>
  <c r="G44" i="9"/>
  <c r="C135" i="9"/>
  <c r="C136" i="9" s="1"/>
  <c r="C137" i="9" s="1"/>
  <c r="C138" i="9" s="1"/>
  <c r="C139" i="9" s="1"/>
  <c r="C140" i="9" s="1"/>
  <c r="C141" i="9" s="1"/>
  <c r="C142" i="9" s="1"/>
  <c r="C143" i="9" s="1"/>
  <c r="C144" i="9" s="1"/>
  <c r="C145" i="9" s="1"/>
  <c r="C146" i="9" s="1"/>
  <c r="C147" i="9" s="1"/>
  <c r="J47" i="9"/>
  <c r="J32" i="9"/>
  <c r="U22" i="9"/>
  <c r="U6" i="9"/>
  <c r="J254" i="9"/>
  <c r="J133" i="9"/>
  <c r="U217" i="9"/>
  <c r="Q338" i="9"/>
  <c r="Q331" i="9"/>
  <c r="J101" i="9"/>
  <c r="N353" i="9"/>
  <c r="N354" i="9" s="1"/>
  <c r="N355" i="9" s="1"/>
  <c r="N356" i="9" s="1"/>
  <c r="N357" i="9" s="1"/>
  <c r="N358" i="9" s="1"/>
  <c r="N359" i="9" s="1"/>
  <c r="N360" i="9" s="1"/>
  <c r="N361" i="9" s="1"/>
  <c r="N362" i="9" s="1"/>
  <c r="N363" i="9" s="1"/>
  <c r="N364" i="9" s="1"/>
  <c r="N365" i="9" s="1"/>
  <c r="N366" i="9" s="1"/>
  <c r="N367" i="9" s="1"/>
  <c r="N368" i="9" s="1"/>
  <c r="N369" i="9" s="1"/>
  <c r="N370" i="9" s="1"/>
  <c r="N371" i="9" s="1"/>
  <c r="N372" i="9" s="1"/>
  <c r="N373" i="9" s="1"/>
  <c r="N374" i="9" s="1"/>
  <c r="N375" i="9" s="1"/>
  <c r="N376" i="9" s="1"/>
  <c r="N377" i="9" s="1"/>
  <c r="N378" i="9" s="1"/>
  <c r="N379" i="9" s="1"/>
  <c r="N380" i="9" s="1"/>
  <c r="N381" i="9" s="1"/>
  <c r="N382" i="9" s="1"/>
  <c r="N383" i="9" s="1"/>
  <c r="N384" i="9" s="1"/>
  <c r="N385" i="9" s="1"/>
  <c r="N386" i="9" s="1"/>
  <c r="N387" i="9" s="1"/>
  <c r="N388" i="9" s="1"/>
  <c r="N389" i="9" s="1"/>
  <c r="N390" i="9" s="1"/>
  <c r="N391" i="9" s="1"/>
  <c r="N392" i="9" s="1"/>
  <c r="J351" i="9"/>
  <c r="R219" i="9"/>
  <c r="R353" i="9"/>
  <c r="U351" i="9"/>
  <c r="R322" i="9"/>
  <c r="U320" i="9"/>
  <c r="T10" i="16" s="1"/>
  <c r="J330" i="9"/>
  <c r="G341" i="9"/>
  <c r="J320" i="9"/>
  <c r="J339" i="9"/>
  <c r="U271" i="9"/>
  <c r="U263" i="9"/>
  <c r="U253" i="9"/>
  <c r="J286" i="9"/>
  <c r="U243" i="9"/>
  <c r="N8" i="9"/>
  <c r="N9" i="9" s="1"/>
  <c r="N10" i="9" s="1"/>
  <c r="N11" i="9" s="1"/>
  <c r="N12" i="9" s="1"/>
  <c r="N13" i="9" s="1"/>
  <c r="N14" i="9" s="1"/>
  <c r="N15" i="9" s="1"/>
  <c r="N16" i="9" s="1"/>
  <c r="N17" i="9" s="1"/>
  <c r="N18" i="9" s="1"/>
  <c r="N19" i="9" s="1"/>
  <c r="J275" i="9"/>
  <c r="J265" i="9"/>
  <c r="J243" i="9"/>
  <c r="J150" i="9"/>
  <c r="U101" i="9"/>
  <c r="J220" i="9"/>
  <c r="U165" i="9"/>
  <c r="U113" i="9"/>
  <c r="J210" i="9"/>
  <c r="J85" i="9"/>
  <c r="J75" i="9"/>
  <c r="J230" i="9"/>
  <c r="U125" i="9"/>
  <c r="J165" i="9"/>
  <c r="U210" i="9"/>
  <c r="U73" i="9"/>
  <c r="J61" i="9"/>
  <c r="U137" i="9"/>
  <c r="R139" i="9"/>
  <c r="U145" i="9"/>
  <c r="R147" i="9"/>
  <c r="Q277" i="9" l="1"/>
  <c r="S276" i="9"/>
  <c r="Q276" i="9"/>
  <c r="J314" i="9"/>
  <c r="V19" i="16" s="1"/>
  <c r="K314" i="9"/>
  <c r="W19" i="16" s="1"/>
  <c r="X19" i="16" s="1"/>
  <c r="J303" i="9"/>
  <c r="K303" i="9"/>
  <c r="J304" i="9"/>
  <c r="K304" i="9"/>
  <c r="J305" i="9"/>
  <c r="K305" i="9"/>
  <c r="U155" i="9"/>
  <c r="V155" i="9"/>
  <c r="U157" i="9"/>
  <c r="V157" i="9"/>
  <c r="U159" i="9"/>
  <c r="V159" i="9"/>
  <c r="U154" i="9"/>
  <c r="V154" i="9"/>
  <c r="U156" i="9"/>
  <c r="V156" i="9"/>
  <c r="U158" i="9"/>
  <c r="V158" i="9"/>
  <c r="V338" i="9"/>
  <c r="U338" i="9"/>
  <c r="H118" i="9"/>
  <c r="I129" i="9"/>
  <c r="H129" i="9"/>
  <c r="F129" i="9"/>
  <c r="I283" i="9"/>
  <c r="T18" i="9"/>
  <c r="Q18" i="9"/>
  <c r="S18" i="9"/>
  <c r="S19" i="9"/>
  <c r="T19" i="9"/>
  <c r="Q19" i="9"/>
  <c r="Q175" i="9"/>
  <c r="Q174" i="9"/>
  <c r="Q176" i="9"/>
  <c r="F172" i="9"/>
  <c r="F170" i="9"/>
  <c r="F171" i="9"/>
  <c r="F169" i="9"/>
  <c r="F168" i="9"/>
  <c r="Q172" i="9"/>
  <c r="Q171" i="9"/>
  <c r="Q173" i="9"/>
  <c r="U331" i="9"/>
  <c r="Q332" i="9"/>
  <c r="S326" i="9"/>
  <c r="Q326" i="9"/>
  <c r="T326" i="9"/>
  <c r="S324" i="9"/>
  <c r="T324" i="9"/>
  <c r="Q324" i="9"/>
  <c r="S325" i="9"/>
  <c r="Q325" i="9"/>
  <c r="T325" i="9"/>
  <c r="S323" i="9"/>
  <c r="T323" i="9"/>
  <c r="Q323" i="9"/>
  <c r="H343" i="9"/>
  <c r="I343" i="9"/>
  <c r="F343" i="9"/>
  <c r="H342" i="9"/>
  <c r="I342" i="9"/>
  <c r="F342" i="9"/>
  <c r="H344" i="9"/>
  <c r="F344" i="9"/>
  <c r="I344" i="9"/>
  <c r="H336" i="9"/>
  <c r="I336" i="9"/>
  <c r="H334" i="9"/>
  <c r="I334" i="9"/>
  <c r="H335" i="9"/>
  <c r="I335" i="9"/>
  <c r="I333" i="9"/>
  <c r="H333" i="9"/>
  <c r="H324" i="9"/>
  <c r="I324" i="9"/>
  <c r="H326" i="9"/>
  <c r="I326" i="9"/>
  <c r="H327" i="9"/>
  <c r="I327" i="9"/>
  <c r="H325" i="9"/>
  <c r="I325" i="9"/>
  <c r="H323" i="9"/>
  <c r="I323" i="9"/>
  <c r="Q247" i="9"/>
  <c r="T247" i="9"/>
  <c r="S247" i="9"/>
  <c r="Q249" i="9"/>
  <c r="T249" i="9"/>
  <c r="S249" i="9"/>
  <c r="Q246" i="9"/>
  <c r="T246" i="9"/>
  <c r="S246" i="9"/>
  <c r="Q248" i="9"/>
  <c r="T248" i="9"/>
  <c r="S248" i="9"/>
  <c r="Q250" i="9"/>
  <c r="T250" i="9"/>
  <c r="S250" i="9"/>
  <c r="Q257" i="9"/>
  <c r="T257" i="9"/>
  <c r="S257" i="9"/>
  <c r="Q259" i="9"/>
  <c r="T259" i="9"/>
  <c r="S259" i="9"/>
  <c r="Q256" i="9"/>
  <c r="T256" i="9"/>
  <c r="S256" i="9"/>
  <c r="Q258" i="9"/>
  <c r="T258" i="9"/>
  <c r="S258" i="9"/>
  <c r="Q260" i="9"/>
  <c r="T260" i="9"/>
  <c r="S260" i="9"/>
  <c r="Q266" i="9"/>
  <c r="T266" i="9"/>
  <c r="S266" i="9"/>
  <c r="Q268" i="9"/>
  <c r="T268" i="9"/>
  <c r="S268" i="9"/>
  <c r="Q267" i="9"/>
  <c r="T267" i="9"/>
  <c r="S267" i="9"/>
  <c r="S275" i="9"/>
  <c r="Q275" i="9"/>
  <c r="T275" i="9"/>
  <c r="S274" i="9"/>
  <c r="Q274" i="9"/>
  <c r="T274" i="9"/>
  <c r="S277" i="9"/>
  <c r="H279" i="9"/>
  <c r="I279" i="9"/>
  <c r="H281" i="9"/>
  <c r="I281" i="9"/>
  <c r="H278" i="9"/>
  <c r="I278" i="9"/>
  <c r="H280" i="9"/>
  <c r="I280" i="9"/>
  <c r="I282" i="9"/>
  <c r="H282" i="9"/>
  <c r="H270" i="9"/>
  <c r="I270" i="9"/>
  <c r="H272" i="9"/>
  <c r="I272" i="9"/>
  <c r="H268" i="9"/>
  <c r="I268" i="9"/>
  <c r="H271" i="9"/>
  <c r="I271" i="9"/>
  <c r="H269" i="9"/>
  <c r="I269" i="9"/>
  <c r="H261" i="9"/>
  <c r="I261" i="9"/>
  <c r="H258" i="9"/>
  <c r="I258" i="9"/>
  <c r="H262" i="9"/>
  <c r="I262" i="9"/>
  <c r="H260" i="9"/>
  <c r="I260" i="9"/>
  <c r="H257" i="9"/>
  <c r="I257" i="9"/>
  <c r="H259" i="9"/>
  <c r="I259" i="9"/>
  <c r="H250" i="9"/>
  <c r="I250" i="9"/>
  <c r="I248" i="9"/>
  <c r="H248" i="9"/>
  <c r="H246" i="9"/>
  <c r="I246" i="9"/>
  <c r="H251" i="9"/>
  <c r="I251" i="9"/>
  <c r="I249" i="9"/>
  <c r="H249" i="9"/>
  <c r="H247" i="9"/>
  <c r="I247" i="9"/>
  <c r="H236" i="9"/>
  <c r="I236" i="9"/>
  <c r="I234" i="9"/>
  <c r="H234" i="9"/>
  <c r="H235" i="9"/>
  <c r="I235" i="9"/>
  <c r="H233" i="9"/>
  <c r="I233" i="9"/>
  <c r="S223" i="9"/>
  <c r="T223" i="9"/>
  <c r="Q223" i="9"/>
  <c r="S222" i="9"/>
  <c r="T222" i="9"/>
  <c r="Q222" i="9"/>
  <c r="S220" i="9"/>
  <c r="T220" i="9"/>
  <c r="Q220" i="9"/>
  <c r="S221" i="9"/>
  <c r="T221" i="9"/>
  <c r="Q221" i="9"/>
  <c r="H226" i="9"/>
  <c r="I226" i="9"/>
  <c r="H224" i="9"/>
  <c r="I224" i="9"/>
  <c r="H225" i="9"/>
  <c r="I225" i="9"/>
  <c r="H223" i="9"/>
  <c r="I223" i="9"/>
  <c r="H227" i="9"/>
  <c r="I227" i="9"/>
  <c r="S213" i="9"/>
  <c r="T213" i="9"/>
  <c r="Q213" i="9"/>
  <c r="S214" i="9"/>
  <c r="T214" i="9"/>
  <c r="Q214" i="9"/>
  <c r="H216" i="9"/>
  <c r="I216" i="9"/>
  <c r="H213" i="9"/>
  <c r="I213" i="9"/>
  <c r="H215" i="9"/>
  <c r="I215" i="9"/>
  <c r="H217" i="9"/>
  <c r="I217" i="9"/>
  <c r="H214" i="9"/>
  <c r="I214" i="9"/>
  <c r="Q169" i="9"/>
  <c r="Q170" i="9"/>
  <c r="Q168" i="9"/>
  <c r="S148" i="9"/>
  <c r="T148" i="9"/>
  <c r="Q148" i="9"/>
  <c r="S149" i="9"/>
  <c r="T149" i="9"/>
  <c r="Q149" i="9"/>
  <c r="S140" i="9"/>
  <c r="T140" i="9"/>
  <c r="Q140" i="9"/>
  <c r="S141" i="9"/>
  <c r="T141" i="9"/>
  <c r="Q141" i="9"/>
  <c r="S142" i="9"/>
  <c r="T142" i="9"/>
  <c r="Q142" i="9"/>
  <c r="S133" i="9"/>
  <c r="T133" i="9"/>
  <c r="Q133" i="9"/>
  <c r="S128" i="9"/>
  <c r="T128" i="9"/>
  <c r="Q128" i="9"/>
  <c r="S134" i="9"/>
  <c r="T134" i="9"/>
  <c r="Q134" i="9"/>
  <c r="S131" i="9"/>
  <c r="T131" i="9"/>
  <c r="Q131" i="9"/>
  <c r="S132" i="9"/>
  <c r="T132" i="9"/>
  <c r="Q132" i="9"/>
  <c r="S129" i="9"/>
  <c r="T129" i="9"/>
  <c r="Q129" i="9"/>
  <c r="S130" i="9"/>
  <c r="T130" i="9"/>
  <c r="Q130" i="9"/>
  <c r="S121" i="9"/>
  <c r="T121" i="9"/>
  <c r="Q121" i="9"/>
  <c r="S119" i="9"/>
  <c r="T119" i="9"/>
  <c r="Q119" i="9"/>
  <c r="S117" i="9"/>
  <c r="T117" i="9"/>
  <c r="Q117" i="9"/>
  <c r="S122" i="9"/>
  <c r="T122" i="9"/>
  <c r="Q122" i="9"/>
  <c r="S120" i="9"/>
  <c r="T120" i="9"/>
  <c r="Q120" i="9"/>
  <c r="S118" i="9"/>
  <c r="T118" i="9"/>
  <c r="Q118" i="9"/>
  <c r="S116" i="9"/>
  <c r="T116" i="9"/>
  <c r="Q116" i="9"/>
  <c r="S104" i="9"/>
  <c r="T104" i="9"/>
  <c r="S110" i="9"/>
  <c r="T110" i="9"/>
  <c r="S108" i="9"/>
  <c r="T108" i="9"/>
  <c r="S109" i="9"/>
  <c r="T109" i="9"/>
  <c r="S107" i="9"/>
  <c r="T107" i="9"/>
  <c r="S105" i="9"/>
  <c r="T105" i="9"/>
  <c r="S106" i="9"/>
  <c r="T106" i="9"/>
  <c r="H155" i="9"/>
  <c r="I155" i="9"/>
  <c r="H153" i="9"/>
  <c r="I153" i="9"/>
  <c r="H157" i="9"/>
  <c r="I157" i="9"/>
  <c r="H158" i="9"/>
  <c r="I158" i="9"/>
  <c r="H154" i="9"/>
  <c r="I154" i="9"/>
  <c r="H159" i="9"/>
  <c r="I159" i="9"/>
  <c r="H156" i="9"/>
  <c r="I156" i="9"/>
  <c r="H139" i="9"/>
  <c r="I139" i="9"/>
  <c r="F139" i="9"/>
  <c r="H146" i="9"/>
  <c r="I146" i="9"/>
  <c r="F146" i="9"/>
  <c r="H142" i="9"/>
  <c r="I142" i="9"/>
  <c r="F142" i="9"/>
  <c r="H138" i="9"/>
  <c r="I138" i="9"/>
  <c r="F138" i="9"/>
  <c r="H143" i="9"/>
  <c r="F143" i="9"/>
  <c r="I143" i="9"/>
  <c r="H145" i="9"/>
  <c r="I145" i="9"/>
  <c r="F145" i="9"/>
  <c r="H141" i="9"/>
  <c r="I141" i="9"/>
  <c r="F141" i="9"/>
  <c r="H137" i="9"/>
  <c r="F137" i="9"/>
  <c r="H147" i="9"/>
  <c r="I147" i="9"/>
  <c r="F147" i="9"/>
  <c r="H144" i="9"/>
  <c r="I144" i="9"/>
  <c r="F144" i="9"/>
  <c r="H140" i="9"/>
  <c r="I140" i="9"/>
  <c r="F140" i="9"/>
  <c r="H136" i="9"/>
  <c r="F136" i="9"/>
  <c r="I127" i="9"/>
  <c r="F127" i="9"/>
  <c r="H123" i="9"/>
  <c r="I123" i="9"/>
  <c r="F123" i="9"/>
  <c r="H121" i="9"/>
  <c r="I121" i="9"/>
  <c r="F121" i="9"/>
  <c r="H119" i="9"/>
  <c r="F119" i="9"/>
  <c r="H130" i="9"/>
  <c r="I130" i="9"/>
  <c r="F130" i="9"/>
  <c r="H128" i="9"/>
  <c r="I128" i="9"/>
  <c r="F128" i="9"/>
  <c r="H126" i="9"/>
  <c r="I126" i="9"/>
  <c r="F126" i="9"/>
  <c r="H122" i="9"/>
  <c r="I122" i="9"/>
  <c r="F122" i="9"/>
  <c r="H120" i="9"/>
  <c r="F120" i="9"/>
  <c r="H125" i="9"/>
  <c r="I125" i="9"/>
  <c r="F125" i="9"/>
  <c r="H124" i="9"/>
  <c r="I124" i="9"/>
  <c r="F124" i="9"/>
  <c r="S33" i="9"/>
  <c r="T33" i="9"/>
  <c r="Q33" i="9"/>
  <c r="S31" i="9"/>
  <c r="T31" i="9"/>
  <c r="Q31" i="9"/>
  <c r="S29" i="9"/>
  <c r="Q29" i="9"/>
  <c r="T29" i="9"/>
  <c r="S27" i="9"/>
  <c r="T27" i="9"/>
  <c r="Q27" i="9"/>
  <c r="S25" i="9"/>
  <c r="Q25" i="9"/>
  <c r="S34" i="9"/>
  <c r="T34" i="9"/>
  <c r="Q34" i="9"/>
  <c r="S32" i="9"/>
  <c r="Q32" i="9"/>
  <c r="T32" i="9"/>
  <c r="S30" i="9"/>
  <c r="T30" i="9"/>
  <c r="Q30" i="9"/>
  <c r="S28" i="9"/>
  <c r="T28" i="9"/>
  <c r="Q28" i="9"/>
  <c r="S26" i="9"/>
  <c r="T26" i="9"/>
  <c r="Q26" i="9"/>
  <c r="S17" i="9"/>
  <c r="T17" i="9"/>
  <c r="Q17" i="9"/>
  <c r="S15" i="9"/>
  <c r="T15" i="9"/>
  <c r="Q15" i="9"/>
  <c r="S13" i="9"/>
  <c r="T13" i="9"/>
  <c r="Q13" i="9"/>
  <c r="S11" i="9"/>
  <c r="T11" i="9"/>
  <c r="Q11" i="9"/>
  <c r="S9" i="9"/>
  <c r="Q9" i="9"/>
  <c r="S16" i="9"/>
  <c r="T16" i="9"/>
  <c r="Q16" i="9"/>
  <c r="S14" i="9"/>
  <c r="T14" i="9"/>
  <c r="Q14" i="9"/>
  <c r="S12" i="9"/>
  <c r="T12" i="9"/>
  <c r="Q12" i="9"/>
  <c r="S10" i="9"/>
  <c r="Q10" i="9"/>
  <c r="H51" i="9"/>
  <c r="I51" i="9"/>
  <c r="I53" i="9"/>
  <c r="H53" i="9"/>
  <c r="H52" i="9"/>
  <c r="I52" i="9"/>
  <c r="H50" i="9"/>
  <c r="I50" i="9"/>
  <c r="H54" i="9"/>
  <c r="I54" i="9"/>
  <c r="H41" i="9"/>
  <c r="I41" i="9"/>
  <c r="H39" i="9"/>
  <c r="I39" i="9"/>
  <c r="H37" i="9"/>
  <c r="I37" i="9"/>
  <c r="H35" i="9"/>
  <c r="H43" i="9"/>
  <c r="I43" i="9"/>
  <c r="H44" i="9"/>
  <c r="I44" i="9"/>
  <c r="H42" i="9"/>
  <c r="I42" i="9"/>
  <c r="H40" i="9"/>
  <c r="I40" i="9"/>
  <c r="H38" i="9"/>
  <c r="I38" i="9"/>
  <c r="H36" i="9"/>
  <c r="I36" i="9"/>
  <c r="Q337" i="9"/>
  <c r="Q353" i="9"/>
  <c r="Q10" i="16"/>
  <c r="R10" i="16" s="1"/>
  <c r="Q12" i="16"/>
  <c r="K204" i="9"/>
  <c r="Q9" i="16" s="1"/>
  <c r="R9" i="16" s="1"/>
  <c r="Q219" i="9"/>
  <c r="H11" i="16"/>
  <c r="B11" i="16"/>
  <c r="N18" i="16"/>
  <c r="B8" i="16"/>
  <c r="B20" i="16"/>
  <c r="B22" i="16"/>
  <c r="H24" i="16"/>
  <c r="N20" i="16"/>
  <c r="H23" i="16"/>
  <c r="B21" i="16"/>
  <c r="H19" i="16"/>
  <c r="H17" i="16"/>
  <c r="H18" i="16"/>
  <c r="H8" i="16"/>
  <c r="H22" i="16"/>
  <c r="H20" i="16"/>
  <c r="B17" i="16"/>
  <c r="T8" i="16"/>
  <c r="N25" i="16"/>
  <c r="T7" i="16"/>
  <c r="T26" i="16"/>
  <c r="N17" i="16"/>
  <c r="H21" i="16"/>
  <c r="B18" i="16"/>
  <c r="T9" i="16"/>
  <c r="T25" i="16"/>
  <c r="B23" i="16"/>
  <c r="B25" i="16"/>
  <c r="H25" i="16"/>
  <c r="H7" i="16"/>
  <c r="B12" i="16"/>
  <c r="N19" i="16"/>
  <c r="H9" i="16"/>
  <c r="N26" i="16"/>
  <c r="B10" i="16"/>
  <c r="B19" i="16"/>
  <c r="B24" i="16"/>
  <c r="B26" i="16"/>
  <c r="N21" i="16"/>
  <c r="T219" i="9"/>
  <c r="S219" i="9"/>
  <c r="S353" i="9"/>
  <c r="T353" i="9"/>
  <c r="Q322" i="9"/>
  <c r="S322" i="9"/>
  <c r="T322" i="9"/>
  <c r="F341" i="9"/>
  <c r="I341" i="9"/>
  <c r="H341" i="9"/>
  <c r="Q147" i="9"/>
  <c r="Q139" i="9"/>
  <c r="S147" i="9"/>
  <c r="T147" i="9"/>
  <c r="T139" i="9"/>
  <c r="S139" i="9"/>
  <c r="K13" i="10"/>
  <c r="J13" i="10"/>
  <c r="I13" i="10"/>
  <c r="H13" i="10"/>
  <c r="J12" i="10"/>
  <c r="I12" i="10"/>
  <c r="H12" i="10"/>
  <c r="K11" i="10"/>
  <c r="J11" i="10"/>
  <c r="I11" i="10"/>
  <c r="H11" i="10"/>
  <c r="K10" i="10"/>
  <c r="J10" i="10"/>
  <c r="I10" i="10"/>
  <c r="H10" i="10"/>
  <c r="K9" i="10"/>
  <c r="J9" i="10"/>
  <c r="I9" i="10"/>
  <c r="H9" i="10"/>
  <c r="K8" i="10"/>
  <c r="J8" i="10"/>
  <c r="I8" i="10"/>
  <c r="H8" i="10"/>
  <c r="K7" i="10"/>
  <c r="J7" i="10"/>
  <c r="I7" i="10"/>
  <c r="H7" i="10"/>
  <c r="K6" i="10"/>
  <c r="J6" i="10"/>
  <c r="I6" i="10"/>
  <c r="H6" i="10"/>
  <c r="K5" i="10"/>
  <c r="J5" i="10"/>
  <c r="I5" i="10"/>
  <c r="H5" i="10"/>
  <c r="K4" i="10"/>
  <c r="J4" i="10"/>
  <c r="I4" i="10"/>
  <c r="H4" i="10"/>
  <c r="K3" i="10"/>
  <c r="J3" i="10"/>
  <c r="I3" i="10"/>
  <c r="H3" i="10"/>
  <c r="E22" i="9"/>
  <c r="C24" i="9" s="1"/>
  <c r="C25" i="9" s="1"/>
  <c r="C26" i="9" s="1"/>
  <c r="C27" i="9" s="1"/>
  <c r="C28" i="9" s="1"/>
  <c r="C29" i="9" s="1"/>
  <c r="D22" i="9"/>
  <c r="I22" i="9" s="1"/>
  <c r="E6" i="9"/>
  <c r="G19" i="9" s="1"/>
  <c r="U276" i="9" l="1"/>
  <c r="V276" i="9"/>
  <c r="H13" i="16"/>
  <c r="J306" i="9"/>
  <c r="V17" i="16" s="1"/>
  <c r="K306" i="9"/>
  <c r="W17" i="16" s="1"/>
  <c r="X17" i="16" s="1"/>
  <c r="V306" i="9"/>
  <c r="W18" i="16" s="1"/>
  <c r="U306" i="9"/>
  <c r="V18" i="16" s="1"/>
  <c r="H27" i="16"/>
  <c r="U160" i="9"/>
  <c r="J26" i="16" s="1"/>
  <c r="V160" i="9"/>
  <c r="K26" i="16" s="1"/>
  <c r="L26" i="16" s="1"/>
  <c r="J129" i="9"/>
  <c r="K129" i="9"/>
  <c r="V337" i="9"/>
  <c r="V340" i="9" s="1"/>
  <c r="U337" i="9"/>
  <c r="U340" i="9" s="1"/>
  <c r="U249" i="9"/>
  <c r="U260" i="9"/>
  <c r="V19" i="9"/>
  <c r="V18" i="9"/>
  <c r="U19" i="9"/>
  <c r="U18" i="9"/>
  <c r="U257" i="9"/>
  <c r="H19" i="9"/>
  <c r="I19" i="9"/>
  <c r="T13" i="16"/>
  <c r="B27" i="16"/>
  <c r="N22" i="16"/>
  <c r="V122" i="9"/>
  <c r="V34" i="9"/>
  <c r="V130" i="9"/>
  <c r="V141" i="9"/>
  <c r="U122" i="9"/>
  <c r="U141" i="9"/>
  <c r="U130" i="9"/>
  <c r="U134" i="9"/>
  <c r="J130" i="9"/>
  <c r="J127" i="9"/>
  <c r="J147" i="9"/>
  <c r="K127" i="9"/>
  <c r="V14" i="9"/>
  <c r="K342" i="9"/>
  <c r="V325" i="9"/>
  <c r="V324" i="9"/>
  <c r="U326" i="9"/>
  <c r="U324" i="9"/>
  <c r="V326" i="9"/>
  <c r="J342" i="9"/>
  <c r="K344" i="9"/>
  <c r="K146" i="9"/>
  <c r="V142" i="9"/>
  <c r="V148" i="9"/>
  <c r="K124" i="9"/>
  <c r="K140" i="9"/>
  <c r="K141" i="9"/>
  <c r="K142" i="9"/>
  <c r="J146" i="9"/>
  <c r="V118" i="9"/>
  <c r="V119" i="9"/>
  <c r="V132" i="9"/>
  <c r="V133" i="9"/>
  <c r="U142" i="9"/>
  <c r="V149" i="9"/>
  <c r="U148" i="9"/>
  <c r="V223" i="9"/>
  <c r="J344" i="9"/>
  <c r="V323" i="9"/>
  <c r="U325" i="9"/>
  <c r="U223" i="9"/>
  <c r="V134" i="9"/>
  <c r="K126" i="9"/>
  <c r="U34" i="9"/>
  <c r="V274" i="9"/>
  <c r="V260" i="9"/>
  <c r="V257" i="9"/>
  <c r="V249" i="9"/>
  <c r="U277" i="9"/>
  <c r="U268" i="9"/>
  <c r="U256" i="9"/>
  <c r="U248" i="9"/>
  <c r="V277" i="9"/>
  <c r="U274" i="9"/>
  <c r="V268" i="9"/>
  <c r="V256" i="9"/>
  <c r="V248" i="9"/>
  <c r="K125" i="9"/>
  <c r="K128" i="9"/>
  <c r="K144" i="9"/>
  <c r="K145" i="9"/>
  <c r="J143" i="9"/>
  <c r="V120" i="9"/>
  <c r="V121" i="9"/>
  <c r="V131" i="9"/>
  <c r="U332" i="9"/>
  <c r="U333" i="9" s="1"/>
  <c r="V332" i="9"/>
  <c r="J125" i="9"/>
  <c r="J128" i="9"/>
  <c r="J123" i="9"/>
  <c r="J144" i="9"/>
  <c r="J145" i="9"/>
  <c r="U120" i="9"/>
  <c r="U121" i="9"/>
  <c r="U131" i="9"/>
  <c r="U221" i="9"/>
  <c r="U267" i="9"/>
  <c r="U258" i="9"/>
  <c r="U250" i="9"/>
  <c r="U247" i="9"/>
  <c r="K143" i="9"/>
  <c r="V247" i="9"/>
  <c r="V275" i="9"/>
  <c r="V267" i="9"/>
  <c r="V258" i="9"/>
  <c r="V250" i="9"/>
  <c r="U266" i="9"/>
  <c r="U259" i="9"/>
  <c r="U246" i="9"/>
  <c r="U275" i="9"/>
  <c r="V266" i="9"/>
  <c r="V259" i="9"/>
  <c r="V246" i="9"/>
  <c r="K343" i="9"/>
  <c r="U323" i="9"/>
  <c r="J343" i="9"/>
  <c r="V222" i="9"/>
  <c r="V214" i="9"/>
  <c r="V220" i="9"/>
  <c r="U222" i="9"/>
  <c r="U214" i="9"/>
  <c r="V221" i="9"/>
  <c r="U220" i="9"/>
  <c r="V213" i="9"/>
  <c r="U213" i="9"/>
  <c r="J124" i="9"/>
  <c r="J126" i="9"/>
  <c r="J121" i="9"/>
  <c r="J140" i="9"/>
  <c r="J142" i="9"/>
  <c r="U118" i="9"/>
  <c r="U119" i="9"/>
  <c r="V129" i="9"/>
  <c r="U132" i="9"/>
  <c r="V128" i="9"/>
  <c r="U133" i="9"/>
  <c r="V140" i="9"/>
  <c r="U149" i="9"/>
  <c r="U176" i="9"/>
  <c r="V176" i="9"/>
  <c r="K172" i="9"/>
  <c r="J172" i="9"/>
  <c r="K130" i="9"/>
  <c r="K147" i="9"/>
  <c r="U129" i="9"/>
  <c r="U128" i="9"/>
  <c r="U140" i="9"/>
  <c r="J171" i="9"/>
  <c r="K171" i="9"/>
  <c r="U174" i="9"/>
  <c r="V174" i="9"/>
  <c r="K170" i="9"/>
  <c r="J170" i="9"/>
  <c r="V175" i="9"/>
  <c r="U175" i="9"/>
  <c r="V31" i="9"/>
  <c r="U14" i="9"/>
  <c r="J141" i="9"/>
  <c r="K121" i="9"/>
  <c r="V28" i="9"/>
  <c r="V33" i="9"/>
  <c r="K122" i="9"/>
  <c r="K138" i="9"/>
  <c r="V116" i="9"/>
  <c r="V117" i="9"/>
  <c r="U16" i="9"/>
  <c r="U13" i="9"/>
  <c r="U28" i="9"/>
  <c r="U33" i="9"/>
  <c r="U116" i="9"/>
  <c r="U117" i="9"/>
  <c r="V12" i="9"/>
  <c r="V17" i="9"/>
  <c r="U26" i="9"/>
  <c r="U31" i="9"/>
  <c r="K123" i="9"/>
  <c r="G14" i="9"/>
  <c r="G12" i="9"/>
  <c r="G17" i="9"/>
  <c r="G15" i="9"/>
  <c r="G16" i="9"/>
  <c r="G9" i="9"/>
  <c r="G13" i="9"/>
  <c r="G18" i="9"/>
  <c r="G10" i="9"/>
  <c r="G11" i="9"/>
  <c r="U12" i="9"/>
  <c r="U9" i="9"/>
  <c r="V15" i="9"/>
  <c r="U17" i="9"/>
  <c r="V30" i="9"/>
  <c r="U32" i="9"/>
  <c r="J122" i="9"/>
  <c r="J138" i="9"/>
  <c r="K139" i="9"/>
  <c r="V171" i="9"/>
  <c r="U171" i="9"/>
  <c r="U173" i="9"/>
  <c r="V173" i="9"/>
  <c r="U10" i="9"/>
  <c r="V16" i="9"/>
  <c r="V13" i="9"/>
  <c r="U15" i="9"/>
  <c r="U30" i="9"/>
  <c r="J139" i="9"/>
  <c r="V172" i="9"/>
  <c r="U172" i="9"/>
  <c r="K168" i="9"/>
  <c r="J168" i="9"/>
  <c r="V32" i="9"/>
  <c r="J169" i="9"/>
  <c r="K169" i="9"/>
  <c r="U168" i="9"/>
  <c r="V168" i="9"/>
  <c r="V170" i="9"/>
  <c r="U170" i="9"/>
  <c r="V169" i="9"/>
  <c r="U169" i="9"/>
  <c r="J136" i="9"/>
  <c r="J137" i="9"/>
  <c r="J119" i="9"/>
  <c r="J120" i="9"/>
  <c r="V27" i="9"/>
  <c r="U29" i="9"/>
  <c r="U27" i="9"/>
  <c r="V26" i="9"/>
  <c r="U25" i="9"/>
  <c r="V29" i="9"/>
  <c r="V11" i="9"/>
  <c r="U11" i="9"/>
  <c r="G25" i="9"/>
  <c r="G26" i="9"/>
  <c r="G27" i="9"/>
  <c r="G28" i="9"/>
  <c r="G29" i="9"/>
  <c r="J22" i="9"/>
  <c r="R12" i="16"/>
  <c r="V329" i="9"/>
  <c r="U11" i="16" s="1"/>
  <c r="V331" i="9"/>
  <c r="T27" i="16"/>
  <c r="N27" i="16"/>
  <c r="U219" i="9"/>
  <c r="V353" i="9"/>
  <c r="U353" i="9"/>
  <c r="V219" i="9"/>
  <c r="V322" i="9"/>
  <c r="U322" i="9"/>
  <c r="J341" i="9"/>
  <c r="K341" i="9"/>
  <c r="V147" i="9"/>
  <c r="U147" i="9"/>
  <c r="V139" i="9"/>
  <c r="U139" i="9"/>
  <c r="G24" i="9"/>
  <c r="C88" i="9"/>
  <c r="C8" i="9"/>
  <c r="C9" i="9" s="1"/>
  <c r="C10" i="9" s="1"/>
  <c r="C11" i="9" s="1"/>
  <c r="C12" i="9" s="1"/>
  <c r="C13" i="9" s="1"/>
  <c r="C14" i="9" s="1"/>
  <c r="C15" i="9" s="1"/>
  <c r="C16" i="9" s="1"/>
  <c r="C17" i="9" s="1"/>
  <c r="C18" i="9" s="1"/>
  <c r="C19" i="9" s="1"/>
  <c r="F19" i="9" s="1"/>
  <c r="V20" i="16" l="1"/>
  <c r="W20" i="16"/>
  <c r="X20" i="16" s="1"/>
  <c r="X18" i="16"/>
  <c r="K19" i="9"/>
  <c r="J19" i="9"/>
  <c r="V150" i="9"/>
  <c r="U150" i="9"/>
  <c r="V333" i="9"/>
  <c r="W11" i="16" s="1"/>
  <c r="F257" i="9"/>
  <c r="F213" i="9"/>
  <c r="F268" i="9"/>
  <c r="F246" i="9"/>
  <c r="F233" i="9"/>
  <c r="F323" i="9"/>
  <c r="F223" i="9"/>
  <c r="F278" i="9"/>
  <c r="F333" i="9"/>
  <c r="F50" i="9"/>
  <c r="F78" i="9"/>
  <c r="F13" i="9"/>
  <c r="H13" i="9"/>
  <c r="I13" i="9"/>
  <c r="F17" i="9"/>
  <c r="I17" i="9"/>
  <c r="H17" i="9"/>
  <c r="F64" i="9"/>
  <c r="F18" i="9"/>
  <c r="H18" i="9"/>
  <c r="I18" i="9"/>
  <c r="Q76" i="9"/>
  <c r="F35" i="9"/>
  <c r="Q64" i="9"/>
  <c r="F11" i="9"/>
  <c r="H11" i="9"/>
  <c r="I11" i="9"/>
  <c r="H9" i="9"/>
  <c r="F9" i="9"/>
  <c r="F12" i="9"/>
  <c r="I12" i="9"/>
  <c r="H12" i="9"/>
  <c r="F15" i="9"/>
  <c r="H15" i="9"/>
  <c r="I15" i="9"/>
  <c r="C89" i="9"/>
  <c r="F88" i="9"/>
  <c r="Q104" i="9"/>
  <c r="F153" i="9"/>
  <c r="H10" i="9"/>
  <c r="F10" i="9"/>
  <c r="H16" i="9"/>
  <c r="F16" i="9"/>
  <c r="I16" i="9"/>
  <c r="F14" i="9"/>
  <c r="H14" i="9"/>
  <c r="I14" i="9"/>
  <c r="H27" i="9"/>
  <c r="F27" i="9"/>
  <c r="I27" i="9"/>
  <c r="H28" i="9"/>
  <c r="I28" i="9"/>
  <c r="F28" i="9"/>
  <c r="H26" i="9"/>
  <c r="F26" i="9"/>
  <c r="I26" i="9"/>
  <c r="H29" i="9"/>
  <c r="I29" i="9"/>
  <c r="F29" i="9"/>
  <c r="H25" i="9"/>
  <c r="F25" i="9"/>
  <c r="I25" i="9"/>
  <c r="V11" i="16"/>
  <c r="V335" i="9"/>
  <c r="U12" i="16" s="1"/>
  <c r="J185" i="9"/>
  <c r="F186" i="9"/>
  <c r="J186" i="9" s="1"/>
  <c r="B9" i="16"/>
  <c r="B7" i="16"/>
  <c r="F24" i="9"/>
  <c r="I41" i="8"/>
  <c r="I137" i="9" s="1"/>
  <c r="K137" i="9" s="1"/>
  <c r="I40" i="8"/>
  <c r="I136" i="9" s="1"/>
  <c r="K136" i="9" s="1"/>
  <c r="I39" i="8"/>
  <c r="F41" i="8"/>
  <c r="I120" i="9" s="1"/>
  <c r="K120" i="9" s="1"/>
  <c r="F40" i="8"/>
  <c r="I119" i="9" s="1"/>
  <c r="K119" i="9" s="1"/>
  <c r="F39" i="8"/>
  <c r="I118" i="9" s="1"/>
  <c r="B13" i="16" l="1"/>
  <c r="J29" i="9"/>
  <c r="J18" i="9"/>
  <c r="J13" i="9"/>
  <c r="K29" i="9"/>
  <c r="F214" i="9"/>
  <c r="K214" i="9" s="1"/>
  <c r="K223" i="9"/>
  <c r="J223" i="9"/>
  <c r="K233" i="9"/>
  <c r="J233" i="9"/>
  <c r="K26" i="9"/>
  <c r="F334" i="9"/>
  <c r="F224" i="9"/>
  <c r="F234" i="9"/>
  <c r="J213" i="9"/>
  <c r="K213" i="9"/>
  <c r="K278" i="9"/>
  <c r="J278" i="9"/>
  <c r="K323" i="9"/>
  <c r="J323" i="9"/>
  <c r="J246" i="9"/>
  <c r="K246" i="9"/>
  <c r="J268" i="9"/>
  <c r="K268" i="9"/>
  <c r="K257" i="9"/>
  <c r="J257" i="9"/>
  <c r="K333" i="9"/>
  <c r="J333" i="9"/>
  <c r="J26" i="9"/>
  <c r="F279" i="9"/>
  <c r="F324" i="9"/>
  <c r="F247" i="9"/>
  <c r="F269" i="9"/>
  <c r="F258" i="9"/>
  <c r="K78" i="9"/>
  <c r="J78" i="9"/>
  <c r="J27" i="9"/>
  <c r="F79" i="9"/>
  <c r="J28" i="9"/>
  <c r="K14" i="9"/>
  <c r="Q77" i="9"/>
  <c r="K50" i="9"/>
  <c r="J50" i="9"/>
  <c r="J25" i="9"/>
  <c r="K28" i="9"/>
  <c r="K25" i="9"/>
  <c r="K27" i="9"/>
  <c r="K18" i="9"/>
  <c r="F51" i="9"/>
  <c r="J15" i="9"/>
  <c r="J10" i="9"/>
  <c r="K11" i="9"/>
  <c r="K13" i="9"/>
  <c r="F215" i="9"/>
  <c r="J14" i="9"/>
  <c r="J11" i="9"/>
  <c r="J9" i="9"/>
  <c r="J16" i="9"/>
  <c r="J153" i="9"/>
  <c r="K153" i="9"/>
  <c r="K88" i="9"/>
  <c r="J88" i="9"/>
  <c r="J35" i="9"/>
  <c r="F65" i="9"/>
  <c r="Q65" i="9"/>
  <c r="K64" i="9"/>
  <c r="J64" i="9"/>
  <c r="F154" i="9"/>
  <c r="C90" i="9"/>
  <c r="F89" i="9"/>
  <c r="J12" i="9"/>
  <c r="F36" i="9"/>
  <c r="J17" i="9"/>
  <c r="Q105" i="9"/>
  <c r="K16" i="9"/>
  <c r="U104" i="9"/>
  <c r="V104" i="9"/>
  <c r="K15" i="9"/>
  <c r="K12" i="9"/>
  <c r="V64" i="9"/>
  <c r="U64" i="9"/>
  <c r="U76" i="9"/>
  <c r="V76" i="9"/>
  <c r="K17" i="9"/>
  <c r="V12" i="16"/>
  <c r="W12" i="16"/>
  <c r="X12" i="16" s="1"/>
  <c r="X11" i="16"/>
  <c r="K186" i="9"/>
  <c r="F187" i="9"/>
  <c r="J187" i="9" s="1"/>
  <c r="I24" i="9"/>
  <c r="K24" i="9" s="1"/>
  <c r="H24" i="9"/>
  <c r="J24" i="9" s="1"/>
  <c r="J214" i="9" l="1"/>
  <c r="J258" i="9"/>
  <c r="K258" i="9"/>
  <c r="K247" i="9"/>
  <c r="J247" i="9"/>
  <c r="K279" i="9"/>
  <c r="J279" i="9"/>
  <c r="F225" i="9"/>
  <c r="F259" i="9"/>
  <c r="F248" i="9"/>
  <c r="F280" i="9"/>
  <c r="J234" i="9"/>
  <c r="K234" i="9"/>
  <c r="K334" i="9"/>
  <c r="J334" i="9"/>
  <c r="K269" i="9"/>
  <c r="J269" i="9"/>
  <c r="J324" i="9"/>
  <c r="K324" i="9"/>
  <c r="F236" i="9"/>
  <c r="F235" i="9"/>
  <c r="F336" i="9"/>
  <c r="F335" i="9"/>
  <c r="F217" i="9"/>
  <c r="F216" i="9"/>
  <c r="F270" i="9"/>
  <c r="F325" i="9"/>
  <c r="J224" i="9"/>
  <c r="K224" i="9"/>
  <c r="Q79" i="9"/>
  <c r="Q78" i="9"/>
  <c r="F80" i="9"/>
  <c r="J51" i="9"/>
  <c r="K51" i="9"/>
  <c r="F52" i="9"/>
  <c r="V77" i="9"/>
  <c r="U77" i="9"/>
  <c r="J79" i="9"/>
  <c r="K79" i="9"/>
  <c r="J215" i="9"/>
  <c r="K215" i="9"/>
  <c r="V105" i="9"/>
  <c r="U105" i="9"/>
  <c r="F37" i="9"/>
  <c r="K154" i="9"/>
  <c r="J154" i="9"/>
  <c r="U65" i="9"/>
  <c r="V65" i="9"/>
  <c r="K36" i="9"/>
  <c r="J36" i="9"/>
  <c r="F66" i="9"/>
  <c r="Q106" i="9"/>
  <c r="F155" i="9"/>
  <c r="Q66" i="9"/>
  <c r="C91" i="9"/>
  <c r="F90" i="9"/>
  <c r="J89" i="9"/>
  <c r="K89" i="9"/>
  <c r="K65" i="9"/>
  <c r="J65" i="9"/>
  <c r="K187" i="9"/>
  <c r="F188" i="9"/>
  <c r="K335" i="9" l="1"/>
  <c r="J335" i="9"/>
  <c r="K259" i="9"/>
  <c r="J259" i="9"/>
  <c r="F272" i="9"/>
  <c r="F271" i="9"/>
  <c r="K336" i="9"/>
  <c r="J336" i="9"/>
  <c r="F281" i="9"/>
  <c r="F260" i="9"/>
  <c r="J325" i="9"/>
  <c r="K325" i="9"/>
  <c r="K216" i="9"/>
  <c r="J216" i="9"/>
  <c r="K235" i="9"/>
  <c r="J235" i="9"/>
  <c r="J248" i="9"/>
  <c r="K248" i="9"/>
  <c r="K225" i="9"/>
  <c r="J225" i="9"/>
  <c r="J270" i="9"/>
  <c r="K270" i="9"/>
  <c r="J280" i="9"/>
  <c r="K280" i="9"/>
  <c r="F327" i="9"/>
  <c r="F326" i="9"/>
  <c r="J217" i="9"/>
  <c r="K217" i="9"/>
  <c r="K236" i="9"/>
  <c r="J236" i="9"/>
  <c r="F249" i="9"/>
  <c r="F227" i="9"/>
  <c r="F226" i="9"/>
  <c r="K80" i="9"/>
  <c r="J80" i="9"/>
  <c r="Q67" i="9"/>
  <c r="Q107" i="9"/>
  <c r="F54" i="9"/>
  <c r="F53" i="9"/>
  <c r="F82" i="9"/>
  <c r="F81" i="9"/>
  <c r="J52" i="9"/>
  <c r="K52" i="9"/>
  <c r="V78" i="9"/>
  <c r="U78" i="9"/>
  <c r="F156" i="9"/>
  <c r="V79" i="9"/>
  <c r="U79" i="9"/>
  <c r="J155" i="9"/>
  <c r="K155" i="9"/>
  <c r="K37" i="9"/>
  <c r="J37" i="9"/>
  <c r="F67" i="9"/>
  <c r="F38" i="9"/>
  <c r="K90" i="9"/>
  <c r="J90" i="9"/>
  <c r="C92" i="9"/>
  <c r="F91" i="9"/>
  <c r="U66" i="9"/>
  <c r="V66" i="9"/>
  <c r="V106" i="9"/>
  <c r="U106" i="9"/>
  <c r="K66" i="9"/>
  <c r="J66" i="9"/>
  <c r="J188" i="9"/>
  <c r="K188" i="9"/>
  <c r="F189" i="9"/>
  <c r="R354" i="9"/>
  <c r="R265" i="9"/>
  <c r="R245" i="9"/>
  <c r="G277" i="9"/>
  <c r="G256" i="9"/>
  <c r="G34" i="9"/>
  <c r="G212" i="9"/>
  <c r="G232" i="9"/>
  <c r="G63" i="9"/>
  <c r="G332" i="9"/>
  <c r="R8" i="9"/>
  <c r="R103" i="9"/>
  <c r="G77" i="9"/>
  <c r="G152" i="9"/>
  <c r="R167" i="9"/>
  <c r="R63" i="9"/>
  <c r="Q63" i="9" s="1"/>
  <c r="G49" i="9"/>
  <c r="G353" i="9"/>
  <c r="F353" i="9" s="1"/>
  <c r="R273" i="9"/>
  <c r="R255" i="9"/>
  <c r="G222" i="9"/>
  <c r="R115" i="9"/>
  <c r="G87" i="9"/>
  <c r="F118" i="9"/>
  <c r="G167" i="9"/>
  <c r="G103" i="9"/>
  <c r="H103" i="9" s="1"/>
  <c r="R212" i="9"/>
  <c r="Q212" i="9" s="1"/>
  <c r="V210" i="9" s="1"/>
  <c r="R75" i="9"/>
  <c r="R127" i="9"/>
  <c r="G322" i="9"/>
  <c r="G267" i="9"/>
  <c r="G245" i="9"/>
  <c r="R24" i="9"/>
  <c r="G135" i="9"/>
  <c r="G8" i="9"/>
  <c r="K116" i="9" l="1"/>
  <c r="J118" i="9"/>
  <c r="J131" i="9" s="1"/>
  <c r="F282" i="9"/>
  <c r="J282" i="9" s="1"/>
  <c r="F283" i="9"/>
  <c r="K226" i="9"/>
  <c r="J226" i="9"/>
  <c r="J326" i="9"/>
  <c r="K326" i="9"/>
  <c r="K260" i="9"/>
  <c r="J260" i="9"/>
  <c r="K227" i="9"/>
  <c r="J227" i="9"/>
  <c r="K327" i="9"/>
  <c r="J327" i="9"/>
  <c r="F262" i="9"/>
  <c r="F261" i="9"/>
  <c r="K249" i="9"/>
  <c r="J249" i="9"/>
  <c r="K281" i="9"/>
  <c r="J281" i="9"/>
  <c r="K271" i="9"/>
  <c r="J271" i="9"/>
  <c r="F251" i="9"/>
  <c r="F250" i="9"/>
  <c r="K272" i="9"/>
  <c r="J272" i="9"/>
  <c r="J156" i="9"/>
  <c r="K156" i="9"/>
  <c r="F157" i="9"/>
  <c r="K54" i="9"/>
  <c r="J54" i="9"/>
  <c r="Q68" i="9"/>
  <c r="U67" i="9"/>
  <c r="V67" i="9"/>
  <c r="K81" i="9"/>
  <c r="J81" i="9"/>
  <c r="V107" i="9"/>
  <c r="U107" i="9"/>
  <c r="J53" i="9"/>
  <c r="K53" i="9"/>
  <c r="J82" i="9"/>
  <c r="K82" i="9"/>
  <c r="Q108" i="9"/>
  <c r="K91" i="9"/>
  <c r="J91" i="9"/>
  <c r="C93" i="9"/>
  <c r="F92" i="9"/>
  <c r="F39" i="9"/>
  <c r="J67" i="9"/>
  <c r="K67" i="9"/>
  <c r="J38" i="9"/>
  <c r="K38" i="9"/>
  <c r="F68" i="9"/>
  <c r="J189" i="9"/>
  <c r="K189" i="9"/>
  <c r="F190" i="9"/>
  <c r="K190" i="9" s="1"/>
  <c r="R355" i="9"/>
  <c r="G104" i="9"/>
  <c r="H104" i="9" s="1"/>
  <c r="G354" i="9"/>
  <c r="Q24" i="9"/>
  <c r="S24" i="9"/>
  <c r="H332" i="9"/>
  <c r="I332" i="9"/>
  <c r="F332" i="9"/>
  <c r="H135" i="9"/>
  <c r="I135" i="9"/>
  <c r="F135" i="9"/>
  <c r="H245" i="9"/>
  <c r="I245" i="9"/>
  <c r="F245" i="9"/>
  <c r="I322" i="9"/>
  <c r="H322" i="9"/>
  <c r="F322" i="9"/>
  <c r="K320" i="9" s="1"/>
  <c r="S127" i="9"/>
  <c r="Q127" i="9"/>
  <c r="T127" i="9"/>
  <c r="S75" i="9"/>
  <c r="T75" i="9"/>
  <c r="Q75" i="9"/>
  <c r="H267" i="9"/>
  <c r="I267" i="9"/>
  <c r="F267" i="9"/>
  <c r="S212" i="9"/>
  <c r="T212" i="9"/>
  <c r="Q115" i="9"/>
  <c r="T115" i="9"/>
  <c r="S115" i="9"/>
  <c r="H353" i="9"/>
  <c r="J353" i="9" s="1"/>
  <c r="I353" i="9"/>
  <c r="V217" i="9"/>
  <c r="H49" i="9"/>
  <c r="I49" i="9"/>
  <c r="F49" i="9"/>
  <c r="I152" i="9"/>
  <c r="H152" i="9"/>
  <c r="F152" i="9"/>
  <c r="H77" i="9"/>
  <c r="I77" i="9"/>
  <c r="F77" i="9"/>
  <c r="Q8" i="9"/>
  <c r="V6" i="9" s="1"/>
  <c r="S8" i="9"/>
  <c r="H63" i="9"/>
  <c r="I63" i="9"/>
  <c r="F63" i="9"/>
  <c r="I212" i="9"/>
  <c r="H212" i="9"/>
  <c r="F212" i="9"/>
  <c r="H34" i="9"/>
  <c r="F34" i="9"/>
  <c r="S245" i="9"/>
  <c r="T245" i="9"/>
  <c r="Q245" i="9"/>
  <c r="T354" i="9"/>
  <c r="S354" i="9"/>
  <c r="Q354" i="9"/>
  <c r="I222" i="9"/>
  <c r="H222" i="9"/>
  <c r="F222" i="9"/>
  <c r="T255" i="9"/>
  <c r="S255" i="9"/>
  <c r="Q255" i="9"/>
  <c r="T103" i="9"/>
  <c r="S103" i="9"/>
  <c r="Q103" i="9"/>
  <c r="I232" i="9"/>
  <c r="H232" i="9"/>
  <c r="F232" i="9"/>
  <c r="T265" i="9"/>
  <c r="Q265" i="9"/>
  <c r="S265" i="9"/>
  <c r="H167" i="9"/>
  <c r="F167" i="9"/>
  <c r="I167" i="9"/>
  <c r="H87" i="9"/>
  <c r="F87" i="9"/>
  <c r="T273" i="9"/>
  <c r="Q273" i="9"/>
  <c r="S273" i="9"/>
  <c r="S167" i="9"/>
  <c r="Q167" i="9"/>
  <c r="T167" i="9"/>
  <c r="I277" i="9"/>
  <c r="H277" i="9"/>
  <c r="F277" i="9"/>
  <c r="H8" i="9"/>
  <c r="F8" i="9"/>
  <c r="K6" i="9" s="1"/>
  <c r="I103" i="9"/>
  <c r="F103" i="9"/>
  <c r="V145" i="9"/>
  <c r="S63" i="9"/>
  <c r="H256" i="9"/>
  <c r="I256" i="9"/>
  <c r="F256" i="9"/>
  <c r="K275" i="9" l="1"/>
  <c r="J283" i="9"/>
  <c r="K283" i="9"/>
  <c r="K282" i="9"/>
  <c r="J262" i="9"/>
  <c r="K262" i="9"/>
  <c r="J250" i="9"/>
  <c r="K250" i="9"/>
  <c r="K261" i="9"/>
  <c r="J261" i="9"/>
  <c r="J251" i="9"/>
  <c r="K251" i="9"/>
  <c r="J157" i="9"/>
  <c r="K157" i="9"/>
  <c r="C94" i="9"/>
  <c r="F94" i="9" s="1"/>
  <c r="F93" i="9"/>
  <c r="Q110" i="9"/>
  <c r="Q109" i="9"/>
  <c r="Q70" i="9"/>
  <c r="Q69" i="9"/>
  <c r="F159" i="9"/>
  <c r="F158" i="9"/>
  <c r="U108" i="9"/>
  <c r="V108" i="9"/>
  <c r="U68" i="9"/>
  <c r="V68" i="9"/>
  <c r="F69" i="9"/>
  <c r="K68" i="9"/>
  <c r="J68" i="9"/>
  <c r="K92" i="9"/>
  <c r="J92" i="9"/>
  <c r="J39" i="9"/>
  <c r="K39" i="9"/>
  <c r="F40" i="9"/>
  <c r="K183" i="9"/>
  <c r="O7" i="16" s="1"/>
  <c r="O13" i="16" s="1"/>
  <c r="J190" i="9"/>
  <c r="J191" i="9" s="1"/>
  <c r="P7" i="16" s="1"/>
  <c r="P13" i="16" s="1"/>
  <c r="K191" i="9"/>
  <c r="Q7" i="16" s="1"/>
  <c r="Q13" i="16" s="1"/>
  <c r="F354" i="9"/>
  <c r="H354" i="9"/>
  <c r="F104" i="9"/>
  <c r="J104" i="9" s="1"/>
  <c r="I104" i="9"/>
  <c r="G355" i="9"/>
  <c r="G105" i="9"/>
  <c r="R356" i="9"/>
  <c r="I354" i="9"/>
  <c r="O21" i="16"/>
  <c r="I25" i="16"/>
  <c r="Q355" i="9"/>
  <c r="S355" i="9"/>
  <c r="T355" i="9"/>
  <c r="K167" i="9"/>
  <c r="K277" i="9"/>
  <c r="U167" i="9"/>
  <c r="K222" i="9"/>
  <c r="U354" i="9"/>
  <c r="K49" i="9"/>
  <c r="U224" i="9"/>
  <c r="U127" i="9"/>
  <c r="K135" i="9"/>
  <c r="K332" i="9"/>
  <c r="J267" i="9"/>
  <c r="U265" i="9"/>
  <c r="V354" i="9"/>
  <c r="J34" i="9"/>
  <c r="V115" i="9"/>
  <c r="J322" i="9"/>
  <c r="J332" i="9"/>
  <c r="U24" i="9"/>
  <c r="K63" i="9"/>
  <c r="V224" i="9"/>
  <c r="V212" i="9"/>
  <c r="J256" i="9"/>
  <c r="K256" i="9"/>
  <c r="V127" i="9"/>
  <c r="V265" i="9"/>
  <c r="J222" i="9"/>
  <c r="J103" i="9"/>
  <c r="V167" i="9"/>
  <c r="U103" i="9"/>
  <c r="K152" i="9"/>
  <c r="J8" i="9"/>
  <c r="J20" i="9" s="1"/>
  <c r="J152" i="9"/>
  <c r="V103" i="9"/>
  <c r="U8" i="9"/>
  <c r="U20" i="9" s="1"/>
  <c r="J232" i="9"/>
  <c r="U255" i="9"/>
  <c r="K77" i="9"/>
  <c r="V75" i="9"/>
  <c r="K245" i="9"/>
  <c r="J167" i="9"/>
  <c r="K232" i="9"/>
  <c r="V255" i="9"/>
  <c r="V245" i="9"/>
  <c r="K212" i="9"/>
  <c r="J49" i="9"/>
  <c r="K118" i="9"/>
  <c r="K131" i="9" s="1"/>
  <c r="U75" i="9"/>
  <c r="J245" i="9"/>
  <c r="J77" i="9"/>
  <c r="V273" i="9"/>
  <c r="V278" i="9" s="1"/>
  <c r="U63" i="9"/>
  <c r="K103" i="9"/>
  <c r="J277" i="9"/>
  <c r="U273" i="9"/>
  <c r="U278" i="9" s="1"/>
  <c r="J87" i="9"/>
  <c r="U245" i="9"/>
  <c r="J212" i="9"/>
  <c r="J63" i="9"/>
  <c r="K353" i="9"/>
  <c r="U115" i="9"/>
  <c r="U212" i="9"/>
  <c r="K267" i="9"/>
  <c r="K322" i="9"/>
  <c r="J135" i="9"/>
  <c r="L23" i="8"/>
  <c r="T63" i="9" s="1"/>
  <c r="V63" i="9" s="1"/>
  <c r="I23" i="8"/>
  <c r="I87" i="9" s="1"/>
  <c r="K87" i="9" s="1"/>
  <c r="O7" i="8"/>
  <c r="T10" i="9" s="1"/>
  <c r="V10" i="9" s="1"/>
  <c r="C7" i="8"/>
  <c r="I10" i="9" s="1"/>
  <c r="K10" i="9" s="1"/>
  <c r="R6" i="8"/>
  <c r="T25" i="9" s="1"/>
  <c r="V25" i="9" s="1"/>
  <c r="I6" i="8"/>
  <c r="I35" i="9" s="1"/>
  <c r="K35" i="9" s="1"/>
  <c r="O6" i="8"/>
  <c r="T9" i="9" s="1"/>
  <c r="V9" i="9" s="1"/>
  <c r="C6" i="8"/>
  <c r="I9" i="9" s="1"/>
  <c r="K9" i="9" s="1"/>
  <c r="R5" i="8"/>
  <c r="T24" i="9" s="1"/>
  <c r="V24" i="9" s="1"/>
  <c r="I5" i="8"/>
  <c r="I34" i="9" s="1"/>
  <c r="K34" i="9" s="1"/>
  <c r="O5" i="8"/>
  <c r="T8" i="9" s="1"/>
  <c r="V8" i="9" s="1"/>
  <c r="I8" i="9"/>
  <c r="K8" i="9" s="1"/>
  <c r="J284" i="9" l="1"/>
  <c r="K284" i="9"/>
  <c r="V20" i="9"/>
  <c r="E8" i="16" s="1"/>
  <c r="K20" i="9"/>
  <c r="J93" i="9"/>
  <c r="K93" i="9"/>
  <c r="U70" i="9"/>
  <c r="V70" i="9"/>
  <c r="J94" i="9"/>
  <c r="K94" i="9"/>
  <c r="J158" i="9"/>
  <c r="K158" i="9"/>
  <c r="U109" i="9"/>
  <c r="V109" i="9"/>
  <c r="V69" i="9"/>
  <c r="U69" i="9"/>
  <c r="K159" i="9"/>
  <c r="J159" i="9"/>
  <c r="V110" i="9"/>
  <c r="U110" i="9"/>
  <c r="K40" i="9"/>
  <c r="J40" i="9"/>
  <c r="J69" i="9"/>
  <c r="K69" i="9"/>
  <c r="F41" i="9"/>
  <c r="F70" i="9"/>
  <c r="U215" i="9"/>
  <c r="V215" i="9"/>
  <c r="R7" i="16"/>
  <c r="J354" i="9"/>
  <c r="K354" i="9"/>
  <c r="H355" i="9"/>
  <c r="I355" i="9"/>
  <c r="G356" i="9"/>
  <c r="G106" i="9"/>
  <c r="H106" i="9" s="1"/>
  <c r="K104" i="9"/>
  <c r="V253" i="9"/>
  <c r="R357" i="9"/>
  <c r="J25" i="16"/>
  <c r="Q21" i="16"/>
  <c r="R21" i="16" s="1"/>
  <c r="P21" i="16"/>
  <c r="O20" i="16"/>
  <c r="K25" i="16"/>
  <c r="L25" i="16" s="1"/>
  <c r="U355" i="9"/>
  <c r="V355" i="9"/>
  <c r="F355" i="9"/>
  <c r="V271" i="9"/>
  <c r="V137" i="9"/>
  <c r="V263" i="9"/>
  <c r="H105" i="9"/>
  <c r="I105" i="9"/>
  <c r="F105" i="9"/>
  <c r="S356" i="9"/>
  <c r="T356" i="9"/>
  <c r="Q356" i="9"/>
  <c r="K75" i="9"/>
  <c r="K339" i="9"/>
  <c r="J95" i="9" l="1"/>
  <c r="F72" i="9"/>
  <c r="F71" i="9"/>
  <c r="J41" i="9"/>
  <c r="K41" i="9"/>
  <c r="K70" i="9"/>
  <c r="J70" i="9"/>
  <c r="F42" i="9"/>
  <c r="H356" i="9"/>
  <c r="I356" i="9"/>
  <c r="K355" i="9"/>
  <c r="J355" i="9"/>
  <c r="U261" i="9"/>
  <c r="V261" i="9"/>
  <c r="G357" i="9"/>
  <c r="G107" i="9"/>
  <c r="G108" i="9"/>
  <c r="R358" i="9"/>
  <c r="G358" i="9"/>
  <c r="P20" i="16"/>
  <c r="U9" i="16"/>
  <c r="Q20" i="16"/>
  <c r="R20" i="16" s="1"/>
  <c r="C25" i="16"/>
  <c r="I8" i="16"/>
  <c r="C24" i="16"/>
  <c r="I24" i="16"/>
  <c r="C26" i="16"/>
  <c r="F356" i="9"/>
  <c r="U269" i="9"/>
  <c r="V143" i="9"/>
  <c r="U143" i="9"/>
  <c r="K345" i="9"/>
  <c r="J345" i="9"/>
  <c r="V356" i="9"/>
  <c r="V269" i="9"/>
  <c r="U356" i="9"/>
  <c r="J83" i="9"/>
  <c r="K83" i="9"/>
  <c r="F106" i="9"/>
  <c r="J106" i="9" s="1"/>
  <c r="I106" i="9"/>
  <c r="K105" i="9"/>
  <c r="J105" i="9"/>
  <c r="K165" i="9"/>
  <c r="T357" i="9"/>
  <c r="Q357" i="9"/>
  <c r="S357" i="9"/>
  <c r="V243" i="9"/>
  <c r="K230" i="9"/>
  <c r="K330" i="9"/>
  <c r="V73" i="9"/>
  <c r="V320" i="9"/>
  <c r="K71" i="9" l="1"/>
  <c r="J71" i="9"/>
  <c r="K72" i="9"/>
  <c r="J72" i="9"/>
  <c r="K42" i="9"/>
  <c r="J42" i="9"/>
  <c r="F44" i="9"/>
  <c r="F43" i="9"/>
  <c r="J173" i="9"/>
  <c r="H357" i="9"/>
  <c r="I357" i="9"/>
  <c r="H358" i="9"/>
  <c r="I358" i="9"/>
  <c r="K356" i="9"/>
  <c r="J356" i="9"/>
  <c r="R359" i="9"/>
  <c r="G359" i="9"/>
  <c r="G109" i="9"/>
  <c r="E26" i="16"/>
  <c r="F26" i="16" s="1"/>
  <c r="K24" i="16"/>
  <c r="L24" i="16" s="1"/>
  <c r="D24" i="16"/>
  <c r="I11" i="16"/>
  <c r="O19" i="16"/>
  <c r="V9" i="16"/>
  <c r="D25" i="16"/>
  <c r="E25" i="16"/>
  <c r="F25" i="16" s="1"/>
  <c r="J8" i="16"/>
  <c r="E24" i="16"/>
  <c r="F24" i="16" s="1"/>
  <c r="W9" i="16"/>
  <c r="X9" i="16" s="1"/>
  <c r="D26" i="16"/>
  <c r="U10" i="16"/>
  <c r="U8" i="16"/>
  <c r="O25" i="16"/>
  <c r="K8" i="16"/>
  <c r="L8" i="16" s="1"/>
  <c r="J24" i="16"/>
  <c r="K173" i="9"/>
  <c r="V327" i="9"/>
  <c r="U327" i="9"/>
  <c r="V80" i="9"/>
  <c r="U80" i="9"/>
  <c r="J337" i="9"/>
  <c r="K273" i="9"/>
  <c r="K337" i="9"/>
  <c r="U357" i="9"/>
  <c r="J328" i="9"/>
  <c r="V357" i="9"/>
  <c r="K237" i="9"/>
  <c r="J237" i="9"/>
  <c r="K265" i="9"/>
  <c r="K106" i="9"/>
  <c r="I107" i="9"/>
  <c r="H107" i="9"/>
  <c r="F107" i="9"/>
  <c r="F357" i="9"/>
  <c r="K220" i="9"/>
  <c r="K22" i="9"/>
  <c r="T358" i="9"/>
  <c r="Q358" i="9"/>
  <c r="S358" i="9"/>
  <c r="K47" i="9"/>
  <c r="K328" i="9"/>
  <c r="K210" i="9"/>
  <c r="K243" i="9"/>
  <c r="F358" i="9"/>
  <c r="K254" i="9"/>
  <c r="V113" i="9"/>
  <c r="K44" i="9" l="1"/>
  <c r="J44" i="9"/>
  <c r="K43" i="9"/>
  <c r="J43" i="9"/>
  <c r="V251" i="9"/>
  <c r="U251" i="9"/>
  <c r="W10" i="16"/>
  <c r="X10" i="16" s="1"/>
  <c r="H359" i="9"/>
  <c r="I359" i="9"/>
  <c r="K358" i="9"/>
  <c r="J358" i="9"/>
  <c r="K357" i="9"/>
  <c r="J357" i="9"/>
  <c r="G110" i="9"/>
  <c r="G360" i="9"/>
  <c r="R360" i="9"/>
  <c r="P25" i="16"/>
  <c r="V8" i="16"/>
  <c r="C22" i="16"/>
  <c r="U7" i="16"/>
  <c r="U13" i="16" s="1"/>
  <c r="C9" i="16"/>
  <c r="C20" i="16"/>
  <c r="V7" i="16"/>
  <c r="E19" i="16"/>
  <c r="F19" i="16" s="1"/>
  <c r="J11" i="16"/>
  <c r="C12" i="16"/>
  <c r="O18" i="16"/>
  <c r="C18" i="16"/>
  <c r="C23" i="16"/>
  <c r="W7" i="16"/>
  <c r="Q19" i="16"/>
  <c r="R19" i="16" s="1"/>
  <c r="K11" i="16"/>
  <c r="L11" i="16" s="1"/>
  <c r="Q25" i="16"/>
  <c r="R25" i="16" s="1"/>
  <c r="C17" i="16"/>
  <c r="O17" i="16"/>
  <c r="C19" i="16"/>
  <c r="P19" i="16"/>
  <c r="W8" i="16"/>
  <c r="X8" i="16" s="1"/>
  <c r="V10" i="16"/>
  <c r="K218" i="9"/>
  <c r="J218" i="9"/>
  <c r="K228" i="9"/>
  <c r="J273" i="9"/>
  <c r="J228" i="9"/>
  <c r="J263" i="9"/>
  <c r="V358" i="9"/>
  <c r="K30" i="9"/>
  <c r="K252" i="9"/>
  <c r="K55" i="9"/>
  <c r="J30" i="9"/>
  <c r="J55" i="9"/>
  <c r="K263" i="9"/>
  <c r="J252" i="9"/>
  <c r="U358" i="9"/>
  <c r="U123" i="9"/>
  <c r="K107" i="9"/>
  <c r="Q359" i="9"/>
  <c r="S359" i="9"/>
  <c r="T359" i="9"/>
  <c r="K150" i="9"/>
  <c r="I109" i="9"/>
  <c r="H109" i="9"/>
  <c r="F109" i="9"/>
  <c r="F359" i="9"/>
  <c r="H108" i="9"/>
  <c r="I108" i="9"/>
  <c r="F108" i="9"/>
  <c r="V125" i="9"/>
  <c r="J107" i="9"/>
  <c r="V13" i="16" l="1"/>
  <c r="Z5" i="16" s="1"/>
  <c r="W13" i="16"/>
  <c r="X13" i="16" s="1"/>
  <c r="H360" i="9"/>
  <c r="I360" i="9"/>
  <c r="K359" i="9"/>
  <c r="J359" i="9"/>
  <c r="X7" i="16"/>
  <c r="O22" i="16"/>
  <c r="G361" i="9"/>
  <c r="R361" i="9"/>
  <c r="G111" i="9"/>
  <c r="D23" i="16"/>
  <c r="D12" i="16"/>
  <c r="E17" i="16"/>
  <c r="F17" i="16" s="1"/>
  <c r="D22" i="16"/>
  <c r="P17" i="16"/>
  <c r="D17" i="16"/>
  <c r="P18" i="16"/>
  <c r="E18" i="16"/>
  <c r="F18" i="16" s="1"/>
  <c r="D9" i="16"/>
  <c r="D19" i="16"/>
  <c r="E23" i="16"/>
  <c r="F23" i="16" s="1"/>
  <c r="I23" i="16"/>
  <c r="I20" i="16"/>
  <c r="Q17" i="16"/>
  <c r="R17" i="16" s="1"/>
  <c r="D20" i="16"/>
  <c r="E9" i="16"/>
  <c r="F9" i="16" s="1"/>
  <c r="I22" i="16"/>
  <c r="E22" i="16"/>
  <c r="F22" i="16" s="1"/>
  <c r="E20" i="16"/>
  <c r="F20" i="16" s="1"/>
  <c r="E12" i="16"/>
  <c r="F12" i="16" s="1"/>
  <c r="D18" i="16"/>
  <c r="Q18" i="16"/>
  <c r="R18" i="16" s="1"/>
  <c r="V123" i="9"/>
  <c r="U135" i="9"/>
  <c r="U359" i="9"/>
  <c r="K160" i="9"/>
  <c r="J160" i="9"/>
  <c r="V359" i="9"/>
  <c r="V135" i="9"/>
  <c r="J109" i="9"/>
  <c r="K109" i="9"/>
  <c r="V61" i="9"/>
  <c r="V101" i="9"/>
  <c r="K85" i="9"/>
  <c r="F360" i="9"/>
  <c r="I110" i="9"/>
  <c r="H110" i="9"/>
  <c r="F110" i="9"/>
  <c r="Q360" i="9"/>
  <c r="S360" i="9"/>
  <c r="T360" i="9"/>
  <c r="K108" i="9"/>
  <c r="J108" i="9"/>
  <c r="H361" i="9" l="1"/>
  <c r="I361" i="9"/>
  <c r="K360" i="9"/>
  <c r="J360" i="9"/>
  <c r="G362" i="9"/>
  <c r="R362" i="9"/>
  <c r="G112" i="9"/>
  <c r="K23" i="16"/>
  <c r="L23" i="16" s="1"/>
  <c r="J20" i="16"/>
  <c r="K22" i="16"/>
  <c r="L22" i="16" s="1"/>
  <c r="I21" i="16"/>
  <c r="J22" i="16"/>
  <c r="P22" i="16"/>
  <c r="I10" i="16"/>
  <c r="K20" i="16"/>
  <c r="L20" i="16" s="1"/>
  <c r="I9" i="16"/>
  <c r="J23" i="16"/>
  <c r="Q22" i="16"/>
  <c r="U71" i="9"/>
  <c r="U360" i="9"/>
  <c r="V71" i="9"/>
  <c r="U111" i="9"/>
  <c r="K110" i="9"/>
  <c r="V111" i="9"/>
  <c r="K95" i="9"/>
  <c r="J110" i="9"/>
  <c r="V360" i="9"/>
  <c r="F361" i="9"/>
  <c r="S361" i="9"/>
  <c r="Q361" i="9"/>
  <c r="T361" i="9"/>
  <c r="H111" i="9"/>
  <c r="F111" i="9"/>
  <c r="I111" i="9"/>
  <c r="J148" i="9" l="1"/>
  <c r="K133" i="9"/>
  <c r="H362" i="9"/>
  <c r="I362" i="9"/>
  <c r="K361" i="9"/>
  <c r="J361" i="9"/>
  <c r="R22" i="16"/>
  <c r="R363" i="9"/>
  <c r="G363" i="9"/>
  <c r="G113" i="9"/>
  <c r="J9" i="16"/>
  <c r="J10" i="16"/>
  <c r="K9" i="16"/>
  <c r="L9" i="16" s="1"/>
  <c r="J21" i="16"/>
  <c r="K21" i="16"/>
  <c r="L21" i="16" s="1"/>
  <c r="K10" i="16"/>
  <c r="L10" i="16" s="1"/>
  <c r="J111" i="9"/>
  <c r="K148" i="9"/>
  <c r="V361" i="9"/>
  <c r="U361" i="9"/>
  <c r="K111" i="9"/>
  <c r="V165" i="9"/>
  <c r="F362" i="9"/>
  <c r="Q362" i="9"/>
  <c r="S362" i="9"/>
  <c r="T362" i="9"/>
  <c r="I112" i="9"/>
  <c r="H112" i="9"/>
  <c r="F112" i="9"/>
  <c r="H363" i="9" l="1"/>
  <c r="I363" i="9"/>
  <c r="K362" i="9"/>
  <c r="J362" i="9"/>
  <c r="G364" i="9"/>
  <c r="R364" i="9"/>
  <c r="O26" i="16"/>
  <c r="O27" i="16" s="1"/>
  <c r="K73" i="9"/>
  <c r="K112" i="9"/>
  <c r="U362" i="9"/>
  <c r="V177" i="9"/>
  <c r="U177" i="9"/>
  <c r="J112" i="9"/>
  <c r="V362" i="9"/>
  <c r="K61" i="9"/>
  <c r="F363" i="9"/>
  <c r="S363" i="9"/>
  <c r="Q363" i="9"/>
  <c r="T363" i="9"/>
  <c r="H113" i="9"/>
  <c r="I113" i="9"/>
  <c r="F113" i="9"/>
  <c r="K101" i="9" s="1"/>
  <c r="V22" i="9"/>
  <c r="K32" i="9" l="1"/>
  <c r="J73" i="9"/>
  <c r="H364" i="9"/>
  <c r="I364" i="9"/>
  <c r="K363" i="9"/>
  <c r="J363" i="9"/>
  <c r="C11" i="16"/>
  <c r="R365" i="9"/>
  <c r="G365" i="9"/>
  <c r="I17" i="16"/>
  <c r="I19" i="16"/>
  <c r="I7" i="16"/>
  <c r="I13" i="16" s="1"/>
  <c r="P26" i="16"/>
  <c r="P27" i="16" s="1"/>
  <c r="K7" i="16"/>
  <c r="K13" i="16" s="1"/>
  <c r="Q26" i="16"/>
  <c r="R26" i="16" s="1"/>
  <c r="K113" i="9"/>
  <c r="K114" i="9" s="1"/>
  <c r="J113" i="9"/>
  <c r="U363" i="9"/>
  <c r="V363" i="9"/>
  <c r="S364" i="9"/>
  <c r="Q364" i="9"/>
  <c r="T364" i="9"/>
  <c r="F364" i="9"/>
  <c r="L13" i="16" l="1"/>
  <c r="U35" i="9"/>
  <c r="V35" i="9"/>
  <c r="J45" i="9"/>
  <c r="D10" i="16" s="1"/>
  <c r="J114" i="9"/>
  <c r="J17" i="16" s="1"/>
  <c r="H365" i="9"/>
  <c r="I365" i="9"/>
  <c r="K364" i="9"/>
  <c r="J364" i="9"/>
  <c r="L7" i="16"/>
  <c r="R366" i="9"/>
  <c r="G366" i="9"/>
  <c r="C10" i="16"/>
  <c r="K17" i="16"/>
  <c r="I18" i="16"/>
  <c r="I27" i="16" s="1"/>
  <c r="J7" i="16"/>
  <c r="J13" i="16" s="1"/>
  <c r="C8" i="16"/>
  <c r="J19" i="16"/>
  <c r="Q27" i="16"/>
  <c r="R27" i="16" s="1"/>
  <c r="C7" i="16"/>
  <c r="K19" i="16"/>
  <c r="L19" i="16" s="1"/>
  <c r="V364" i="9"/>
  <c r="U364" i="9"/>
  <c r="K45" i="9"/>
  <c r="Q365" i="9"/>
  <c r="S365" i="9"/>
  <c r="T365" i="9"/>
  <c r="F365" i="9"/>
  <c r="L17" i="16" l="1"/>
  <c r="H366" i="9"/>
  <c r="I366" i="9"/>
  <c r="K365" i="9"/>
  <c r="J365" i="9"/>
  <c r="G367" i="9"/>
  <c r="R367" i="9"/>
  <c r="D11" i="16"/>
  <c r="E10" i="16"/>
  <c r="F10" i="16" s="1"/>
  <c r="E7" i="16"/>
  <c r="K18" i="16"/>
  <c r="L18" i="16" s="1"/>
  <c r="C13" i="16"/>
  <c r="D7" i="16"/>
  <c r="E11" i="16"/>
  <c r="F11" i="16" s="1"/>
  <c r="J18" i="16"/>
  <c r="J27" i="16" s="1"/>
  <c r="D8" i="16"/>
  <c r="F8" i="16"/>
  <c r="V365" i="9"/>
  <c r="U365" i="9"/>
  <c r="S366" i="9"/>
  <c r="T366" i="9"/>
  <c r="Q366" i="9"/>
  <c r="F366" i="9"/>
  <c r="Z3" i="16" l="1"/>
  <c r="K27" i="16"/>
  <c r="L27" i="16" s="1"/>
  <c r="F7" i="16"/>
  <c r="E13" i="16"/>
  <c r="D13" i="16"/>
  <c r="H367" i="9"/>
  <c r="I367" i="9"/>
  <c r="K366" i="9"/>
  <c r="J366" i="9"/>
  <c r="B20" i="18"/>
  <c r="R368" i="9"/>
  <c r="G368" i="9"/>
  <c r="V366" i="9"/>
  <c r="U366" i="9"/>
  <c r="Q367" i="9"/>
  <c r="S367" i="9"/>
  <c r="T367" i="9"/>
  <c r="F367" i="9"/>
  <c r="Q1" i="16" l="1"/>
  <c r="F13" i="16"/>
  <c r="H368" i="9"/>
  <c r="I368" i="9"/>
  <c r="K367" i="9"/>
  <c r="J367" i="9"/>
  <c r="G369" i="9"/>
  <c r="R369" i="9"/>
  <c r="V367" i="9"/>
  <c r="U367" i="9"/>
  <c r="F368" i="9"/>
  <c r="Q368" i="9"/>
  <c r="S368" i="9"/>
  <c r="T368" i="9"/>
  <c r="H369" i="9" l="1"/>
  <c r="I369" i="9"/>
  <c r="K368" i="9"/>
  <c r="J368" i="9"/>
  <c r="G370" i="9"/>
  <c r="R370" i="9"/>
  <c r="V368" i="9"/>
  <c r="U368" i="9"/>
  <c r="F369" i="9"/>
  <c r="S369" i="9"/>
  <c r="Q369" i="9"/>
  <c r="T369" i="9"/>
  <c r="H370" i="9" l="1"/>
  <c r="I370" i="9"/>
  <c r="K369" i="9"/>
  <c r="J369" i="9"/>
  <c r="G371" i="9"/>
  <c r="R371" i="9"/>
  <c r="V369" i="9"/>
  <c r="U369" i="9"/>
  <c r="T370" i="9"/>
  <c r="S370" i="9"/>
  <c r="Q370" i="9"/>
  <c r="F370" i="9"/>
  <c r="H371" i="9" l="1"/>
  <c r="I371" i="9"/>
  <c r="K370" i="9"/>
  <c r="J370" i="9"/>
  <c r="G372" i="9"/>
  <c r="R372" i="9"/>
  <c r="U370" i="9"/>
  <c r="V370" i="9"/>
  <c r="F371" i="9"/>
  <c r="S371" i="9"/>
  <c r="T371" i="9"/>
  <c r="Q371" i="9"/>
  <c r="H372" i="9" l="1"/>
  <c r="I372" i="9"/>
  <c r="K371" i="9"/>
  <c r="J371" i="9"/>
  <c r="G373" i="9"/>
  <c r="R373" i="9"/>
  <c r="V371" i="9"/>
  <c r="U371" i="9"/>
  <c r="F372" i="9"/>
  <c r="T372" i="9"/>
  <c r="Q372" i="9"/>
  <c r="S372" i="9"/>
  <c r="H373" i="9" l="1"/>
  <c r="I373" i="9"/>
  <c r="K372" i="9"/>
  <c r="J372" i="9"/>
  <c r="R374" i="9"/>
  <c r="G374" i="9"/>
  <c r="V372" i="9"/>
  <c r="U372" i="9"/>
  <c r="S373" i="9"/>
  <c r="Q373" i="9"/>
  <c r="T373" i="9"/>
  <c r="F373" i="9"/>
  <c r="H374" i="9" l="1"/>
  <c r="I374" i="9"/>
  <c r="K373" i="9"/>
  <c r="J373" i="9"/>
  <c r="R375" i="9"/>
  <c r="G375" i="9"/>
  <c r="V373" i="9"/>
  <c r="U373" i="9"/>
  <c r="F374" i="9"/>
  <c r="S374" i="9"/>
  <c r="T374" i="9"/>
  <c r="Q374" i="9"/>
  <c r="H375" i="9" l="1"/>
  <c r="I375" i="9"/>
  <c r="K374" i="9"/>
  <c r="J374" i="9"/>
  <c r="G376" i="9"/>
  <c r="R376" i="9"/>
  <c r="V374" i="9"/>
  <c r="U374" i="9"/>
  <c r="F375" i="9"/>
  <c r="Q375" i="9"/>
  <c r="S375" i="9"/>
  <c r="T375" i="9"/>
  <c r="H376" i="9" l="1"/>
  <c r="I376" i="9"/>
  <c r="K375" i="9"/>
  <c r="J375" i="9"/>
  <c r="G377" i="9"/>
  <c r="R377" i="9"/>
  <c r="V375" i="9"/>
  <c r="U375" i="9"/>
  <c r="F376" i="9"/>
  <c r="S376" i="9"/>
  <c r="T376" i="9"/>
  <c r="Q376" i="9"/>
  <c r="H377" i="9" l="1"/>
  <c r="I377" i="9"/>
  <c r="K376" i="9"/>
  <c r="J376" i="9"/>
  <c r="G378" i="9"/>
  <c r="R378" i="9"/>
  <c r="V376" i="9"/>
  <c r="U376" i="9"/>
  <c r="F377" i="9"/>
  <c r="Q377" i="9"/>
  <c r="S377" i="9"/>
  <c r="T377" i="9"/>
  <c r="H378" i="9" l="1"/>
  <c r="I378" i="9"/>
  <c r="K377" i="9"/>
  <c r="J377" i="9"/>
  <c r="G379" i="9"/>
  <c r="R379" i="9"/>
  <c r="U377" i="9"/>
  <c r="V377" i="9"/>
  <c r="S378" i="9"/>
  <c r="T378" i="9"/>
  <c r="Q378" i="9"/>
  <c r="F378" i="9"/>
  <c r="H379" i="9" l="1"/>
  <c r="I379" i="9"/>
  <c r="K378" i="9"/>
  <c r="J378" i="9"/>
  <c r="G380" i="9"/>
  <c r="R380" i="9"/>
  <c r="V378" i="9"/>
  <c r="U378" i="9"/>
  <c r="T379" i="9"/>
  <c r="S379" i="9"/>
  <c r="Q379" i="9"/>
  <c r="F379" i="9"/>
  <c r="H380" i="9" l="1"/>
  <c r="I380" i="9"/>
  <c r="K379" i="9"/>
  <c r="J379" i="9"/>
  <c r="R381" i="9"/>
  <c r="G381" i="9"/>
  <c r="U379" i="9"/>
  <c r="V379" i="9"/>
  <c r="F380" i="9"/>
  <c r="S380" i="9"/>
  <c r="T380" i="9"/>
  <c r="Q380" i="9"/>
  <c r="H381" i="9" l="1"/>
  <c r="I381" i="9"/>
  <c r="K380" i="9"/>
  <c r="J380" i="9"/>
  <c r="G382" i="9"/>
  <c r="R382" i="9"/>
  <c r="V380" i="9"/>
  <c r="U380" i="9"/>
  <c r="S381" i="9"/>
  <c r="T381" i="9"/>
  <c r="Q381" i="9"/>
  <c r="F381" i="9"/>
  <c r="H382" i="9" l="1"/>
  <c r="I382" i="9"/>
  <c r="K381" i="9"/>
  <c r="J381" i="9"/>
  <c r="G383" i="9"/>
  <c r="I383" i="9" s="1"/>
  <c r="R383" i="9"/>
  <c r="U381" i="9"/>
  <c r="V381" i="9"/>
  <c r="F382" i="9"/>
  <c r="Q382" i="9"/>
  <c r="S382" i="9"/>
  <c r="T382" i="9"/>
  <c r="J382" i="9" l="1"/>
  <c r="K382" i="9"/>
  <c r="R384" i="9"/>
  <c r="G384" i="9"/>
  <c r="V382" i="9"/>
  <c r="U382" i="9"/>
  <c r="H383" i="9"/>
  <c r="F383" i="9"/>
  <c r="K383" i="9" s="1"/>
  <c r="S383" i="9"/>
  <c r="T383" i="9"/>
  <c r="Q383" i="9"/>
  <c r="J383" i="9" l="1"/>
  <c r="G385" i="9"/>
  <c r="R385" i="9"/>
  <c r="U383" i="9"/>
  <c r="V383" i="9"/>
  <c r="Q384" i="9"/>
  <c r="T384" i="9"/>
  <c r="S384" i="9"/>
  <c r="H384" i="9"/>
  <c r="I384" i="9"/>
  <c r="F384" i="9"/>
  <c r="J384" i="9" l="1"/>
  <c r="G386" i="9"/>
  <c r="R386" i="9"/>
  <c r="V384" i="9"/>
  <c r="U384" i="9"/>
  <c r="K384" i="9"/>
  <c r="I385" i="9"/>
  <c r="H385" i="9"/>
  <c r="F385" i="9"/>
  <c r="S385" i="9"/>
  <c r="Q385" i="9"/>
  <c r="T385" i="9"/>
  <c r="J385" i="9" l="1"/>
  <c r="G387" i="9"/>
  <c r="R387" i="9"/>
  <c r="V385" i="9"/>
  <c r="K385" i="9"/>
  <c r="U385" i="9"/>
  <c r="I386" i="9"/>
  <c r="H386" i="9"/>
  <c r="F386" i="9"/>
  <c r="Q386" i="9"/>
  <c r="S386" i="9"/>
  <c r="T386" i="9"/>
  <c r="J386" i="9" l="1"/>
  <c r="G388" i="9"/>
  <c r="R388" i="9"/>
  <c r="U386" i="9"/>
  <c r="V386" i="9"/>
  <c r="K386" i="9"/>
  <c r="H387" i="9"/>
  <c r="I387" i="9"/>
  <c r="F387" i="9"/>
  <c r="Q387" i="9"/>
  <c r="T387" i="9"/>
  <c r="S387" i="9"/>
  <c r="J387" i="9" l="1"/>
  <c r="G389" i="9"/>
  <c r="R389" i="9"/>
  <c r="U387" i="9"/>
  <c r="V387" i="9"/>
  <c r="K387" i="9"/>
  <c r="Q388" i="9"/>
  <c r="S388" i="9"/>
  <c r="T388" i="9"/>
  <c r="I388" i="9"/>
  <c r="H388" i="9"/>
  <c r="F388" i="9"/>
  <c r="J388" i="9" l="1"/>
  <c r="R390" i="9"/>
  <c r="G390" i="9"/>
  <c r="U388" i="9"/>
  <c r="K388" i="9"/>
  <c r="V388" i="9"/>
  <c r="H389" i="9"/>
  <c r="I389" i="9"/>
  <c r="F389" i="9"/>
  <c r="S389" i="9"/>
  <c r="Q389" i="9"/>
  <c r="T389" i="9"/>
  <c r="J389" i="9" l="1"/>
  <c r="R391" i="9"/>
  <c r="G391" i="9"/>
  <c r="K389" i="9"/>
  <c r="V389" i="9"/>
  <c r="U389" i="9"/>
  <c r="I390" i="9"/>
  <c r="H390" i="9"/>
  <c r="F390" i="9"/>
  <c r="Q390" i="9"/>
  <c r="S390" i="9"/>
  <c r="T390" i="9"/>
  <c r="J390" i="9" l="1"/>
  <c r="G392" i="9"/>
  <c r="R392" i="9"/>
  <c r="V390" i="9"/>
  <c r="U390" i="9"/>
  <c r="K390" i="9"/>
  <c r="T391" i="9"/>
  <c r="S391" i="9"/>
  <c r="Q391" i="9"/>
  <c r="H391" i="9"/>
  <c r="I391" i="9"/>
  <c r="F391" i="9"/>
  <c r="J391" i="9" l="1"/>
  <c r="U391" i="9"/>
  <c r="K391" i="9"/>
  <c r="V391" i="9"/>
  <c r="I392" i="9"/>
  <c r="H392" i="9"/>
  <c r="F392" i="9"/>
  <c r="K351" i="9" s="1"/>
  <c r="T392" i="9"/>
  <c r="Q392" i="9"/>
  <c r="V351" i="9" s="1"/>
  <c r="S392" i="9"/>
  <c r="J392" i="9" l="1"/>
  <c r="J393" i="9" s="1"/>
  <c r="U26" i="16"/>
  <c r="U25" i="16"/>
  <c r="V392" i="9"/>
  <c r="V393" i="9" s="1"/>
  <c r="U392" i="9"/>
  <c r="U393" i="9" s="1"/>
  <c r="K392" i="9"/>
  <c r="K393" i="9" s="1"/>
  <c r="V26" i="16" l="1"/>
  <c r="W26" i="16"/>
  <c r="X26" i="16" s="1"/>
  <c r="W25" i="16"/>
  <c r="X25" i="16" s="1"/>
  <c r="U27" i="16"/>
  <c r="V25" i="16"/>
  <c r="W27" i="16" l="1"/>
  <c r="T2" i="16" s="1"/>
  <c r="V27" i="16"/>
  <c r="M2" i="16" l="1"/>
  <c r="E2" i="18" s="1"/>
  <c r="D20" i="18"/>
  <c r="Q2" i="16"/>
  <c r="N2" i="9" s="1"/>
  <c r="X27" i="16"/>
  <c r="I2" i="9" l="1"/>
  <c r="H2" i="16"/>
  <c r="C2" i="9" s="1"/>
  <c r="C2" i="18" l="1"/>
  <c r="R13" i="16"/>
  <c r="N1" i="9"/>
  <c r="R2" i="9"/>
  <c r="AG33" i="12"/>
  <c r="AG41" i="12"/>
  <c r="AG34" i="12"/>
  <c r="AG42" i="12"/>
  <c r="AG39" i="12"/>
  <c r="AG36" i="12"/>
  <c r="AS5" i="2"/>
  <c r="AS66" i="2" s="1"/>
  <c r="AG40" i="12"/>
  <c r="AG38" i="12"/>
  <c r="AG35" i="12"/>
  <c r="AG43" i="12"/>
  <c r="J9" i="22"/>
  <c r="AG37" i="12"/>
  <c r="E286" i="9"/>
  <c r="G290" i="9" l="1"/>
  <c r="I290" i="9" s="1"/>
  <c r="C288" i="9"/>
  <c r="C289" i="9" s="1"/>
  <c r="C290" i="9" s="1"/>
  <c r="C291" i="9" s="1"/>
  <c r="C292" i="9" s="1"/>
  <c r="C293" i="9" s="1"/>
  <c r="H290" i="9"/>
  <c r="G293" i="9"/>
  <c r="AS49" i="2"/>
  <c r="AS50" i="2" s="1"/>
  <c r="AS51" i="2" s="1"/>
  <c r="AS52" i="2" s="1"/>
  <c r="AS53" i="2" s="1"/>
  <c r="AS54" i="2" s="1"/>
  <c r="AS88" i="2"/>
  <c r="AS59" i="2"/>
  <c r="AS57" i="2"/>
  <c r="AS87" i="2"/>
  <c r="AS85" i="2"/>
  <c r="AS76" i="2"/>
  <c r="AS78" i="2"/>
  <c r="AS83" i="2"/>
  <c r="AS81" i="2"/>
  <c r="AS72" i="2"/>
  <c r="AS74" i="2"/>
  <c r="AS71" i="2"/>
  <c r="AS69" i="2"/>
  <c r="AS60" i="2"/>
  <c r="AS62" i="2"/>
  <c r="AS67" i="2"/>
  <c r="AS65" i="2"/>
  <c r="G292" i="9"/>
  <c r="G288" i="9"/>
  <c r="G289" i="9"/>
  <c r="G291" i="9"/>
  <c r="AS56" i="2"/>
  <c r="AS58" i="2"/>
  <c r="AS84" i="2"/>
  <c r="AS86" i="2"/>
  <c r="AS79" i="2"/>
  <c r="AS77" i="2"/>
  <c r="AS80" i="2"/>
  <c r="AS82" i="2"/>
  <c r="AS75" i="2"/>
  <c r="AS73" i="2"/>
  <c r="AS68" i="2"/>
  <c r="AS70" i="2"/>
  <c r="AS55" i="2"/>
  <c r="AS63" i="2"/>
  <c r="AS61" i="2"/>
  <c r="AS64" i="2"/>
  <c r="F290" i="9" l="1"/>
  <c r="K290" i="9" s="1"/>
  <c r="H291" i="9"/>
  <c r="I291" i="9"/>
  <c r="F291" i="9"/>
  <c r="H289" i="9"/>
  <c r="F289" i="9"/>
  <c r="I289" i="9"/>
  <c r="H293" i="9"/>
  <c r="F293" i="9"/>
  <c r="I293" i="9"/>
  <c r="I288" i="9"/>
  <c r="F288" i="9"/>
  <c r="H288" i="9"/>
  <c r="H292" i="9"/>
  <c r="F292" i="9"/>
  <c r="I292" i="9"/>
  <c r="AS89" i="2"/>
  <c r="J290" i="9" l="1"/>
  <c r="J291" i="9"/>
  <c r="K288" i="9"/>
  <c r="K291" i="9"/>
  <c r="J288" i="9"/>
  <c r="J289" i="9"/>
  <c r="K289" i="9"/>
  <c r="K293" i="9"/>
  <c r="K292" i="9"/>
  <c r="K286" i="9"/>
  <c r="C21" i="16" s="1"/>
  <c r="C27" i="16" s="1"/>
  <c r="J293" i="9"/>
  <c r="J292" i="9"/>
  <c r="K294" i="9" l="1"/>
  <c r="E21" i="16" s="1"/>
  <c r="E27" i="16" s="1"/>
  <c r="J294" i="9"/>
  <c r="D21" i="16" s="1"/>
  <c r="D27" i="16" s="1"/>
  <c r="W2" i="16" l="1"/>
  <c r="U2" i="9" s="1"/>
  <c r="Z6" i="16"/>
  <c r="O2" i="16" s="1"/>
  <c r="K2" i="9" s="1"/>
  <c r="K2" i="16"/>
  <c r="D2" i="18" s="1"/>
  <c r="Z4" i="16"/>
  <c r="C20" i="18"/>
  <c r="F21" i="16"/>
  <c r="F27" i="16"/>
  <c r="AH7" i="28"/>
  <c r="AH43" i="28" l="1"/>
  <c r="AH44" i="28"/>
  <c r="AH45" i="28"/>
  <c r="AH46" i="28"/>
  <c r="AH47" i="28"/>
  <c r="AH42" i="28"/>
  <c r="AH21" i="28"/>
  <c r="AH10" i="28"/>
  <c r="AH11" i="28"/>
  <c r="AH12" i="28"/>
  <c r="AH13" i="28"/>
  <c r="AH14" i="28"/>
  <c r="AH15" i="28"/>
  <c r="AH16" i="28"/>
  <c r="AH17" i="28"/>
  <c r="AH18" i="28"/>
  <c r="AH19" i="28"/>
  <c r="AH20" i="28"/>
  <c r="AH22" i="28"/>
  <c r="AH23" i="28"/>
  <c r="AH24" i="28"/>
  <c r="AH25" i="28"/>
  <c r="AH26" i="28"/>
  <c r="AH27" i="28"/>
  <c r="AH28" i="28"/>
  <c r="AH29" i="28"/>
  <c r="AH30" i="28"/>
  <c r="AH31" i="28"/>
  <c r="AH32" i="28"/>
  <c r="AH33" i="28"/>
  <c r="AH34" i="28"/>
  <c r="AH35" i="28"/>
  <c r="AH36" i="28"/>
  <c r="AH37" i="28"/>
  <c r="AH38" i="28"/>
  <c r="AH39" i="28"/>
  <c r="AH40" i="28"/>
  <c r="AH41" i="28"/>
  <c r="AH48" i="28"/>
  <c r="AH49" i="28"/>
  <c r="AH50" i="28"/>
  <c r="AH51" i="28"/>
  <c r="AH52" i="28"/>
  <c r="AH53" i="28"/>
  <c r="AH54" i="28"/>
  <c r="AH55" i="28"/>
  <c r="AH56" i="28"/>
  <c r="AH57" i="28"/>
  <c r="AH58" i="28"/>
  <c r="AH59" i="28"/>
  <c r="AH60" i="28"/>
  <c r="AH61" i="28"/>
  <c r="AH62" i="28"/>
  <c r="AH63" i="28"/>
  <c r="AH64" i="28"/>
  <c r="AH65" i="28"/>
  <c r="AH66" i="28"/>
  <c r="AH67" i="28"/>
  <c r="AH68" i="28"/>
  <c r="AH69" i="28"/>
  <c r="AH70" i="28"/>
  <c r="AH71" i="28"/>
  <c r="AH8" i="28"/>
  <c r="AH9" i="28"/>
  <c r="F2" i="9"/>
  <c r="AI7" i="28"/>
  <c r="AH6" i="28" l="1"/>
  <c r="AI43" i="28"/>
  <c r="AI44" i="28"/>
  <c r="AI45" i="28"/>
  <c r="AI46" i="28"/>
  <c r="AI47" i="28"/>
  <c r="AI42" i="28"/>
  <c r="AI21" i="28"/>
  <c r="AI10" i="28"/>
  <c r="AI11" i="28"/>
  <c r="AI12" i="28"/>
  <c r="AI13" i="28"/>
  <c r="AI14" i="28"/>
  <c r="AI15" i="28"/>
  <c r="AI16" i="28"/>
  <c r="AI17" i="28"/>
  <c r="AI18" i="28"/>
  <c r="AI19" i="28"/>
  <c r="AI20" i="28"/>
  <c r="AI22" i="28"/>
  <c r="AI23" i="28"/>
  <c r="AI24" i="28"/>
  <c r="AI25" i="28"/>
  <c r="AI26" i="28"/>
  <c r="AI27" i="28"/>
  <c r="AI28" i="28"/>
  <c r="AI29" i="28"/>
  <c r="AI30" i="28"/>
  <c r="AI31" i="28"/>
  <c r="AI32" i="28"/>
  <c r="AI33" i="28"/>
  <c r="AI34" i="28"/>
  <c r="AI35" i="28"/>
  <c r="AI36" i="28"/>
  <c r="AI37" i="28"/>
  <c r="AI38" i="28"/>
  <c r="AI39" i="28"/>
  <c r="AI40" i="28"/>
  <c r="AI41" i="28"/>
  <c r="AI48" i="28"/>
  <c r="AI49" i="28"/>
  <c r="AI50" i="28"/>
  <c r="AI51" i="28"/>
  <c r="AI52" i="28"/>
  <c r="AI53" i="28"/>
  <c r="AI54" i="28"/>
  <c r="AI55" i="28"/>
  <c r="AI56" i="28"/>
  <c r="AI57" i="28"/>
  <c r="AI58" i="28"/>
  <c r="AI59" i="28"/>
  <c r="AI60" i="28"/>
  <c r="AI61" i="28"/>
  <c r="AI62" i="28"/>
  <c r="AI63" i="28"/>
  <c r="AI64" i="28"/>
  <c r="AI65" i="28"/>
  <c r="AI66" i="28"/>
  <c r="AI67" i="28"/>
  <c r="AI68" i="28"/>
  <c r="AI69" i="28"/>
  <c r="AI70" i="28"/>
  <c r="AI71" i="28"/>
  <c r="AI9" i="28"/>
  <c r="AI8" i="28"/>
  <c r="AJ7" i="28"/>
  <c r="AI6" i="28" l="1"/>
  <c r="AJ43" i="28"/>
  <c r="AJ44" i="28"/>
  <c r="AJ45" i="28"/>
  <c r="AJ46" i="28"/>
  <c r="AJ47" i="28"/>
  <c r="AJ42" i="28"/>
  <c r="AJ21" i="28"/>
  <c r="AJ10" i="28"/>
  <c r="AJ11" i="28"/>
  <c r="AJ12" i="28"/>
  <c r="AJ13" i="28"/>
  <c r="AJ14" i="28"/>
  <c r="AJ15" i="28"/>
  <c r="AJ16" i="28"/>
  <c r="AJ17" i="28"/>
  <c r="AJ18" i="28"/>
  <c r="AJ19" i="28"/>
  <c r="AJ20" i="28"/>
  <c r="AJ22" i="28"/>
  <c r="AJ23" i="28"/>
  <c r="AJ24" i="28"/>
  <c r="AJ25" i="28"/>
  <c r="AJ26" i="28"/>
  <c r="AJ27" i="28"/>
  <c r="AJ28" i="28"/>
  <c r="AJ29" i="28"/>
  <c r="AJ30" i="28"/>
  <c r="AJ31" i="28"/>
  <c r="AJ32" i="28"/>
  <c r="AJ33" i="28"/>
  <c r="AJ34" i="28"/>
  <c r="AJ35" i="28"/>
  <c r="AJ36" i="28"/>
  <c r="AJ37" i="28"/>
  <c r="AJ38" i="28"/>
  <c r="AJ39" i="28"/>
  <c r="AJ40" i="28"/>
  <c r="AJ41" i="28"/>
  <c r="AJ48" i="28"/>
  <c r="AJ49" i="28"/>
  <c r="AJ50" i="28"/>
  <c r="AJ51" i="28"/>
  <c r="AJ52" i="28"/>
  <c r="AJ53" i="28"/>
  <c r="AJ54" i="28"/>
  <c r="AJ55" i="28"/>
  <c r="AJ56" i="28"/>
  <c r="AJ57" i="28"/>
  <c r="AJ58" i="28"/>
  <c r="AJ59" i="28"/>
  <c r="AJ60" i="28"/>
  <c r="AJ61" i="28"/>
  <c r="AJ62" i="28"/>
  <c r="AJ63" i="28"/>
  <c r="AJ64" i="28"/>
  <c r="AJ65" i="28"/>
  <c r="AJ66" i="28"/>
  <c r="AJ67" i="28"/>
  <c r="AJ68" i="28"/>
  <c r="AJ69" i="28"/>
  <c r="AJ70" i="28"/>
  <c r="AJ71" i="28"/>
  <c r="AJ9" i="28"/>
  <c r="AJ8" i="28"/>
  <c r="AK7" i="28"/>
  <c r="AJ6" i="28" l="1"/>
  <c r="AK43" i="28"/>
  <c r="AK44" i="28"/>
  <c r="AK45" i="28"/>
  <c r="AK46" i="28"/>
  <c r="AK47" i="28"/>
  <c r="AK42" i="28"/>
  <c r="AK21" i="28"/>
  <c r="AK10" i="28"/>
  <c r="AK11" i="28"/>
  <c r="AK12" i="28"/>
  <c r="AK13" i="28"/>
  <c r="AK14" i="28"/>
  <c r="AK15" i="28"/>
  <c r="AK16" i="28"/>
  <c r="AK17" i="28"/>
  <c r="AK18" i="28"/>
  <c r="AK19" i="28"/>
  <c r="AK20" i="28"/>
  <c r="AK22" i="28"/>
  <c r="AK23" i="28"/>
  <c r="AK24" i="28"/>
  <c r="AK25" i="28"/>
  <c r="AK26" i="28"/>
  <c r="AK27" i="28"/>
  <c r="AK28" i="28"/>
  <c r="AK29" i="28"/>
  <c r="AK30" i="28"/>
  <c r="AK31" i="28"/>
  <c r="AK32" i="28"/>
  <c r="AK33" i="28"/>
  <c r="AK34" i="28"/>
  <c r="AK35" i="28"/>
  <c r="AK36" i="28"/>
  <c r="AK37" i="28"/>
  <c r="AK38" i="28"/>
  <c r="AK39" i="28"/>
  <c r="AK40" i="28"/>
  <c r="AK41" i="28"/>
  <c r="AK48" i="28"/>
  <c r="AK49" i="28"/>
  <c r="AK50" i="28"/>
  <c r="AK51" i="28"/>
  <c r="AK52" i="28"/>
  <c r="AK53" i="28"/>
  <c r="AK54" i="28"/>
  <c r="AK55" i="28"/>
  <c r="AK56" i="28"/>
  <c r="AK57" i="28"/>
  <c r="AK58" i="28"/>
  <c r="AK59" i="28"/>
  <c r="AK60" i="28"/>
  <c r="AK61" i="28"/>
  <c r="AK62" i="28"/>
  <c r="AK63" i="28"/>
  <c r="AK64" i="28"/>
  <c r="AK65" i="28"/>
  <c r="AK66" i="28"/>
  <c r="AK67" i="28"/>
  <c r="AK68" i="28"/>
  <c r="AK69" i="28"/>
  <c r="AK70" i="28"/>
  <c r="AK71" i="28"/>
  <c r="AK9" i="28"/>
  <c r="AK8" i="28"/>
  <c r="AL7" i="28"/>
  <c r="AK6" i="28" l="1"/>
  <c r="AL43" i="28"/>
  <c r="AL44" i="28"/>
  <c r="AL45" i="28"/>
  <c r="AL46" i="28"/>
  <c r="AL47" i="28"/>
  <c r="AL42" i="28"/>
  <c r="AL21" i="28"/>
  <c r="AL10" i="28"/>
  <c r="AL11" i="28"/>
  <c r="AL12" i="28"/>
  <c r="AL13" i="28"/>
  <c r="AL14" i="28"/>
  <c r="AL15" i="28"/>
  <c r="AL16" i="28"/>
  <c r="AL17" i="28"/>
  <c r="AL18" i="28"/>
  <c r="AL19" i="28"/>
  <c r="AL20" i="28"/>
  <c r="AL22" i="28"/>
  <c r="AL23" i="28"/>
  <c r="AL24" i="28"/>
  <c r="AL25" i="28"/>
  <c r="AL26" i="28"/>
  <c r="AL27" i="28"/>
  <c r="AL28" i="28"/>
  <c r="AL29" i="28"/>
  <c r="AL30" i="28"/>
  <c r="AL31" i="28"/>
  <c r="AL32" i="28"/>
  <c r="AL33" i="28"/>
  <c r="AL34" i="28"/>
  <c r="AL35" i="28"/>
  <c r="AL36" i="28"/>
  <c r="AL37" i="28"/>
  <c r="AL38" i="28"/>
  <c r="AL39" i="28"/>
  <c r="AL40" i="28"/>
  <c r="AL41" i="28"/>
  <c r="AL48" i="28"/>
  <c r="AL49" i="28"/>
  <c r="AL50" i="28"/>
  <c r="AL51" i="28"/>
  <c r="AL52" i="28"/>
  <c r="AL53" i="28"/>
  <c r="AL54" i="28"/>
  <c r="AL55" i="28"/>
  <c r="AL56" i="28"/>
  <c r="AL57" i="28"/>
  <c r="AL58" i="28"/>
  <c r="AL59" i="28"/>
  <c r="AL60" i="28"/>
  <c r="AL61" i="28"/>
  <c r="AL62" i="28"/>
  <c r="AL63" i="28"/>
  <c r="AL64" i="28"/>
  <c r="AL65" i="28"/>
  <c r="AL66" i="28"/>
  <c r="AL67" i="28"/>
  <c r="AL68" i="28"/>
  <c r="AL69" i="28"/>
  <c r="AL70" i="28"/>
  <c r="AL71" i="28"/>
  <c r="AL8" i="28"/>
  <c r="AL9" i="28"/>
  <c r="AM7" i="28"/>
  <c r="AL6" i="28" l="1"/>
  <c r="AM43" i="28"/>
  <c r="AM44" i="28"/>
  <c r="AM45" i="28"/>
  <c r="AM46" i="28"/>
  <c r="AM47" i="28"/>
  <c r="AM42" i="28"/>
  <c r="AM21" i="28"/>
  <c r="AM10" i="28"/>
  <c r="AM11" i="28"/>
  <c r="AM12" i="28"/>
  <c r="AM13" i="28"/>
  <c r="AM14" i="28"/>
  <c r="AM15" i="28"/>
  <c r="AM16" i="28"/>
  <c r="AM17" i="28"/>
  <c r="AM18" i="28"/>
  <c r="AM19" i="28"/>
  <c r="AM20" i="28"/>
  <c r="AM22" i="28"/>
  <c r="AM23" i="28"/>
  <c r="AM24" i="28"/>
  <c r="AM25" i="28"/>
  <c r="AM26" i="28"/>
  <c r="AM27" i="28"/>
  <c r="AM28" i="28"/>
  <c r="AM29" i="28"/>
  <c r="AM30" i="28"/>
  <c r="AM31" i="28"/>
  <c r="AM32" i="28"/>
  <c r="AM33" i="28"/>
  <c r="AM34" i="28"/>
  <c r="AM35" i="28"/>
  <c r="AM36" i="28"/>
  <c r="AM37" i="28"/>
  <c r="AM38" i="28"/>
  <c r="AM39" i="28"/>
  <c r="AM40" i="28"/>
  <c r="AM41" i="28"/>
  <c r="AM48" i="28"/>
  <c r="AM49" i="28"/>
  <c r="AM50" i="28"/>
  <c r="AM51" i="28"/>
  <c r="AM52" i="28"/>
  <c r="AM53" i="28"/>
  <c r="AM54" i="28"/>
  <c r="AM55" i="28"/>
  <c r="AM56" i="28"/>
  <c r="AM57" i="28"/>
  <c r="AM58" i="28"/>
  <c r="AM59" i="28"/>
  <c r="AM60" i="28"/>
  <c r="AM61" i="28"/>
  <c r="AM8" i="28"/>
  <c r="AM62" i="28"/>
  <c r="AM63" i="28"/>
  <c r="AM64" i="28"/>
  <c r="AM65" i="28"/>
  <c r="AM66" i="28"/>
  <c r="AM67" i="28"/>
  <c r="AM68" i="28"/>
  <c r="AM69" i="28"/>
  <c r="AM70" i="28"/>
  <c r="AM71" i="28"/>
  <c r="AM9" i="28"/>
  <c r="AN7" i="28"/>
  <c r="AM6" i="28" l="1"/>
  <c r="AN43" i="28"/>
  <c r="AN44" i="28"/>
  <c r="AN45" i="28"/>
  <c r="AN46" i="28"/>
  <c r="AN47" i="28"/>
  <c r="AN42" i="28"/>
  <c r="AN21" i="28"/>
  <c r="AN10" i="28"/>
  <c r="AN11" i="28"/>
  <c r="AN12" i="28"/>
  <c r="AN13" i="28"/>
  <c r="AN14" i="28"/>
  <c r="AN15" i="28"/>
  <c r="AN16" i="28"/>
  <c r="AN17" i="28"/>
  <c r="AN18" i="28"/>
  <c r="AN19" i="28"/>
  <c r="AN20" i="28"/>
  <c r="AN22" i="28"/>
  <c r="AN23" i="28"/>
  <c r="AN24" i="28"/>
  <c r="AN25" i="28"/>
  <c r="AN26" i="28"/>
  <c r="AN27" i="28"/>
  <c r="AN28" i="28"/>
  <c r="AN29" i="28"/>
  <c r="AN30" i="28"/>
  <c r="AN31" i="28"/>
  <c r="AN32" i="28"/>
  <c r="AN33" i="28"/>
  <c r="AN34" i="28"/>
  <c r="AN35" i="28"/>
  <c r="AN36" i="28"/>
  <c r="AN37" i="28"/>
  <c r="AN38" i="28"/>
  <c r="AN39" i="28"/>
  <c r="AN40" i="28"/>
  <c r="AN41" i="28"/>
  <c r="AN48" i="28"/>
  <c r="AN49" i="28"/>
  <c r="AN50" i="28"/>
  <c r="AN51" i="28"/>
  <c r="AN52" i="28"/>
  <c r="AN53" i="28"/>
  <c r="AN54" i="28"/>
  <c r="AN55" i="28"/>
  <c r="AN56" i="28"/>
  <c r="AN57" i="28"/>
  <c r="AN58" i="28"/>
  <c r="AN59" i="28"/>
  <c r="AN60" i="28"/>
  <c r="AN61" i="28"/>
  <c r="AN62" i="28"/>
  <c r="AN63" i="28"/>
  <c r="AN64" i="28"/>
  <c r="AN65" i="28"/>
  <c r="AN66" i="28"/>
  <c r="AN67" i="28"/>
  <c r="AN68" i="28"/>
  <c r="AN69" i="28"/>
  <c r="AN70" i="28"/>
  <c r="AN71" i="28"/>
  <c r="AN9" i="28"/>
  <c r="AN8" i="28"/>
  <c r="AO7" i="28"/>
  <c r="AN6" i="28" l="1"/>
  <c r="AO43" i="28"/>
  <c r="AO44" i="28"/>
  <c r="AO45" i="28"/>
  <c r="AO46" i="28"/>
  <c r="AO47" i="28"/>
  <c r="AO42" i="28"/>
  <c r="AO21" i="28"/>
  <c r="AO10" i="28"/>
  <c r="AO11" i="28"/>
  <c r="AO12" i="28"/>
  <c r="AO13" i="28"/>
  <c r="AO14" i="28"/>
  <c r="AO15" i="28"/>
  <c r="AO16" i="28"/>
  <c r="AO17" i="28"/>
  <c r="AO18" i="28"/>
  <c r="AO19" i="28"/>
  <c r="AO20" i="28"/>
  <c r="AO22" i="28"/>
  <c r="AO23" i="28"/>
  <c r="AO24" i="28"/>
  <c r="AO25" i="28"/>
  <c r="AO26" i="28"/>
  <c r="AO27" i="28"/>
  <c r="AO28" i="28"/>
  <c r="AO29" i="28"/>
  <c r="AO30" i="28"/>
  <c r="AO31" i="28"/>
  <c r="AO32" i="28"/>
  <c r="AO33" i="28"/>
  <c r="AO34" i="28"/>
  <c r="AO35" i="28"/>
  <c r="AO36" i="28"/>
  <c r="AO37" i="28"/>
  <c r="AO38" i="28"/>
  <c r="AO39" i="28"/>
  <c r="AO40" i="28"/>
  <c r="AO41" i="28"/>
  <c r="AO48" i="28"/>
  <c r="AO49" i="28"/>
  <c r="AO50" i="28"/>
  <c r="AO51" i="28"/>
  <c r="AO52" i="28"/>
  <c r="AO53" i="28"/>
  <c r="AO54" i="28"/>
  <c r="AO55" i="28"/>
  <c r="AO56" i="28"/>
  <c r="AO57" i="28"/>
  <c r="AO58" i="28"/>
  <c r="AO59" i="28"/>
  <c r="AO60" i="28"/>
  <c r="AO61" i="28"/>
  <c r="AO62" i="28"/>
  <c r="AO63" i="28"/>
  <c r="AO64" i="28"/>
  <c r="AO65" i="28"/>
  <c r="AO66" i="28"/>
  <c r="AO67" i="28"/>
  <c r="AO68" i="28"/>
  <c r="AO69" i="28"/>
  <c r="AO70" i="28"/>
  <c r="AO71" i="28"/>
  <c r="AO9" i="28"/>
  <c r="AO8" i="28"/>
  <c r="AP7" i="28"/>
  <c r="AO6" i="28" l="1"/>
  <c r="AP43" i="28"/>
  <c r="AP44" i="28"/>
  <c r="AP45" i="28"/>
  <c r="AP46" i="28"/>
  <c r="AP47" i="28"/>
  <c r="AP42" i="28"/>
  <c r="AP21" i="28"/>
  <c r="AP10" i="28"/>
  <c r="AP11" i="28"/>
  <c r="AP12" i="28"/>
  <c r="AP13" i="28"/>
  <c r="AP14" i="28"/>
  <c r="AP15" i="28"/>
  <c r="AP16" i="28"/>
  <c r="AP17" i="28"/>
  <c r="AP18" i="28"/>
  <c r="AP19" i="28"/>
  <c r="AP20" i="28"/>
  <c r="AP22" i="28"/>
  <c r="AP23" i="28"/>
  <c r="AP24" i="28"/>
  <c r="AP25" i="28"/>
  <c r="AP26" i="28"/>
  <c r="AP27" i="28"/>
  <c r="AP28" i="28"/>
  <c r="AP29" i="28"/>
  <c r="AP30" i="28"/>
  <c r="AP31" i="28"/>
  <c r="AP32" i="28"/>
  <c r="AP33" i="28"/>
  <c r="AP34" i="28"/>
  <c r="AP35" i="28"/>
  <c r="AP36" i="28"/>
  <c r="AP37" i="28"/>
  <c r="AP38" i="28"/>
  <c r="AP39" i="28"/>
  <c r="AP40" i="28"/>
  <c r="AP41" i="28"/>
  <c r="AP48" i="28"/>
  <c r="AP49" i="28"/>
  <c r="AP50" i="28"/>
  <c r="AP51" i="28"/>
  <c r="AP52" i="28"/>
  <c r="AP53" i="28"/>
  <c r="AP54" i="28"/>
  <c r="AP55" i="28"/>
  <c r="AP56" i="28"/>
  <c r="AP57" i="28"/>
  <c r="AP58" i="28"/>
  <c r="AP59" i="28"/>
  <c r="AP60" i="28"/>
  <c r="AP61" i="28"/>
  <c r="AP62" i="28"/>
  <c r="AP63" i="28"/>
  <c r="AP64" i="28"/>
  <c r="AP65" i="28"/>
  <c r="AP66" i="28"/>
  <c r="AP67" i="28"/>
  <c r="AP68" i="28"/>
  <c r="AP69" i="28"/>
  <c r="AP70" i="28"/>
  <c r="AP71" i="28"/>
  <c r="AP8" i="28"/>
  <c r="AP9" i="28"/>
  <c r="AQ7" i="28"/>
  <c r="AP6" i="28" l="1"/>
  <c r="AQ43" i="28"/>
  <c r="AQ44" i="28"/>
  <c r="AQ45" i="28"/>
  <c r="AQ46" i="28"/>
  <c r="AQ47" i="28"/>
  <c r="AQ42" i="28"/>
  <c r="AQ21" i="28"/>
  <c r="AQ10" i="28"/>
  <c r="AQ11" i="28"/>
  <c r="AQ12" i="28"/>
  <c r="AQ13" i="28"/>
  <c r="AQ14" i="28"/>
  <c r="AQ15" i="28"/>
  <c r="AQ16" i="28"/>
  <c r="AQ17" i="28"/>
  <c r="AQ18" i="28"/>
  <c r="AQ19" i="28"/>
  <c r="AQ20" i="28"/>
  <c r="AQ22" i="28"/>
  <c r="AQ23" i="28"/>
  <c r="AQ24" i="28"/>
  <c r="AQ25" i="28"/>
  <c r="AQ26" i="28"/>
  <c r="AQ27" i="28"/>
  <c r="AQ28" i="28"/>
  <c r="AQ29" i="28"/>
  <c r="AQ30" i="28"/>
  <c r="AQ31" i="28"/>
  <c r="AQ32" i="28"/>
  <c r="AQ33" i="28"/>
  <c r="AQ34" i="28"/>
  <c r="AQ35" i="28"/>
  <c r="AQ36" i="28"/>
  <c r="AQ37" i="28"/>
  <c r="AQ38" i="28"/>
  <c r="AQ39" i="28"/>
  <c r="AQ40" i="28"/>
  <c r="AQ41" i="28"/>
  <c r="AQ48" i="28"/>
  <c r="AQ49" i="28"/>
  <c r="AQ50" i="28"/>
  <c r="AQ51" i="28"/>
  <c r="AQ52" i="28"/>
  <c r="AQ53" i="28"/>
  <c r="AQ54" i="28"/>
  <c r="AQ55" i="28"/>
  <c r="AQ56" i="28"/>
  <c r="AQ57" i="28"/>
  <c r="AQ58" i="28"/>
  <c r="AQ59" i="28"/>
  <c r="AQ60" i="28"/>
  <c r="AQ61" i="28"/>
  <c r="AQ8" i="28"/>
  <c r="AQ62" i="28"/>
  <c r="AQ63" i="28"/>
  <c r="AQ64" i="28"/>
  <c r="AQ65" i="28"/>
  <c r="AQ66" i="28"/>
  <c r="AQ67" i="28"/>
  <c r="AQ68" i="28"/>
  <c r="AQ69" i="28"/>
  <c r="AQ70" i="28"/>
  <c r="AQ71" i="28"/>
  <c r="AQ9" i="28"/>
  <c r="AR7" i="28"/>
  <c r="AQ6" i="28" l="1"/>
  <c r="AR43" i="28"/>
  <c r="AR44" i="28"/>
  <c r="AR45" i="28"/>
  <c r="AR46" i="28"/>
  <c r="AR47" i="28"/>
  <c r="AR42" i="28"/>
  <c r="AR21" i="28"/>
  <c r="AR10" i="28"/>
  <c r="AR11" i="28"/>
  <c r="AR12" i="28"/>
  <c r="AR13" i="28"/>
  <c r="AR14" i="28"/>
  <c r="AR15" i="28"/>
  <c r="AR16" i="28"/>
  <c r="AR17" i="28"/>
  <c r="AR18" i="28"/>
  <c r="AR19" i="28"/>
  <c r="AR20" i="28"/>
  <c r="AR22" i="28"/>
  <c r="AR23" i="28"/>
  <c r="AR24" i="28"/>
  <c r="AR25" i="28"/>
  <c r="AR26" i="28"/>
  <c r="AR27" i="28"/>
  <c r="AR28" i="28"/>
  <c r="AR29" i="28"/>
  <c r="AR30" i="28"/>
  <c r="AR31" i="28"/>
  <c r="AR32" i="28"/>
  <c r="AR33" i="28"/>
  <c r="AR34" i="28"/>
  <c r="AR35" i="28"/>
  <c r="AR36" i="28"/>
  <c r="AR37" i="28"/>
  <c r="AR38" i="28"/>
  <c r="AR39" i="28"/>
  <c r="AR40" i="28"/>
  <c r="AR41" i="28"/>
  <c r="AR48" i="28"/>
  <c r="AR49" i="28"/>
  <c r="AR50" i="28"/>
  <c r="AR51" i="28"/>
  <c r="AR52" i="28"/>
  <c r="AR53" i="28"/>
  <c r="AR54" i="28"/>
  <c r="AR55" i="28"/>
  <c r="AR56" i="28"/>
  <c r="AR57" i="28"/>
  <c r="AR58" i="28"/>
  <c r="AR59" i="28"/>
  <c r="AR60" i="28"/>
  <c r="AR61" i="28"/>
  <c r="AR62" i="28"/>
  <c r="AR63" i="28"/>
  <c r="AR64" i="28"/>
  <c r="AR65" i="28"/>
  <c r="AR66" i="28"/>
  <c r="AR67" i="28"/>
  <c r="AR68" i="28"/>
  <c r="AR69" i="28"/>
  <c r="AR70" i="28"/>
  <c r="AR71" i="28"/>
  <c r="AR9" i="28"/>
  <c r="AR8" i="28"/>
  <c r="AS7" i="28"/>
  <c r="AR6" i="28" l="1"/>
  <c r="AS43" i="28"/>
  <c r="AS44" i="28"/>
  <c r="AS45" i="28"/>
  <c r="AS46" i="28"/>
  <c r="AS47" i="28"/>
  <c r="AS42" i="28"/>
  <c r="AS21" i="28"/>
  <c r="AS10" i="28"/>
  <c r="AS11" i="28"/>
  <c r="AS12" i="28"/>
  <c r="AS13" i="28"/>
  <c r="AS14" i="28"/>
  <c r="AS15" i="28"/>
  <c r="AS16" i="28"/>
  <c r="AS17" i="28"/>
  <c r="AS18" i="28"/>
  <c r="AS19" i="28"/>
  <c r="AS20" i="28"/>
  <c r="AS22" i="28"/>
  <c r="AS23" i="28"/>
  <c r="AS24" i="28"/>
  <c r="AS25" i="28"/>
  <c r="AS26" i="28"/>
  <c r="AS27" i="28"/>
  <c r="AS28" i="28"/>
  <c r="AS29" i="28"/>
  <c r="AS30" i="28"/>
  <c r="AS31" i="28"/>
  <c r="AS32" i="28"/>
  <c r="AS33" i="28"/>
  <c r="AS34" i="28"/>
  <c r="AS35" i="28"/>
  <c r="AS36" i="28"/>
  <c r="AS37" i="28"/>
  <c r="AS38" i="28"/>
  <c r="AS39" i="28"/>
  <c r="AS40" i="28"/>
  <c r="AS41" i="28"/>
  <c r="AS48" i="28"/>
  <c r="AS49" i="28"/>
  <c r="AS50" i="28"/>
  <c r="AS51" i="28"/>
  <c r="AS52" i="28"/>
  <c r="AS53" i="28"/>
  <c r="AS54" i="28"/>
  <c r="AS55" i="28"/>
  <c r="AS56" i="28"/>
  <c r="AS57" i="28"/>
  <c r="AS58" i="28"/>
  <c r="AS59" i="28"/>
  <c r="AS60" i="28"/>
  <c r="AS61" i="28"/>
  <c r="AS62" i="28"/>
  <c r="AS63" i="28"/>
  <c r="AS64" i="28"/>
  <c r="AS65" i="28"/>
  <c r="AS66" i="28"/>
  <c r="AS67" i="28"/>
  <c r="AS68" i="28"/>
  <c r="AS69" i="28"/>
  <c r="AS70" i="28"/>
  <c r="AS71" i="28"/>
  <c r="AS9" i="28"/>
  <c r="AS8" i="28"/>
  <c r="AT7" i="28"/>
  <c r="AS6" i="28" l="1"/>
  <c r="AT43" i="28"/>
  <c r="AT44" i="28"/>
  <c r="AT45" i="28"/>
  <c r="AT46" i="28"/>
  <c r="AT47" i="28"/>
  <c r="AT42" i="28"/>
  <c r="AT21" i="28"/>
  <c r="AT10" i="28"/>
  <c r="AT11" i="28"/>
  <c r="AT12" i="28"/>
  <c r="AT13" i="28"/>
  <c r="AT14" i="28"/>
  <c r="AT15" i="28"/>
  <c r="AT16" i="28"/>
  <c r="AT17" i="28"/>
  <c r="AT18" i="28"/>
  <c r="AT19" i="28"/>
  <c r="AT20" i="28"/>
  <c r="AT22" i="28"/>
  <c r="AT23" i="28"/>
  <c r="AT24" i="28"/>
  <c r="AT25" i="28"/>
  <c r="AT26" i="28"/>
  <c r="AT27" i="28"/>
  <c r="AT28" i="28"/>
  <c r="AT29" i="28"/>
  <c r="AT30" i="28"/>
  <c r="AT31" i="28"/>
  <c r="AT32" i="28"/>
  <c r="AT33" i="28"/>
  <c r="AT34" i="28"/>
  <c r="AT35" i="28"/>
  <c r="AT36" i="28"/>
  <c r="AT37" i="28"/>
  <c r="AT38" i="28"/>
  <c r="AT39" i="28"/>
  <c r="AT40" i="28"/>
  <c r="AT41" i="28"/>
  <c r="AT48" i="28"/>
  <c r="AT49" i="28"/>
  <c r="AT50" i="28"/>
  <c r="AT51" i="28"/>
  <c r="AT52" i="28"/>
  <c r="AT53" i="28"/>
  <c r="AT54" i="28"/>
  <c r="AT55" i="28"/>
  <c r="AT56" i="28"/>
  <c r="AT57" i="28"/>
  <c r="AT58" i="28"/>
  <c r="AT59" i="28"/>
  <c r="AT60" i="28"/>
  <c r="AT61" i="28"/>
  <c r="AT62" i="28"/>
  <c r="AT63" i="28"/>
  <c r="AT64" i="28"/>
  <c r="AT65" i="28"/>
  <c r="AT66" i="28"/>
  <c r="AT67" i="28"/>
  <c r="AT68" i="28"/>
  <c r="AT69" i="28"/>
  <c r="AT70" i="28"/>
  <c r="AT71" i="28"/>
  <c r="AT8" i="28"/>
  <c r="AT9" i="28"/>
  <c r="AU7" i="28"/>
  <c r="AT6" i="28" l="1"/>
  <c r="AU43" i="28"/>
  <c r="AU44" i="28"/>
  <c r="AU45" i="28"/>
  <c r="AU46" i="28"/>
  <c r="AU47" i="28"/>
  <c r="AU42" i="28"/>
  <c r="AU21" i="28"/>
  <c r="AU10" i="28"/>
  <c r="AU11" i="28"/>
  <c r="AU12" i="28"/>
  <c r="AU13" i="28"/>
  <c r="AU14" i="28"/>
  <c r="AU15" i="28"/>
  <c r="AU16" i="28"/>
  <c r="AU17" i="28"/>
  <c r="AU18" i="28"/>
  <c r="AU19" i="28"/>
  <c r="AU20" i="28"/>
  <c r="AU22" i="28"/>
  <c r="AU23" i="28"/>
  <c r="AU24" i="28"/>
  <c r="AU25" i="28"/>
  <c r="AU26" i="28"/>
  <c r="AU27" i="28"/>
  <c r="AU28" i="28"/>
  <c r="AU29" i="28"/>
  <c r="AU30" i="28"/>
  <c r="AU31" i="28"/>
  <c r="AU32" i="28"/>
  <c r="AU33" i="28"/>
  <c r="AU34" i="28"/>
  <c r="AU35" i="28"/>
  <c r="AU36" i="28"/>
  <c r="AU37" i="28"/>
  <c r="AU38" i="28"/>
  <c r="AU39" i="28"/>
  <c r="AU40" i="28"/>
  <c r="AU41" i="28"/>
  <c r="AU48" i="28"/>
  <c r="AU49" i="28"/>
  <c r="AU50" i="28"/>
  <c r="AU51" i="28"/>
  <c r="AU52" i="28"/>
  <c r="AU53" i="28"/>
  <c r="AU54" i="28"/>
  <c r="AU55" i="28"/>
  <c r="AU56" i="28"/>
  <c r="AU57" i="28"/>
  <c r="AU58" i="28"/>
  <c r="AU59" i="28"/>
  <c r="AU60" i="28"/>
  <c r="AU8" i="28"/>
  <c r="AU61" i="28"/>
  <c r="AU62" i="28"/>
  <c r="AU63" i="28"/>
  <c r="AU64" i="28"/>
  <c r="AU65" i="28"/>
  <c r="AU66" i="28"/>
  <c r="AU67" i="28"/>
  <c r="AU68" i="28"/>
  <c r="AU69" i="28"/>
  <c r="AU70" i="28"/>
  <c r="AU71" i="28"/>
  <c r="AU9" i="28"/>
  <c r="AV7" i="28"/>
  <c r="AU6" i="28" l="1"/>
  <c r="AV43" i="28"/>
  <c r="AV44" i="28"/>
  <c r="AV45" i="28"/>
  <c r="AV46" i="28"/>
  <c r="AV47" i="28"/>
  <c r="AV42" i="28"/>
  <c r="AV21" i="28"/>
  <c r="AV10" i="28"/>
  <c r="AV11" i="28"/>
  <c r="AV12" i="28"/>
  <c r="AV13" i="28"/>
  <c r="AV14" i="28"/>
  <c r="AV15" i="28"/>
  <c r="AV16" i="28"/>
  <c r="AV17" i="28"/>
  <c r="AV18" i="28"/>
  <c r="AV19" i="28"/>
  <c r="AV20" i="28"/>
  <c r="AV22" i="28"/>
  <c r="AV23" i="28"/>
  <c r="AV24" i="28"/>
  <c r="AV25" i="28"/>
  <c r="AV26" i="28"/>
  <c r="AV27" i="28"/>
  <c r="AV28" i="28"/>
  <c r="AV29" i="28"/>
  <c r="AV30" i="28"/>
  <c r="AV31" i="28"/>
  <c r="AV32" i="28"/>
  <c r="AV33" i="28"/>
  <c r="AV34" i="28"/>
  <c r="AV35" i="28"/>
  <c r="AV36" i="28"/>
  <c r="AV37" i="28"/>
  <c r="AV38" i="28"/>
  <c r="AV39" i="28"/>
  <c r="AV40" i="28"/>
  <c r="AV41" i="28"/>
  <c r="AV48" i="28"/>
  <c r="AV49" i="28"/>
  <c r="AV50" i="28"/>
  <c r="AV51" i="28"/>
  <c r="AV52" i="28"/>
  <c r="AV53" i="28"/>
  <c r="AV54" i="28"/>
  <c r="AV55" i="28"/>
  <c r="AV56" i="28"/>
  <c r="AV57" i="28"/>
  <c r="AV58" i="28"/>
  <c r="AV59" i="28"/>
  <c r="AV60" i="28"/>
  <c r="AV61" i="28"/>
  <c r="AV62" i="28"/>
  <c r="AV63" i="28"/>
  <c r="AV64" i="28"/>
  <c r="AV65" i="28"/>
  <c r="AV66" i="28"/>
  <c r="AV67" i="28"/>
  <c r="AV68" i="28"/>
  <c r="AV69" i="28"/>
  <c r="AV70" i="28"/>
  <c r="AV71" i="28"/>
  <c r="AV9" i="28"/>
  <c r="AV8" i="28"/>
  <c r="AW7" i="28"/>
  <c r="AV6" i="28" l="1"/>
  <c r="AW43" i="28"/>
  <c r="AW44" i="28"/>
  <c r="AW45" i="28"/>
  <c r="AW46" i="28"/>
  <c r="AW47" i="28"/>
  <c r="AW42" i="28"/>
  <c r="AW21" i="28"/>
  <c r="AW10" i="28"/>
  <c r="AW11" i="28"/>
  <c r="AW12" i="28"/>
  <c r="AW13" i="28"/>
  <c r="AW14" i="28"/>
  <c r="AW15" i="28"/>
  <c r="AW16" i="28"/>
  <c r="AW17" i="28"/>
  <c r="AW18" i="28"/>
  <c r="AW19" i="28"/>
  <c r="AW20" i="28"/>
  <c r="AW22" i="28"/>
  <c r="AW23" i="28"/>
  <c r="AW24" i="28"/>
  <c r="AW25" i="28"/>
  <c r="AW26" i="28"/>
  <c r="AW27" i="28"/>
  <c r="AW28" i="28"/>
  <c r="AW29" i="28"/>
  <c r="AW30" i="28"/>
  <c r="AW31" i="28"/>
  <c r="AW32" i="28"/>
  <c r="AW33" i="28"/>
  <c r="AW34" i="28"/>
  <c r="AW35" i="28"/>
  <c r="AW36" i="28"/>
  <c r="AW37" i="28"/>
  <c r="AW38" i="28"/>
  <c r="AW39" i="28"/>
  <c r="AW40" i="28"/>
  <c r="AW41" i="28"/>
  <c r="AW48" i="28"/>
  <c r="AW49" i="28"/>
  <c r="AW50" i="28"/>
  <c r="AW51" i="28"/>
  <c r="AW52" i="28"/>
  <c r="AW53" i="28"/>
  <c r="AW54" i="28"/>
  <c r="AW55" i="28"/>
  <c r="AW56" i="28"/>
  <c r="AW57" i="28"/>
  <c r="AW58" i="28"/>
  <c r="AW59" i="28"/>
  <c r="AW60" i="28"/>
  <c r="AW61" i="28"/>
  <c r="AW62" i="28"/>
  <c r="AW63" i="28"/>
  <c r="AW64" i="28"/>
  <c r="AW65" i="28"/>
  <c r="AW66" i="28"/>
  <c r="AW67" i="28"/>
  <c r="AW68" i="28"/>
  <c r="AW69" i="28"/>
  <c r="AW70" i="28"/>
  <c r="AW71" i="28"/>
  <c r="AW9" i="28"/>
  <c r="AW8" i="28"/>
  <c r="AX7" i="28"/>
  <c r="AW6" i="28" l="1"/>
  <c r="AX43" i="28"/>
  <c r="AX44" i="28"/>
  <c r="AX45" i="28"/>
  <c r="AX46" i="28"/>
  <c r="AX47" i="28"/>
  <c r="AX42" i="28"/>
  <c r="AX21" i="28"/>
  <c r="AX10" i="28"/>
  <c r="AX11" i="28"/>
  <c r="AX12" i="28"/>
  <c r="AX13" i="28"/>
  <c r="AX14" i="28"/>
  <c r="AX15" i="28"/>
  <c r="AX16" i="28"/>
  <c r="AX17" i="28"/>
  <c r="AX18" i="28"/>
  <c r="AX19" i="28"/>
  <c r="AX20" i="28"/>
  <c r="AX22" i="28"/>
  <c r="AX23" i="28"/>
  <c r="AX24" i="28"/>
  <c r="AX25" i="28"/>
  <c r="AX26" i="28"/>
  <c r="AX27" i="28"/>
  <c r="AX28" i="28"/>
  <c r="AX29" i="28"/>
  <c r="AX30" i="28"/>
  <c r="AX31" i="28"/>
  <c r="AX32" i="28"/>
  <c r="AX33" i="28"/>
  <c r="AX34" i="28"/>
  <c r="AX35" i="28"/>
  <c r="AX36" i="28"/>
  <c r="AX37" i="28"/>
  <c r="AX38" i="28"/>
  <c r="AX39" i="28"/>
  <c r="AX40" i="28"/>
  <c r="AX41" i="28"/>
  <c r="AX48" i="28"/>
  <c r="AX49" i="28"/>
  <c r="AX50" i="28"/>
  <c r="AX51" i="28"/>
  <c r="AX52" i="28"/>
  <c r="AX53" i="28"/>
  <c r="AX54" i="28"/>
  <c r="AX55" i="28"/>
  <c r="AX56" i="28"/>
  <c r="AX57" i="28"/>
  <c r="AX58" i="28"/>
  <c r="AX59" i="28"/>
  <c r="AX60" i="28"/>
  <c r="AX61" i="28"/>
  <c r="AX62" i="28"/>
  <c r="AX63" i="28"/>
  <c r="AX64" i="28"/>
  <c r="AX65" i="28"/>
  <c r="AX66" i="28"/>
  <c r="AX67" i="28"/>
  <c r="AX68" i="28"/>
  <c r="AX69" i="28"/>
  <c r="AX70" i="28"/>
  <c r="AX71" i="28"/>
  <c r="AX8" i="28"/>
  <c r="AX9" i="28"/>
  <c r="AY7" i="28"/>
  <c r="AX6" i="28" l="1"/>
  <c r="AY43" i="28"/>
  <c r="AY44" i="28"/>
  <c r="AY45" i="28"/>
  <c r="AY46" i="28"/>
  <c r="AY47" i="28"/>
  <c r="AY42" i="28"/>
  <c r="AY21" i="28"/>
  <c r="AY10" i="28"/>
  <c r="AY11" i="28"/>
  <c r="AY12" i="28"/>
  <c r="AY13" i="28"/>
  <c r="AY14" i="28"/>
  <c r="AY15" i="28"/>
  <c r="AY16" i="28"/>
  <c r="AY17" i="28"/>
  <c r="AY18" i="28"/>
  <c r="AY19" i="28"/>
  <c r="AY20" i="28"/>
  <c r="AY22" i="28"/>
  <c r="AY23" i="28"/>
  <c r="AY24" i="28"/>
  <c r="AY25" i="28"/>
  <c r="AY26" i="28"/>
  <c r="AY27" i="28"/>
  <c r="AY28" i="28"/>
  <c r="AY29" i="28"/>
  <c r="AY30" i="28"/>
  <c r="AY31" i="28"/>
  <c r="AY32" i="28"/>
  <c r="AY33" i="28"/>
  <c r="AY34" i="28"/>
  <c r="AY35" i="28"/>
  <c r="AY36" i="28"/>
  <c r="AY37" i="28"/>
  <c r="AY38" i="28"/>
  <c r="AY39" i="28"/>
  <c r="AY40" i="28"/>
  <c r="AY41" i="28"/>
  <c r="AY48" i="28"/>
  <c r="AY49" i="28"/>
  <c r="AY50" i="28"/>
  <c r="AY51" i="28"/>
  <c r="AY52" i="28"/>
  <c r="AY53" i="28"/>
  <c r="AY54" i="28"/>
  <c r="AY55" i="28"/>
  <c r="AY56" i="28"/>
  <c r="AY57" i="28"/>
  <c r="AY58" i="28"/>
  <c r="AY59" i="28"/>
  <c r="AY60" i="28"/>
  <c r="AY61" i="28"/>
  <c r="AY62" i="28"/>
  <c r="AY63" i="28"/>
  <c r="AY64" i="28"/>
  <c r="AY65" i="28"/>
  <c r="AY66" i="28"/>
  <c r="AY67" i="28"/>
  <c r="AY68" i="28"/>
  <c r="AY69" i="28"/>
  <c r="AY70" i="28"/>
  <c r="AY71" i="28"/>
  <c r="AY9" i="28"/>
  <c r="AY8" i="28"/>
  <c r="AZ7" i="28"/>
  <c r="AY6" i="28" l="1"/>
  <c r="AZ43" i="28"/>
  <c r="AZ44" i="28"/>
  <c r="AZ45" i="28"/>
  <c r="AZ46" i="28"/>
  <c r="AZ47" i="28"/>
  <c r="AZ42" i="28"/>
  <c r="AZ21" i="28"/>
  <c r="AZ10" i="28"/>
  <c r="AZ11" i="28"/>
  <c r="AZ12" i="28"/>
  <c r="AZ13" i="28"/>
  <c r="AZ14" i="28"/>
  <c r="AZ15" i="28"/>
  <c r="AZ16" i="28"/>
  <c r="AZ17" i="28"/>
  <c r="AZ18" i="28"/>
  <c r="AZ19" i="28"/>
  <c r="AZ20" i="28"/>
  <c r="AZ22" i="28"/>
  <c r="AZ23" i="28"/>
  <c r="AZ24" i="28"/>
  <c r="AZ25" i="28"/>
  <c r="AZ26" i="28"/>
  <c r="AZ27" i="28"/>
  <c r="AZ28" i="28"/>
  <c r="AZ29" i="28"/>
  <c r="AZ30" i="28"/>
  <c r="AZ31" i="28"/>
  <c r="AZ32" i="28"/>
  <c r="AZ33" i="28"/>
  <c r="AZ34" i="28"/>
  <c r="AZ35" i="28"/>
  <c r="AZ36" i="28"/>
  <c r="AZ37" i="28"/>
  <c r="AZ38" i="28"/>
  <c r="AZ39" i="28"/>
  <c r="AZ40" i="28"/>
  <c r="AZ41" i="28"/>
  <c r="AZ48" i="28"/>
  <c r="AZ49" i="28"/>
  <c r="AZ50" i="28"/>
  <c r="AZ51" i="28"/>
  <c r="AZ52" i="28"/>
  <c r="AZ53" i="28"/>
  <c r="AZ54" i="28"/>
  <c r="AZ55" i="28"/>
  <c r="AZ56" i="28"/>
  <c r="AZ57" i="28"/>
  <c r="AZ58" i="28"/>
  <c r="AZ59" i="28"/>
  <c r="AZ60" i="28"/>
  <c r="AZ61" i="28"/>
  <c r="AZ62" i="28"/>
  <c r="AZ63" i="28"/>
  <c r="AZ64" i="28"/>
  <c r="AZ65" i="28"/>
  <c r="AZ66" i="28"/>
  <c r="AZ67" i="28"/>
  <c r="AZ68" i="28"/>
  <c r="AZ69" i="28"/>
  <c r="AZ70" i="28"/>
  <c r="AZ71" i="28"/>
  <c r="AZ9" i="28"/>
  <c r="AZ8" i="28"/>
  <c r="BA7" i="28"/>
  <c r="AZ6" i="28" l="1"/>
  <c r="BA43" i="28"/>
  <c r="BA44" i="28"/>
  <c r="BA45" i="28"/>
  <c r="BA46" i="28"/>
  <c r="BA47" i="28"/>
  <c r="BA42" i="28"/>
  <c r="BA21" i="28"/>
  <c r="BA10" i="28"/>
  <c r="BA11" i="28"/>
  <c r="BA12" i="28"/>
  <c r="BA13" i="28"/>
  <c r="BA14" i="28"/>
  <c r="BA15" i="28"/>
  <c r="BA16" i="28"/>
  <c r="BA17" i="28"/>
  <c r="BA18" i="28"/>
  <c r="BA19" i="28"/>
  <c r="BA20" i="28"/>
  <c r="BA22" i="28"/>
  <c r="BA23" i="28"/>
  <c r="BA24" i="28"/>
  <c r="BA25" i="28"/>
  <c r="BA26" i="28"/>
  <c r="BA27" i="28"/>
  <c r="BA28" i="28"/>
  <c r="BA29" i="28"/>
  <c r="BA30" i="28"/>
  <c r="BA31" i="28"/>
  <c r="BA32" i="28"/>
  <c r="BA33" i="28"/>
  <c r="BA34" i="28"/>
  <c r="BA35" i="28"/>
  <c r="BA36" i="28"/>
  <c r="BA37" i="28"/>
  <c r="BA38" i="28"/>
  <c r="BA39" i="28"/>
  <c r="BA40" i="28"/>
  <c r="BA41" i="28"/>
  <c r="BA48" i="28"/>
  <c r="BA49" i="28"/>
  <c r="BA50" i="28"/>
  <c r="BA51" i="28"/>
  <c r="BA52" i="28"/>
  <c r="BA53" i="28"/>
  <c r="BA54" i="28"/>
  <c r="BA55" i="28"/>
  <c r="BA56" i="28"/>
  <c r="BA57" i="28"/>
  <c r="BA58" i="28"/>
  <c r="BA59" i="28"/>
  <c r="BA60" i="28"/>
  <c r="BA61" i="28"/>
  <c r="BA62" i="28"/>
  <c r="BA63" i="28"/>
  <c r="BA8" i="28"/>
  <c r="BA64" i="28"/>
  <c r="BA65" i="28"/>
  <c r="BA66" i="28"/>
  <c r="BA67" i="28"/>
  <c r="BA68" i="28"/>
  <c r="BA69" i="28"/>
  <c r="BA70" i="28"/>
  <c r="BA71" i="28"/>
  <c r="BA9" i="28"/>
  <c r="BB7" i="28"/>
  <c r="BA6" i="28" l="1"/>
  <c r="BB43" i="28"/>
  <c r="BB44" i="28"/>
  <c r="BB45" i="28"/>
  <c r="BB46" i="28"/>
  <c r="BB47" i="28"/>
  <c r="BB42" i="28"/>
  <c r="BB21" i="28"/>
  <c r="BB10" i="28"/>
  <c r="BB11" i="28"/>
  <c r="BB12" i="28"/>
  <c r="BB13" i="28"/>
  <c r="BB14" i="28"/>
  <c r="BB15" i="28"/>
  <c r="BB16" i="28"/>
  <c r="BB17" i="28"/>
  <c r="BB18" i="28"/>
  <c r="BB19" i="28"/>
  <c r="BB20" i="28"/>
  <c r="BB22" i="28"/>
  <c r="BB23" i="28"/>
  <c r="BB24" i="28"/>
  <c r="BB25" i="28"/>
  <c r="BB26" i="28"/>
  <c r="BB27" i="28"/>
  <c r="BB28" i="28"/>
  <c r="BB29" i="28"/>
  <c r="BB30" i="28"/>
  <c r="BB31" i="28"/>
  <c r="BB32" i="28"/>
  <c r="BB33" i="28"/>
  <c r="BB34" i="28"/>
  <c r="BB35" i="28"/>
  <c r="BB36" i="28"/>
  <c r="BB37" i="28"/>
  <c r="BB38" i="28"/>
  <c r="BB39" i="28"/>
  <c r="BB40" i="28"/>
  <c r="BB41" i="28"/>
  <c r="BB48" i="28"/>
  <c r="BB49" i="28"/>
  <c r="BB50" i="28"/>
  <c r="BB51" i="28"/>
  <c r="BB52" i="28"/>
  <c r="BB53" i="28"/>
  <c r="BB54" i="28"/>
  <c r="BB55" i="28"/>
  <c r="BB56" i="28"/>
  <c r="BB57" i="28"/>
  <c r="BB58" i="28"/>
  <c r="BB59" i="28"/>
  <c r="BB60" i="28"/>
  <c r="BB61" i="28"/>
  <c r="BB62" i="28"/>
  <c r="BB63" i="28"/>
  <c r="BB64" i="28"/>
  <c r="BB65" i="28"/>
  <c r="BB66" i="28"/>
  <c r="BB67" i="28"/>
  <c r="BB68" i="28"/>
  <c r="BB69" i="28"/>
  <c r="BB70" i="28"/>
  <c r="BB71" i="28"/>
  <c r="BB8" i="28"/>
  <c r="BB9" i="28"/>
  <c r="BC7" i="28"/>
  <c r="BB6" i="28" l="1"/>
  <c r="BC43" i="28"/>
  <c r="BC44" i="28"/>
  <c r="BC45" i="28"/>
  <c r="BC46" i="28"/>
  <c r="BC47" i="28"/>
  <c r="BC42" i="28"/>
  <c r="BC21" i="28"/>
  <c r="BC10" i="28"/>
  <c r="BC11" i="28"/>
  <c r="BC12" i="28"/>
  <c r="BC13" i="28"/>
  <c r="BC14" i="28"/>
  <c r="BC15" i="28"/>
  <c r="BC16" i="28"/>
  <c r="BC17" i="28"/>
  <c r="BC18" i="28"/>
  <c r="BC19" i="28"/>
  <c r="BC20" i="28"/>
  <c r="BC22" i="28"/>
  <c r="BC23" i="28"/>
  <c r="BC24" i="28"/>
  <c r="BC25" i="28"/>
  <c r="BC26" i="28"/>
  <c r="BC27" i="28"/>
  <c r="BC28" i="28"/>
  <c r="BC29" i="28"/>
  <c r="BC30" i="28"/>
  <c r="BC31" i="28"/>
  <c r="BC32" i="28"/>
  <c r="BC33" i="28"/>
  <c r="BC34" i="28"/>
  <c r="BC35" i="28"/>
  <c r="BC36" i="28"/>
  <c r="BC37" i="28"/>
  <c r="BC38" i="28"/>
  <c r="BC39" i="28"/>
  <c r="BC40" i="28"/>
  <c r="BC41" i="28"/>
  <c r="BC48" i="28"/>
  <c r="BC49" i="28"/>
  <c r="BC50" i="28"/>
  <c r="BC51" i="28"/>
  <c r="BC52" i="28"/>
  <c r="BC53" i="28"/>
  <c r="BC54" i="28"/>
  <c r="BC55" i="28"/>
  <c r="BC56" i="28"/>
  <c r="BC57" i="28"/>
  <c r="BC58" i="28"/>
  <c r="BC59" i="28"/>
  <c r="BC60" i="28"/>
  <c r="BC61" i="28"/>
  <c r="BC62" i="28"/>
  <c r="BC63" i="28"/>
  <c r="BC64" i="28"/>
  <c r="BC65" i="28"/>
  <c r="BC66" i="28"/>
  <c r="BC67" i="28"/>
  <c r="BC68" i="28"/>
  <c r="BC69" i="28"/>
  <c r="BC70" i="28"/>
  <c r="BC71" i="28"/>
  <c r="BC9" i="28"/>
  <c r="BC8" i="28"/>
  <c r="BD7" i="28"/>
  <c r="BC6" i="28" l="1"/>
  <c r="BD43" i="28"/>
  <c r="BD44" i="28"/>
  <c r="BD45" i="28"/>
  <c r="BD46" i="28"/>
  <c r="BD47" i="28"/>
  <c r="BD42" i="28"/>
  <c r="BD21" i="28"/>
  <c r="BD10" i="28"/>
  <c r="BD11" i="28"/>
  <c r="BD12" i="28"/>
  <c r="BD13" i="28"/>
  <c r="BD14" i="28"/>
  <c r="BD15" i="28"/>
  <c r="BD16" i="28"/>
  <c r="BD17" i="28"/>
  <c r="BD18" i="28"/>
  <c r="BD19" i="28"/>
  <c r="BD20" i="28"/>
  <c r="BD22" i="28"/>
  <c r="BD23" i="28"/>
  <c r="BD24" i="28"/>
  <c r="BD25" i="28"/>
  <c r="BD26" i="28"/>
  <c r="BD27" i="28"/>
  <c r="BD28" i="28"/>
  <c r="BD29" i="28"/>
  <c r="BD30" i="28"/>
  <c r="BD31" i="28"/>
  <c r="BD32" i="28"/>
  <c r="BD33" i="28"/>
  <c r="BD34" i="28"/>
  <c r="BD35" i="28"/>
  <c r="BD36" i="28"/>
  <c r="BD37" i="28"/>
  <c r="BD38" i="28"/>
  <c r="BD39" i="28"/>
  <c r="BD40" i="28"/>
  <c r="BD41" i="28"/>
  <c r="BD48" i="28"/>
  <c r="BD49" i="28"/>
  <c r="BD50" i="28"/>
  <c r="BD51" i="28"/>
  <c r="BD52" i="28"/>
  <c r="BD53" i="28"/>
  <c r="BD54" i="28"/>
  <c r="BD55" i="28"/>
  <c r="BD56" i="28"/>
  <c r="BD57" i="28"/>
  <c r="BD58" i="28"/>
  <c r="BD59" i="28"/>
  <c r="BD60" i="28"/>
  <c r="BD61" i="28"/>
  <c r="BD62" i="28"/>
  <c r="BD63" i="28"/>
  <c r="BD64" i="28"/>
  <c r="BD65" i="28"/>
  <c r="BD66" i="28"/>
  <c r="BD67" i="28"/>
  <c r="BD68" i="28"/>
  <c r="BD69" i="28"/>
  <c r="BD70" i="28"/>
  <c r="BD71" i="28"/>
  <c r="BD8" i="28"/>
  <c r="BD9" i="28"/>
  <c r="BE7" i="28"/>
  <c r="BD6" i="28" l="1"/>
  <c r="BE43" i="28"/>
  <c r="BE44" i="28"/>
  <c r="BE45" i="28"/>
  <c r="BE46" i="28"/>
  <c r="BE47" i="28"/>
  <c r="BE42" i="28"/>
  <c r="BE21" i="28"/>
  <c r="BE10" i="28"/>
  <c r="BE11" i="28"/>
  <c r="BE12" i="28"/>
  <c r="BE13" i="28"/>
  <c r="BE14" i="28"/>
  <c r="BE15" i="28"/>
  <c r="BE16" i="28"/>
  <c r="BE17" i="28"/>
  <c r="BE18" i="28"/>
  <c r="BE19" i="28"/>
  <c r="BE20" i="28"/>
  <c r="BE22" i="28"/>
  <c r="BE23" i="28"/>
  <c r="BE24" i="28"/>
  <c r="BE25" i="28"/>
  <c r="BE26" i="28"/>
  <c r="BE27" i="28"/>
  <c r="BE28" i="28"/>
  <c r="BE29" i="28"/>
  <c r="BE30" i="28"/>
  <c r="BE31" i="28"/>
  <c r="BE32" i="28"/>
  <c r="BE33" i="28"/>
  <c r="BE34" i="28"/>
  <c r="BE35" i="28"/>
  <c r="BE36" i="28"/>
  <c r="BE37" i="28"/>
  <c r="BE38" i="28"/>
  <c r="BE39" i="28"/>
  <c r="BE40" i="28"/>
  <c r="BE41" i="28"/>
  <c r="BE48" i="28"/>
  <c r="BE49" i="28"/>
  <c r="BE50" i="28"/>
  <c r="BE51" i="28"/>
  <c r="BE52" i="28"/>
  <c r="BE53" i="28"/>
  <c r="BE54" i="28"/>
  <c r="BE55" i="28"/>
  <c r="BE56" i="28"/>
  <c r="BE57" i="28"/>
  <c r="BE58" i="28"/>
  <c r="BE59" i="28"/>
  <c r="BE60" i="28"/>
  <c r="BE61" i="28"/>
  <c r="BE62" i="28"/>
  <c r="BE63" i="28"/>
  <c r="BE8" i="28"/>
  <c r="BE64" i="28"/>
  <c r="BE65" i="28"/>
  <c r="BE66" i="28"/>
  <c r="BE67" i="28"/>
  <c r="BE68" i="28"/>
  <c r="BE69" i="28"/>
  <c r="BE70" i="28"/>
  <c r="BE71" i="28"/>
  <c r="BE9" i="28"/>
  <c r="BF7" i="28"/>
  <c r="BE6" i="28" l="1"/>
  <c r="BF43" i="28"/>
  <c r="BF44" i="28"/>
  <c r="BF45" i="28"/>
  <c r="BF46" i="28"/>
  <c r="BF47" i="28"/>
  <c r="BF42" i="28"/>
  <c r="BF21" i="28"/>
  <c r="BF10" i="28"/>
  <c r="BF11" i="28"/>
  <c r="BF12" i="28"/>
  <c r="BF13" i="28"/>
  <c r="BF14" i="28"/>
  <c r="BF15" i="28"/>
  <c r="BF16" i="28"/>
  <c r="BF17" i="28"/>
  <c r="BF18" i="28"/>
  <c r="BF19" i="28"/>
  <c r="BF20" i="28"/>
  <c r="BF22" i="28"/>
  <c r="BF23" i="28"/>
  <c r="BF24" i="28"/>
  <c r="BF25" i="28"/>
  <c r="BF26" i="28"/>
  <c r="BF27" i="28"/>
  <c r="BF28" i="28"/>
  <c r="BF29" i="28"/>
  <c r="BF30" i="28"/>
  <c r="BF31" i="28"/>
  <c r="BF32" i="28"/>
  <c r="BF33" i="28"/>
  <c r="BF34" i="28"/>
  <c r="BF35" i="28"/>
  <c r="BF36" i="28"/>
  <c r="BF37" i="28"/>
  <c r="BF38" i="28"/>
  <c r="BF39" i="28"/>
  <c r="BF40" i="28"/>
  <c r="BF41" i="28"/>
  <c r="BF48" i="28"/>
  <c r="BF49" i="28"/>
  <c r="BF50" i="28"/>
  <c r="BF51" i="28"/>
  <c r="BF52" i="28"/>
  <c r="BF53" i="28"/>
  <c r="BF54" i="28"/>
  <c r="BF55" i="28"/>
  <c r="BF56" i="28"/>
  <c r="BF57" i="28"/>
  <c r="BF58" i="28"/>
  <c r="BF59" i="28"/>
  <c r="BF60" i="28"/>
  <c r="BF61" i="28"/>
  <c r="BF62" i="28"/>
  <c r="BF63" i="28"/>
  <c r="BF64" i="28"/>
  <c r="BF65" i="28"/>
  <c r="BF66" i="28"/>
  <c r="BF67" i="28"/>
  <c r="BF68" i="28"/>
  <c r="BF69" i="28"/>
  <c r="BF70" i="28"/>
  <c r="BF71" i="28"/>
  <c r="BF9" i="28"/>
  <c r="BF8" i="28"/>
  <c r="BG7" i="28"/>
  <c r="BF6" i="28" l="1"/>
  <c r="BG43" i="28"/>
  <c r="BG44" i="28"/>
  <c r="BG45" i="28"/>
  <c r="BG46" i="28"/>
  <c r="BG47" i="28"/>
  <c r="BG42" i="28"/>
  <c r="BG21" i="28"/>
  <c r="BG10" i="28"/>
  <c r="BG11" i="28"/>
  <c r="BG12" i="28"/>
  <c r="BG13" i="28"/>
  <c r="BG14" i="28"/>
  <c r="BG15" i="28"/>
  <c r="BG16" i="28"/>
  <c r="BG17" i="28"/>
  <c r="BG18" i="28"/>
  <c r="BG19" i="28"/>
  <c r="BG20" i="28"/>
  <c r="BG22" i="28"/>
  <c r="BG23" i="28"/>
  <c r="BG24" i="28"/>
  <c r="BG25" i="28"/>
  <c r="BG26" i="28"/>
  <c r="BG27" i="28"/>
  <c r="BG28" i="28"/>
  <c r="BG29" i="28"/>
  <c r="BG30" i="28"/>
  <c r="BG31" i="28"/>
  <c r="BG32" i="28"/>
  <c r="BG33" i="28"/>
  <c r="BG34" i="28"/>
  <c r="BG35" i="28"/>
  <c r="BG36" i="28"/>
  <c r="BG37" i="28"/>
  <c r="BG38" i="28"/>
  <c r="BG39" i="28"/>
  <c r="BG40" i="28"/>
  <c r="BG41" i="28"/>
  <c r="BG48" i="28"/>
  <c r="BG49" i="28"/>
  <c r="BG50" i="28"/>
  <c r="BG51" i="28"/>
  <c r="BG52" i="28"/>
  <c r="BG53" i="28"/>
  <c r="BG54" i="28"/>
  <c r="BG55" i="28"/>
  <c r="BG56" i="28"/>
  <c r="BG57" i="28"/>
  <c r="BG58" i="28"/>
  <c r="BG59" i="28"/>
  <c r="BG60" i="28"/>
  <c r="BG61" i="28"/>
  <c r="BG62" i="28"/>
  <c r="BG63" i="28"/>
  <c r="BG64" i="28"/>
  <c r="BG65" i="28"/>
  <c r="BG66" i="28"/>
  <c r="BG67" i="28"/>
  <c r="BG68" i="28"/>
  <c r="BG69" i="28"/>
  <c r="BG70" i="28"/>
  <c r="BG71" i="28"/>
  <c r="BG9" i="28"/>
  <c r="BG8" i="28"/>
  <c r="BH7" i="28"/>
  <c r="BG6" i="28" l="1"/>
  <c r="BH43" i="28"/>
  <c r="BH44" i="28"/>
  <c r="BH45" i="28"/>
  <c r="BH46" i="28"/>
  <c r="BH47" i="28"/>
  <c r="BH42" i="28"/>
  <c r="BH21" i="28"/>
  <c r="BH10" i="28"/>
  <c r="BH11" i="28"/>
  <c r="BH12" i="28"/>
  <c r="BH13" i="28"/>
  <c r="BH14" i="28"/>
  <c r="BH15" i="28"/>
  <c r="BH16" i="28"/>
  <c r="BH17" i="28"/>
  <c r="BH18" i="28"/>
  <c r="BH19" i="28"/>
  <c r="BH20" i="28"/>
  <c r="BH22" i="28"/>
  <c r="BH23" i="28"/>
  <c r="BH24" i="28"/>
  <c r="BH25" i="28"/>
  <c r="BH26" i="28"/>
  <c r="BH27" i="28"/>
  <c r="BH28" i="28"/>
  <c r="BH29" i="28"/>
  <c r="BH30" i="28"/>
  <c r="BH31" i="28"/>
  <c r="BH32" i="28"/>
  <c r="BH33" i="28"/>
  <c r="BH34" i="28"/>
  <c r="BH35" i="28"/>
  <c r="BH36" i="28"/>
  <c r="BH37" i="28"/>
  <c r="BH38" i="28"/>
  <c r="BH39" i="28"/>
  <c r="BH40" i="28"/>
  <c r="BH41" i="28"/>
  <c r="BH48" i="28"/>
  <c r="BH49" i="28"/>
  <c r="BH50" i="28"/>
  <c r="BH51" i="28"/>
  <c r="BH52" i="28"/>
  <c r="BH53" i="28"/>
  <c r="BH54" i="28"/>
  <c r="BH55" i="28"/>
  <c r="BH56" i="28"/>
  <c r="BH57" i="28"/>
  <c r="BH58" i="28"/>
  <c r="BH59" i="28"/>
  <c r="BH60" i="28"/>
  <c r="BH61" i="28"/>
  <c r="BH62" i="28"/>
  <c r="BH63" i="28"/>
  <c r="BH64" i="28"/>
  <c r="BH65" i="28"/>
  <c r="BH66" i="28"/>
  <c r="BH67" i="28"/>
  <c r="BH68" i="28"/>
  <c r="BH69" i="28"/>
  <c r="BH70" i="28"/>
  <c r="BH71" i="28"/>
  <c r="BH8" i="28"/>
  <c r="BH9" i="28"/>
  <c r="BI7" i="28"/>
  <c r="BH6" i="28" l="1"/>
  <c r="BI43" i="28"/>
  <c r="BI44" i="28"/>
  <c r="BI45" i="28"/>
  <c r="BI46" i="28"/>
  <c r="BI47" i="28"/>
  <c r="BI42" i="28"/>
  <c r="BI21" i="28"/>
  <c r="BI10" i="28"/>
  <c r="BI11" i="28"/>
  <c r="BI12" i="28"/>
  <c r="BI13" i="28"/>
  <c r="BI14" i="28"/>
  <c r="BI15" i="28"/>
  <c r="BI16" i="28"/>
  <c r="BI17" i="28"/>
  <c r="BI18" i="28"/>
  <c r="BI19" i="28"/>
  <c r="BI20" i="28"/>
  <c r="BI22" i="28"/>
  <c r="BI23" i="28"/>
  <c r="BI24" i="28"/>
  <c r="BI25" i="28"/>
  <c r="BI26" i="28"/>
  <c r="BI27" i="28"/>
  <c r="BI28" i="28"/>
  <c r="BI29" i="28"/>
  <c r="BI30" i="28"/>
  <c r="BI31" i="28"/>
  <c r="BI32" i="28"/>
  <c r="BI33" i="28"/>
  <c r="BI34" i="28"/>
  <c r="BI35" i="28"/>
  <c r="BI36" i="28"/>
  <c r="BI37" i="28"/>
  <c r="BI38" i="28"/>
  <c r="BI39" i="28"/>
  <c r="BI40" i="28"/>
  <c r="BI41" i="28"/>
  <c r="BI48" i="28"/>
  <c r="BI49" i="28"/>
  <c r="BI50" i="28"/>
  <c r="BI51" i="28"/>
  <c r="BI52" i="28"/>
  <c r="BI53" i="28"/>
  <c r="BI54" i="28"/>
  <c r="BI55" i="28"/>
  <c r="BI56" i="28"/>
  <c r="BI57" i="28"/>
  <c r="BI58" i="28"/>
  <c r="BI59" i="28"/>
  <c r="BI60" i="28"/>
  <c r="BI61" i="28"/>
  <c r="BI62" i="28"/>
  <c r="BI63" i="28"/>
  <c r="BI8" i="28"/>
  <c r="BI64" i="28"/>
  <c r="BI65" i="28"/>
  <c r="BI66" i="28"/>
  <c r="BI67" i="28"/>
  <c r="BI68" i="28"/>
  <c r="BI69" i="28"/>
  <c r="BI70" i="28"/>
  <c r="BI71" i="28"/>
  <c r="BI9" i="28"/>
  <c r="BJ7" i="28"/>
  <c r="BI6" i="28" l="1"/>
  <c r="BJ43" i="28"/>
  <c r="BJ44" i="28"/>
  <c r="BJ45" i="28"/>
  <c r="BJ46" i="28"/>
  <c r="BJ47" i="28"/>
  <c r="BJ42" i="28"/>
  <c r="BJ21" i="28"/>
  <c r="BJ10" i="28"/>
  <c r="BJ11" i="28"/>
  <c r="BJ12" i="28"/>
  <c r="BJ13" i="28"/>
  <c r="BJ14" i="28"/>
  <c r="BJ15" i="28"/>
  <c r="BJ16" i="28"/>
  <c r="BJ17" i="28"/>
  <c r="BJ18" i="28"/>
  <c r="BJ19" i="28"/>
  <c r="BJ20" i="28"/>
  <c r="BJ22" i="28"/>
  <c r="BJ23" i="28"/>
  <c r="BJ24" i="28"/>
  <c r="BJ25" i="28"/>
  <c r="BJ26" i="28"/>
  <c r="BJ27" i="28"/>
  <c r="BJ28" i="28"/>
  <c r="BJ29" i="28"/>
  <c r="BJ30" i="28"/>
  <c r="BJ31" i="28"/>
  <c r="BJ32" i="28"/>
  <c r="BJ33" i="28"/>
  <c r="BJ34" i="28"/>
  <c r="BJ35" i="28"/>
  <c r="BJ36" i="28"/>
  <c r="BJ37" i="28"/>
  <c r="BJ38" i="28"/>
  <c r="BJ39" i="28"/>
  <c r="BJ40" i="28"/>
  <c r="BJ41" i="28"/>
  <c r="BJ48" i="28"/>
  <c r="BJ49" i="28"/>
  <c r="BJ50" i="28"/>
  <c r="BJ51" i="28"/>
  <c r="BJ52" i="28"/>
  <c r="BJ53" i="28"/>
  <c r="BJ54" i="28"/>
  <c r="BJ55" i="28"/>
  <c r="BJ56" i="28"/>
  <c r="BJ57" i="28"/>
  <c r="BJ58" i="28"/>
  <c r="BJ59" i="28"/>
  <c r="BJ60" i="28"/>
  <c r="BJ61" i="28"/>
  <c r="BJ62" i="28"/>
  <c r="BJ63" i="28"/>
  <c r="BJ64" i="28"/>
  <c r="BJ65" i="28"/>
  <c r="BJ66" i="28"/>
  <c r="BJ67" i="28"/>
  <c r="BJ68" i="28"/>
  <c r="BJ69" i="28"/>
  <c r="BJ70" i="28"/>
  <c r="BJ71" i="28"/>
  <c r="BJ9" i="28"/>
  <c r="BJ8" i="28"/>
  <c r="BK7" i="28"/>
  <c r="BJ6" i="28" l="1"/>
  <c r="BK43" i="28"/>
  <c r="BK44" i="28"/>
  <c r="BK45" i="28"/>
  <c r="BK46" i="28"/>
  <c r="BK47" i="28"/>
  <c r="BK42" i="28"/>
  <c r="BK21" i="28"/>
  <c r="BK10" i="28"/>
  <c r="BK11" i="28"/>
  <c r="BK12" i="28"/>
  <c r="BK13" i="28"/>
  <c r="BK14" i="28"/>
  <c r="BK15" i="28"/>
  <c r="BK16" i="28"/>
  <c r="BK17" i="28"/>
  <c r="BK18" i="28"/>
  <c r="BK19" i="28"/>
  <c r="BK20" i="28"/>
  <c r="BK22" i="28"/>
  <c r="BK23" i="28"/>
  <c r="BK24" i="28"/>
  <c r="BK25" i="28"/>
  <c r="BK26" i="28"/>
  <c r="BK27" i="28"/>
  <c r="BK28" i="28"/>
  <c r="BK29" i="28"/>
  <c r="BK30" i="28"/>
  <c r="BK31" i="28"/>
  <c r="BK32" i="28"/>
  <c r="BK33" i="28"/>
  <c r="BK34" i="28"/>
  <c r="BK35" i="28"/>
  <c r="BK36" i="28"/>
  <c r="BK37" i="28"/>
  <c r="BK38" i="28"/>
  <c r="BK39" i="28"/>
  <c r="BK40" i="28"/>
  <c r="BK41" i="28"/>
  <c r="BK48" i="28"/>
  <c r="BK49" i="28"/>
  <c r="BK50" i="28"/>
  <c r="BK51" i="28"/>
  <c r="BK52" i="28"/>
  <c r="BK53" i="28"/>
  <c r="BK54" i="28"/>
  <c r="BK55" i="28"/>
  <c r="BK56" i="28"/>
  <c r="BK57" i="28"/>
  <c r="BK58" i="28"/>
  <c r="BK59" i="28"/>
  <c r="BK60" i="28"/>
  <c r="BK61" i="28"/>
  <c r="BK62" i="28"/>
  <c r="BK63" i="28"/>
  <c r="BK64" i="28"/>
  <c r="BK65" i="28"/>
  <c r="BK66" i="28"/>
  <c r="BK67" i="28"/>
  <c r="BK68" i="28"/>
  <c r="BK69" i="28"/>
  <c r="BK70" i="28"/>
  <c r="BK71" i="28"/>
  <c r="BK9" i="28"/>
  <c r="BK8" i="28"/>
  <c r="BL7" i="28"/>
  <c r="BK6" i="28" l="1"/>
  <c r="BL43" i="28"/>
  <c r="BL44" i="28"/>
  <c r="BL45" i="28"/>
  <c r="BL46" i="28"/>
  <c r="BL47" i="28"/>
  <c r="BL42" i="28"/>
  <c r="BL21" i="28"/>
  <c r="BL10" i="28"/>
  <c r="BL11" i="28"/>
  <c r="BL12" i="28"/>
  <c r="BL13" i="28"/>
  <c r="BL14" i="28"/>
  <c r="BL15" i="28"/>
  <c r="BL16" i="28"/>
  <c r="BL17" i="28"/>
  <c r="BL18" i="28"/>
  <c r="BL19" i="28"/>
  <c r="BL20" i="28"/>
  <c r="BL22" i="28"/>
  <c r="BL23" i="28"/>
  <c r="BL24" i="28"/>
  <c r="BL25" i="28"/>
  <c r="BL26" i="28"/>
  <c r="BL27" i="28"/>
  <c r="BL28" i="28"/>
  <c r="BL29" i="28"/>
  <c r="BL30" i="28"/>
  <c r="BL31" i="28"/>
  <c r="BL32" i="28"/>
  <c r="BL33" i="28"/>
  <c r="BL34" i="28"/>
  <c r="BL35" i="28"/>
  <c r="BL36" i="28"/>
  <c r="BL37" i="28"/>
  <c r="BL38" i="28"/>
  <c r="BL39" i="28"/>
  <c r="BL40" i="28"/>
  <c r="BL41" i="28"/>
  <c r="BL48" i="28"/>
  <c r="BL49" i="28"/>
  <c r="BL50" i="28"/>
  <c r="BL51" i="28"/>
  <c r="BL52" i="28"/>
  <c r="BL53" i="28"/>
  <c r="BL54" i="28"/>
  <c r="BL55" i="28"/>
  <c r="BL56" i="28"/>
  <c r="BL57" i="28"/>
  <c r="BL58" i="28"/>
  <c r="BL59" i="28"/>
  <c r="BL60" i="28"/>
  <c r="BL61" i="28"/>
  <c r="BL62" i="28"/>
  <c r="BL63" i="28"/>
  <c r="BL64" i="28"/>
  <c r="BL65" i="28"/>
  <c r="BL66" i="28"/>
  <c r="BL67" i="28"/>
  <c r="BL68" i="28"/>
  <c r="BL69" i="28"/>
  <c r="BL70" i="28"/>
  <c r="BL8" i="28"/>
  <c r="BL71" i="28"/>
  <c r="BL9" i="28"/>
  <c r="BM7" i="28"/>
  <c r="BL6" i="28" l="1"/>
  <c r="BM43" i="28"/>
  <c r="BM44" i="28"/>
  <c r="BM45" i="28"/>
  <c r="BM46" i="28"/>
  <c r="BM47" i="28"/>
  <c r="BM42" i="28"/>
  <c r="BM21" i="28"/>
  <c r="BM10" i="28"/>
  <c r="BM11" i="28"/>
  <c r="BM12" i="28"/>
  <c r="BM13" i="28"/>
  <c r="BM14" i="28"/>
  <c r="BM15" i="28"/>
  <c r="BM16" i="28"/>
  <c r="BM17" i="28"/>
  <c r="BM18" i="28"/>
  <c r="BM19" i="28"/>
  <c r="BM20" i="28"/>
  <c r="BM22" i="28"/>
  <c r="BM23" i="28"/>
  <c r="BM24" i="28"/>
  <c r="BM25" i="28"/>
  <c r="BM26" i="28"/>
  <c r="BM27" i="28"/>
  <c r="BM28" i="28"/>
  <c r="BM29" i="28"/>
  <c r="BM30" i="28"/>
  <c r="BM31" i="28"/>
  <c r="BM32" i="28"/>
  <c r="BM33" i="28"/>
  <c r="BM34" i="28"/>
  <c r="BM35" i="28"/>
  <c r="BM36" i="28"/>
  <c r="BM37" i="28"/>
  <c r="BM38" i="28"/>
  <c r="BM39" i="28"/>
  <c r="BM40" i="28"/>
  <c r="BM41" i="28"/>
  <c r="BM48" i="28"/>
  <c r="BM49" i="28"/>
  <c r="BM50" i="28"/>
  <c r="BM51" i="28"/>
  <c r="BM52" i="28"/>
  <c r="BM53" i="28"/>
  <c r="BM54" i="28"/>
  <c r="BM55" i="28"/>
  <c r="BM56" i="28"/>
  <c r="BM57" i="28"/>
  <c r="BM58" i="28"/>
  <c r="BM59" i="28"/>
  <c r="BM60" i="28"/>
  <c r="BM61" i="28"/>
  <c r="BM62" i="28"/>
  <c r="BM63" i="28"/>
  <c r="BM8" i="28"/>
  <c r="BM64" i="28"/>
  <c r="BM65" i="28"/>
  <c r="BM66" i="28"/>
  <c r="BM67" i="28"/>
  <c r="BM68" i="28"/>
  <c r="BM69" i="28"/>
  <c r="BM70" i="28"/>
  <c r="BM71" i="28"/>
  <c r="BM9" i="28"/>
  <c r="BN7" i="28"/>
  <c r="BM6" i="28" l="1"/>
  <c r="BN43" i="28"/>
  <c r="BN44" i="28"/>
  <c r="BN45" i="28"/>
  <c r="BN46" i="28"/>
  <c r="BN47" i="28"/>
  <c r="BN42" i="28"/>
  <c r="BN21" i="28"/>
  <c r="BN10" i="28"/>
  <c r="BN11" i="28"/>
  <c r="BN12" i="28"/>
  <c r="BN13" i="28"/>
  <c r="BN14" i="28"/>
  <c r="BN15" i="28"/>
  <c r="BN16" i="28"/>
  <c r="BN17" i="28"/>
  <c r="BN18" i="28"/>
  <c r="BN19" i="28"/>
  <c r="BN20" i="28"/>
  <c r="BN22" i="28"/>
  <c r="BN23" i="28"/>
  <c r="BN24" i="28"/>
  <c r="BN25" i="28"/>
  <c r="BN26" i="28"/>
  <c r="BN27" i="28"/>
  <c r="BN28" i="28"/>
  <c r="BN29" i="28"/>
  <c r="BN30" i="28"/>
  <c r="BN31" i="28"/>
  <c r="BN32" i="28"/>
  <c r="BN33" i="28"/>
  <c r="BN34" i="28"/>
  <c r="BN35" i="28"/>
  <c r="BN36" i="28"/>
  <c r="BN37" i="28"/>
  <c r="BN38" i="28"/>
  <c r="BN39" i="28"/>
  <c r="BN40" i="28"/>
  <c r="BN41" i="28"/>
  <c r="BN48" i="28"/>
  <c r="BN49" i="28"/>
  <c r="BN50" i="28"/>
  <c r="BN51" i="28"/>
  <c r="BN52" i="28"/>
  <c r="BN53" i="28"/>
  <c r="BN54" i="28"/>
  <c r="BN55" i="28"/>
  <c r="BN56" i="28"/>
  <c r="BN57" i="28"/>
  <c r="BN58" i="28"/>
  <c r="BN59" i="28"/>
  <c r="BN60" i="28"/>
  <c r="BN61" i="28"/>
  <c r="BN62" i="28"/>
  <c r="BN63" i="28"/>
  <c r="BN64" i="28"/>
  <c r="BN65" i="28"/>
  <c r="BN66" i="28"/>
  <c r="BN67" i="28"/>
  <c r="BN68" i="28"/>
  <c r="BN69" i="28"/>
  <c r="BN70" i="28"/>
  <c r="BN71" i="28"/>
  <c r="BN9" i="28"/>
  <c r="BN8" i="28"/>
  <c r="BO7" i="28"/>
  <c r="BN6" i="28" l="1"/>
  <c r="BO43" i="28"/>
  <c r="BO44" i="28"/>
  <c r="BO45" i="28"/>
  <c r="BO46" i="28"/>
  <c r="BO47" i="28"/>
  <c r="BO42" i="28"/>
  <c r="BO21" i="28"/>
  <c r="BO10" i="28"/>
  <c r="BO11" i="28"/>
  <c r="BO12" i="28"/>
  <c r="BO13" i="28"/>
  <c r="BO14" i="28"/>
  <c r="BO15" i="28"/>
  <c r="BO16" i="28"/>
  <c r="BO17" i="28"/>
  <c r="BO18" i="28"/>
  <c r="BO19" i="28"/>
  <c r="BO20" i="28"/>
  <c r="BO22" i="28"/>
  <c r="BO23" i="28"/>
  <c r="BO24" i="28"/>
  <c r="BO25" i="28"/>
  <c r="BO26" i="28"/>
  <c r="BO27" i="28"/>
  <c r="BO28" i="28"/>
  <c r="BO29" i="28"/>
  <c r="BO30" i="28"/>
  <c r="BO31" i="28"/>
  <c r="BO32" i="28"/>
  <c r="BO33" i="28"/>
  <c r="BO34" i="28"/>
  <c r="BO35" i="28"/>
  <c r="BO36" i="28"/>
  <c r="BO37" i="28"/>
  <c r="BO38" i="28"/>
  <c r="BO39" i="28"/>
  <c r="BO40" i="28"/>
  <c r="BO41" i="28"/>
  <c r="BO48" i="28"/>
  <c r="BO49" i="28"/>
  <c r="BO50" i="28"/>
  <c r="BO51" i="28"/>
  <c r="BO52" i="28"/>
  <c r="BO53" i="28"/>
  <c r="BO54" i="28"/>
  <c r="BO55" i="28"/>
  <c r="BO56" i="28"/>
  <c r="BO57" i="28"/>
  <c r="BO58" i="28"/>
  <c r="BO59" i="28"/>
  <c r="BO60" i="28"/>
  <c r="BO61" i="28"/>
  <c r="BO62" i="28"/>
  <c r="BO63" i="28"/>
  <c r="BO64" i="28"/>
  <c r="BO65" i="28"/>
  <c r="BO66" i="28"/>
  <c r="BO67" i="28"/>
  <c r="BO68" i="28"/>
  <c r="BO69" i="28"/>
  <c r="BO70" i="28"/>
  <c r="BO71" i="28"/>
  <c r="BO9" i="28"/>
  <c r="BO8" i="28"/>
  <c r="BP7" i="28"/>
  <c r="BO6" i="28" l="1"/>
  <c r="BP43" i="28"/>
  <c r="BP44" i="28"/>
  <c r="BP45" i="28"/>
  <c r="BP46" i="28"/>
  <c r="BP47" i="28"/>
  <c r="BP42" i="28"/>
  <c r="BP21" i="28"/>
  <c r="BP10" i="28"/>
  <c r="BP11" i="28"/>
  <c r="BP12" i="28"/>
  <c r="BP13" i="28"/>
  <c r="BP14" i="28"/>
  <c r="BP15" i="28"/>
  <c r="BP16" i="28"/>
  <c r="BP17" i="28"/>
  <c r="BP18" i="28"/>
  <c r="BP19" i="28"/>
  <c r="BP20" i="28"/>
  <c r="BP22" i="28"/>
  <c r="BP23" i="28"/>
  <c r="BP24" i="28"/>
  <c r="BP25" i="28"/>
  <c r="BP26" i="28"/>
  <c r="BP27" i="28"/>
  <c r="BP28" i="28"/>
  <c r="BP29" i="28"/>
  <c r="BP30" i="28"/>
  <c r="BP31" i="28"/>
  <c r="BP32" i="28"/>
  <c r="BP33" i="28"/>
  <c r="BP34" i="28"/>
  <c r="BP35" i="28"/>
  <c r="BP36" i="28"/>
  <c r="BP37" i="28"/>
  <c r="BP38" i="28"/>
  <c r="BP39" i="28"/>
  <c r="BP40" i="28"/>
  <c r="BP41" i="28"/>
  <c r="BP48" i="28"/>
  <c r="BP49" i="28"/>
  <c r="BP50" i="28"/>
  <c r="BP51" i="28"/>
  <c r="BP52" i="28"/>
  <c r="BP53" i="28"/>
  <c r="BP54" i="28"/>
  <c r="BP55" i="28"/>
  <c r="BP56" i="28"/>
  <c r="BP57" i="28"/>
  <c r="BP58" i="28"/>
  <c r="BP59" i="28"/>
  <c r="BP60" i="28"/>
  <c r="BP61" i="28"/>
  <c r="BP62" i="28"/>
  <c r="BP63" i="28"/>
  <c r="BP64" i="28"/>
  <c r="BP65" i="28"/>
  <c r="BP66" i="28"/>
  <c r="BP67" i="28"/>
  <c r="BP68" i="28"/>
  <c r="BP69" i="28"/>
  <c r="BP70" i="28"/>
  <c r="BP8" i="28"/>
  <c r="BP71" i="28"/>
  <c r="BP9" i="28"/>
  <c r="BP6" i="28" l="1"/>
</calcChain>
</file>

<file path=xl/sharedStrings.xml><?xml version="1.0" encoding="utf-8"?>
<sst xmlns="http://schemas.openxmlformats.org/spreadsheetml/2006/main" count="3250" uniqueCount="721">
  <si>
    <t>Laboratory</t>
  </si>
  <si>
    <t>Elixir Collector</t>
  </si>
  <si>
    <t>Gold Mine</t>
  </si>
  <si>
    <t>Cannon</t>
  </si>
  <si>
    <t>Wall</t>
  </si>
  <si>
    <t>Mortar</t>
  </si>
  <si>
    <t>Wizard Tower</t>
  </si>
  <si>
    <t>X-Bow</t>
  </si>
  <si>
    <t>Dark Elixir Drill</t>
  </si>
  <si>
    <t>Gold Storage</t>
  </si>
  <si>
    <t>Elixir Storage</t>
  </si>
  <si>
    <t>Dark Elixir Storage</t>
  </si>
  <si>
    <t>Army Camp</t>
  </si>
  <si>
    <t>Spell Factory</t>
  </si>
  <si>
    <t>Inferno Tower</t>
  </si>
  <si>
    <t>LVL Max</t>
  </si>
  <si>
    <t>Clan Castle</t>
  </si>
  <si>
    <t>LVL</t>
  </si>
  <si>
    <t>Cost</t>
  </si>
  <si>
    <t>Time</t>
  </si>
  <si>
    <t>Upgrades</t>
  </si>
  <si>
    <t>LVL Max2</t>
  </si>
  <si>
    <t>LVL Max3</t>
  </si>
  <si>
    <t>LVL Max4</t>
  </si>
  <si>
    <t>LVL Max5</t>
  </si>
  <si>
    <t>LVL Max6</t>
  </si>
  <si>
    <t>LVL Max7</t>
  </si>
  <si>
    <t>LVL Max8</t>
  </si>
  <si>
    <t>LVL Max9</t>
  </si>
  <si>
    <t>NB</t>
  </si>
  <si>
    <t>+</t>
  </si>
  <si>
    <t>Total</t>
  </si>
  <si>
    <t>Elixir</t>
  </si>
  <si>
    <t>Gold</t>
  </si>
  <si>
    <t>Archer Tower</t>
  </si>
  <si>
    <t>Air Defense</t>
  </si>
  <si>
    <t>Hidden Tesla</t>
  </si>
  <si>
    <t>Current</t>
  </si>
  <si>
    <t>Max</t>
  </si>
  <si>
    <t>Max +</t>
  </si>
  <si>
    <t>TO DO</t>
  </si>
  <si>
    <t>Total Time</t>
  </si>
  <si>
    <t>Total Cost</t>
  </si>
  <si>
    <t>Heroes</t>
  </si>
  <si>
    <t>Barbarian King</t>
  </si>
  <si>
    <t>Archer Queen</t>
  </si>
  <si>
    <t>Costs - Heroes</t>
  </si>
  <si>
    <t>Heroes (Available &amp; Max LVL)</t>
  </si>
  <si>
    <t>Heroes (Changes)</t>
  </si>
  <si>
    <t>Barbarian</t>
  </si>
  <si>
    <t>Archer</t>
  </si>
  <si>
    <t>Goblin</t>
  </si>
  <si>
    <t>Giant</t>
  </si>
  <si>
    <t>Wall Breaker</t>
  </si>
  <si>
    <t>Balloon</t>
  </si>
  <si>
    <t>Wizard</t>
  </si>
  <si>
    <t>Healer</t>
  </si>
  <si>
    <t>Dragon</t>
  </si>
  <si>
    <t>P.E.K.K.A</t>
  </si>
  <si>
    <t>Lightning Spell</t>
  </si>
  <si>
    <t>Healing Spell</t>
  </si>
  <si>
    <t>Rage Spell</t>
  </si>
  <si>
    <t>Jump Spell</t>
  </si>
  <si>
    <t>Costs - Spells Upgrades</t>
  </si>
  <si>
    <t>Minion</t>
  </si>
  <si>
    <t>Hog Rider</t>
  </si>
  <si>
    <t>Valkyrie</t>
  </si>
  <si>
    <t>Golem</t>
  </si>
  <si>
    <t>Dark Elixir</t>
  </si>
  <si>
    <t>Building</t>
  </si>
  <si>
    <t>Up.</t>
  </si>
  <si>
    <t>Spell</t>
  </si>
  <si>
    <t>Freeze Spell</t>
  </si>
  <si>
    <t>Traps (Available)</t>
  </si>
  <si>
    <t>Traps (Changes)</t>
  </si>
  <si>
    <t>Other Buildings (Changes)</t>
  </si>
  <si>
    <t>Other Buildings</t>
  </si>
  <si>
    <t>LVL Max10</t>
  </si>
  <si>
    <t>Costs - Other Buildings</t>
  </si>
  <si>
    <t>Hero</t>
  </si>
  <si>
    <t>Builders</t>
  </si>
  <si>
    <t>Normal Troop</t>
  </si>
  <si>
    <t>Dark Troop</t>
  </si>
  <si>
    <t>Costs - Normal Troops Upgrades</t>
  </si>
  <si>
    <t>Costs - Dark Troops Upgrades</t>
  </si>
  <si>
    <t>Resource Buildings</t>
  </si>
  <si>
    <t>Resource Buildings (Changes)</t>
  </si>
  <si>
    <t>Army Buildings (Changes)</t>
  </si>
  <si>
    <t>Defensive Buildings (Changes)</t>
  </si>
  <si>
    <t>Costs - Army Buildings</t>
  </si>
  <si>
    <t>Costs - Defensive Buildings</t>
  </si>
  <si>
    <t>Army Buildings</t>
  </si>
  <si>
    <t>Defensive Buildings</t>
  </si>
  <si>
    <t>Costs - Resource Buildings</t>
  </si>
  <si>
    <t>Version</t>
  </si>
  <si>
    <t>Description</t>
  </si>
  <si>
    <t>Download</t>
  </si>
  <si>
    <t>Name File</t>
  </si>
  <si>
    <t>- Initial version</t>
  </si>
  <si>
    <t>- Fixed Elixir Storage &amp; Gold Storage costs</t>
  </si>
  <si>
    <t>Dark Troops Upgrades</t>
  </si>
  <si>
    <t>Tot.</t>
  </si>
  <si>
    <t>Upgrade not available</t>
  </si>
  <si>
    <t>Error
Total max. reach</t>
  </si>
  <si>
    <t>Normal Troops Upgrades</t>
  </si>
  <si>
    <t>Spells Upgrades</t>
  </si>
  <si>
    <t>Spells Upgrades (Available &amp; Max LVL)</t>
  </si>
  <si>
    <t>Spells Upgrades (Changes)</t>
  </si>
  <si>
    <t>Normal Troops Upgrades (Available &amp; Max LVL)</t>
  </si>
  <si>
    <t>Normal Troops Upgrades (Changes)</t>
  </si>
  <si>
    <t>Dark Troops Upgrades (Available &amp; Max LVL)</t>
  </si>
  <si>
    <t>Dark Troops Upgrades (Changes)</t>
  </si>
  <si>
    <t>Summary Tables</t>
  </si>
  <si>
    <t>ChangeLog</t>
  </si>
  <si>
    <t>d/h/m</t>
  </si>
  <si>
    <t>- Adding the "ChangeLog" tab</t>
  </si>
  <si>
    <t>- Summary graphic changes on "TO DO" tab
- Displaying the time remaining in days rather than hours
- Locking formulas cells</t>
  </si>
  <si>
    <t>- Removing the tab "TO DO - By TH LVL"
- Renaming the tab "TO DO - By Current " to "TO DO"
- Conditional Formatting on "TO DO" tab</t>
  </si>
  <si>
    <t>/</t>
  </si>
  <si>
    <t>Production</t>
  </si>
  <si>
    <t>Capacity</t>
  </si>
  <si>
    <t>Earnings</t>
  </si>
  <si>
    <t>Period</t>
  </si>
  <si>
    <t>Type</t>
  </si>
  <si>
    <t>Time to reach needs</t>
  </si>
  <si>
    <t>Production / hour</t>
  </si>
  <si>
    <t>Production / period</t>
  </si>
  <si>
    <t>%</t>
  </si>
  <si>
    <t>Maximum Gain</t>
  </si>
  <si>
    <t>Trophy</t>
  </si>
  <si>
    <t>Gold Bonus</t>
  </si>
  <si>
    <t>Elixir Bonus</t>
  </si>
  <si>
    <t>Dark Elixir Bonus</t>
  </si>
  <si>
    <t>Rank</t>
  </si>
  <si>
    <t>Trophies</t>
  </si>
  <si>
    <t>Trophy Difference</t>
  </si>
  <si>
    <t>Loot Multiplier</t>
  </si>
  <si>
    <t>Raiding - Total Amount of Ressources</t>
  </si>
  <si>
    <t>Raiding - Available Amount of Ressources</t>
  </si>
  <si>
    <t>Max Stockable</t>
  </si>
  <si>
    <t>v1.01</t>
  </si>
  <si>
    <t>v1.21</t>
  </si>
  <si>
    <t>v1.22</t>
  </si>
  <si>
    <t>v1.23</t>
  </si>
  <si>
    <t>v1.31</t>
  </si>
  <si>
    <t>v1.41</t>
  </si>
  <si>
    <t>1 day</t>
  </si>
  <si>
    <t>Building not available</t>
  </si>
  <si>
    <t>Space</t>
  </si>
  <si>
    <t>Costs - Normal Troops Training</t>
  </si>
  <si>
    <t>Costs - Dark Troops Training</t>
  </si>
  <si>
    <t>Time (s)</t>
  </si>
  <si>
    <t>Current +</t>
  </si>
  <si>
    <t>Orange column:</t>
  </si>
  <si>
    <t>Spells Creation</t>
  </si>
  <si>
    <t>Normal Troops Training</t>
  </si>
  <si>
    <t>Dark Troops Training</t>
  </si>
  <si>
    <t>Total Space</t>
  </si>
  <si>
    <t>Max Space</t>
  </si>
  <si>
    <t>Attack</t>
  </si>
  <si>
    <t>h/m/s</t>
  </si>
  <si>
    <t>Army Camp - Total Capacity</t>
  </si>
  <si>
    <t>Yellow line:</t>
  </si>
  <si>
    <t>Error - Army Camp
Total max. reach</t>
  </si>
  <si>
    <t>Laboratory - NB</t>
  </si>
  <si>
    <t>Date</t>
  </si>
  <si>
    <t>v1.61</t>
  </si>
  <si>
    <t>v1.60</t>
  </si>
  <si>
    <t>v1.50</t>
  </si>
  <si>
    <t>v1.40</t>
  </si>
  <si>
    <t>v1.30</t>
  </si>
  <si>
    <t>v1.20</t>
  </si>
  <si>
    <t>v1.10</t>
  </si>
  <si>
    <t>v1.00</t>
  </si>
  <si>
    <t>Translation</t>
  </si>
  <si>
    <t>Tableaux récapitulatifs</t>
  </si>
  <si>
    <t>Mine d'Or</t>
  </si>
  <si>
    <t>TH LVL</t>
  </si>
  <si>
    <t>Héros</t>
  </si>
  <si>
    <t>Bâtiments Défensifs</t>
  </si>
  <si>
    <t>Bâtiments Autres</t>
  </si>
  <si>
    <t>Bâtiments d'Armée</t>
  </si>
  <si>
    <t>Reine des Archers</t>
  </si>
  <si>
    <t>Serviteur</t>
  </si>
  <si>
    <t>Guérisseuse</t>
  </si>
  <si>
    <t>Sorcier</t>
  </si>
  <si>
    <t>Ballon</t>
  </si>
  <si>
    <t>Sapeur</t>
  </si>
  <si>
    <t>Géant</t>
  </si>
  <si>
    <t>Gobelin</t>
  </si>
  <si>
    <t>Sort de Foudre</t>
  </si>
  <si>
    <t>Sort de Guérison</t>
  </si>
  <si>
    <t>Sort de Rage</t>
  </si>
  <si>
    <t>Sort de Saut</t>
  </si>
  <si>
    <t>Sort de Gel</t>
  </si>
  <si>
    <t>Barbare</t>
  </si>
  <si>
    <t>Roi des Barbares</t>
  </si>
  <si>
    <t>Hôtel de Ville</t>
  </si>
  <si>
    <t>Château de Clan</t>
  </si>
  <si>
    <t>Tour de l'Enfer</t>
  </si>
  <si>
    <t>Arc-X</t>
  </si>
  <si>
    <t>Tesla Camouflée</t>
  </si>
  <si>
    <t>Défense Antiaérienne</t>
  </si>
  <si>
    <t>Mortier</t>
  </si>
  <si>
    <t>Tour d'Archers</t>
  </si>
  <si>
    <t>Canon</t>
  </si>
  <si>
    <t>Rempart</t>
  </si>
  <si>
    <t>Caserne</t>
  </si>
  <si>
    <t>Laboratoire</t>
  </si>
  <si>
    <t>Usine de Sorts</t>
  </si>
  <si>
    <t>Extracteur d'Élixir</t>
  </si>
  <si>
    <t>Foreuse d'Élixir Noir</t>
  </si>
  <si>
    <t>Réserve d'Or</t>
  </si>
  <si>
    <t>seconds</t>
  </si>
  <si>
    <t>minutes</t>
  </si>
  <si>
    <t>secondes</t>
  </si>
  <si>
    <t>hours</t>
  </si>
  <si>
    <t>months</t>
  </si>
  <si>
    <t>heures</t>
  </si>
  <si>
    <t>mois</t>
  </si>
  <si>
    <t>days</t>
  </si>
  <si>
    <t>jours</t>
  </si>
  <si>
    <t>j/h/m</t>
  </si>
  <si>
    <t>hrs</t>
  </si>
  <si>
    <t>mins</t>
  </si>
  <si>
    <t>Time Display</t>
  </si>
  <si>
    <t>Améliorations de Sorts</t>
  </si>
  <si>
    <t>Améliorations de Troupes Noires</t>
  </si>
  <si>
    <t>Affichage Temps</t>
  </si>
  <si>
    <t>Required Resources</t>
  </si>
  <si>
    <t>Ressources Nécessaires</t>
  </si>
  <si>
    <t>Bâtiment</t>
  </si>
  <si>
    <t>Coût Total</t>
  </si>
  <si>
    <t>Temps Total</t>
  </si>
  <si>
    <t>Sort</t>
  </si>
  <si>
    <t>Troupe Normale</t>
  </si>
  <si>
    <t>Troupe Noire</t>
  </si>
  <si>
    <t>Or Total :</t>
  </si>
  <si>
    <t>Total Gold:</t>
  </si>
  <si>
    <t>Total Elixir:</t>
  </si>
  <si>
    <t>Améliorations de Troupes</t>
  </si>
  <si>
    <t>Élixir Total :</t>
  </si>
  <si>
    <t>Total Dark Elixir:</t>
  </si>
  <si>
    <t>Total Time:</t>
  </si>
  <si>
    <t>Temps Total :</t>
  </si>
  <si>
    <t>Chevaucheur de Cochon</t>
  </si>
  <si>
    <t>Or</t>
  </si>
  <si>
    <t>Élixir</t>
  </si>
  <si>
    <t>Élixir Noir</t>
  </si>
  <si>
    <t>Troops/Spells Up.:</t>
  </si>
  <si>
    <t>Champs</t>
  </si>
  <si>
    <t xml:space="preserve">Héros : </t>
  </si>
  <si>
    <t xml:space="preserve">Bâtiments : </t>
  </si>
  <si>
    <t xml:space="preserve">Buildings: </t>
  </si>
  <si>
    <t xml:space="preserve">Heroes: </t>
  </si>
  <si>
    <t>Améliorations de Troupes/Sorts :</t>
  </si>
  <si>
    <t>Actuel</t>
  </si>
  <si>
    <t>Améliorations</t>
  </si>
  <si>
    <t>Coût</t>
  </si>
  <si>
    <t>Temps</t>
  </si>
  <si>
    <t>Élixir Noir Total :</t>
  </si>
  <si>
    <t>Période</t>
  </si>
  <si>
    <t>Production / heure</t>
  </si>
  <si>
    <t>Production / période</t>
  </si>
  <si>
    <t>Temps pour obtenir besoins</t>
  </si>
  <si>
    <t>1 hour</t>
  </si>
  <si>
    <t>2 hours</t>
  </si>
  <si>
    <t>4 hours</t>
  </si>
  <si>
    <t>8 hours</t>
  </si>
  <si>
    <t>16 hours</t>
  </si>
  <si>
    <t>2 days</t>
  </si>
  <si>
    <t>3 days</t>
  </si>
  <si>
    <t>1 week</t>
  </si>
  <si>
    <t>1 month</t>
  </si>
  <si>
    <t>Fields</t>
  </si>
  <si>
    <t>1 heure</t>
  </si>
  <si>
    <t>2 heures</t>
  </si>
  <si>
    <t>4 heures</t>
  </si>
  <si>
    <t>8 heures</t>
  </si>
  <si>
    <t>16 heures</t>
  </si>
  <si>
    <t>1 jour</t>
  </si>
  <si>
    <t>2 jours</t>
  </si>
  <si>
    <t>3 jours</t>
  </si>
  <si>
    <t>1 semaine</t>
  </si>
  <si>
    <t>1 mois</t>
  </si>
  <si>
    <t>Stockage Max</t>
  </si>
  <si>
    <t>Attaque / Défense</t>
  </si>
  <si>
    <t>Attack / Defense</t>
  </si>
  <si>
    <t>Defense</t>
  </si>
  <si>
    <t>Attaque</t>
  </si>
  <si>
    <t>Défense</t>
  </si>
  <si>
    <t>LVL HdV</t>
  </si>
  <si>
    <t>LVL HdV Opposant</t>
  </si>
  <si>
    <t>Différence LVL HdV</t>
  </si>
  <si>
    <t>Trophées</t>
  </si>
  <si>
    <t>Gain Maximum</t>
  </si>
  <si>
    <t>Red cell:</t>
  </si>
  <si>
    <t>Orange Cell:</t>
  </si>
  <si>
    <t>Cellule rouge :</t>
  </si>
  <si>
    <t>Cellule orange :</t>
  </si>
  <si>
    <t>Combat - Nombre Total de Ressources</t>
  </si>
  <si>
    <t>Combat - Nombre de Ressources Disponibles</t>
  </si>
  <si>
    <t>Storages</t>
  </si>
  <si>
    <t>Mines/Collectors/Drills</t>
  </si>
  <si>
    <t>Mines/Extracteurs/Foreuses</t>
  </si>
  <si>
    <t>League Bonus</t>
  </si>
  <si>
    <t>Bonus de Ligue</t>
  </si>
  <si>
    <t>Multiplicateur de Loot</t>
  </si>
  <si>
    <t>Bâtiment non disponible</t>
  </si>
  <si>
    <t xml:space="preserve">Loots - Possible Losses vs TH LVL </t>
  </si>
  <si>
    <t xml:space="preserve">Loots - Gains Possibles vs HdV LVL </t>
  </si>
  <si>
    <t xml:space="preserve">Loots - Pertes Possibles vs HdV LVL </t>
  </si>
  <si>
    <t>Création de Sorts</t>
  </si>
  <si>
    <t>Formation de Troupes Normales</t>
  </si>
  <si>
    <t>Formation de Troupes Noires</t>
  </si>
  <si>
    <t>LVL Usine de Sorts</t>
  </si>
  <si>
    <t>Espace Max</t>
  </si>
  <si>
    <t>Espace Total</t>
  </si>
  <si>
    <t>NB
Caserne</t>
  </si>
  <si>
    <t>NB
Caserne Noire</t>
  </si>
  <si>
    <t>Caserne n°4 - NB</t>
  </si>
  <si>
    <t>Caserne n°3 - NB</t>
  </si>
  <si>
    <t>Caserne n°1 - NB</t>
  </si>
  <si>
    <t>LVL
Caserne n°1</t>
  </si>
  <si>
    <t>LVL
Caserne n°2</t>
  </si>
  <si>
    <t>LVL
Caserne n°3</t>
  </si>
  <si>
    <t>LVL
Caserne n°4</t>
  </si>
  <si>
    <t>LVL
Caserne Noire n°1</t>
  </si>
  <si>
    <t>LVL
Caserne Noire n°2</t>
  </si>
  <si>
    <t>Caserne Noire n°1 - NB</t>
  </si>
  <si>
    <t>Caserne Noire n°2 - NB</t>
  </si>
  <si>
    <t>Actuel +</t>
  </si>
  <si>
    <t>Troupe/Sort non disponible</t>
  </si>
  <si>
    <t>Colonne orange :</t>
  </si>
  <si>
    <t>Erreur - Caserne
Max. total atteint</t>
  </si>
  <si>
    <t>Colonne marron :</t>
  </si>
  <si>
    <t>Caserne non disponible
(ou pas de Laboratoire)</t>
  </si>
  <si>
    <t>Army Camp
Total Capacity</t>
  </si>
  <si>
    <t>Camp Militaire</t>
  </si>
  <si>
    <t>Camp Militaire - Capacité Totale</t>
  </si>
  <si>
    <t>Ligne jaune :</t>
  </si>
  <si>
    <t>Erreur - Camp Militaire
Max. total atteint</t>
  </si>
  <si>
    <t>Erreur - Bâtiment
Max. total atteint</t>
  </si>
  <si>
    <t>Caserne Noire</t>
  </si>
  <si>
    <t>Hôtel de Ville - Or</t>
  </si>
  <si>
    <t>Hôtel de Ville - Élixir</t>
  </si>
  <si>
    <t>Camp Militaire
Capacité Totale</t>
  </si>
  <si>
    <t>Cellule marron :</t>
  </si>
  <si>
    <t>Brown cell:</t>
  </si>
  <si>
    <t>sec</t>
  </si>
  <si>
    <t>Amélioration non disponible</t>
  </si>
  <si>
    <t>Erreur
Max. total atteint</t>
  </si>
  <si>
    <t>Ouvriers</t>
  </si>
  <si>
    <t>3.a. Write down the number of Buildings you currently have with their corresponding levels
3.b. Write down the current level of your Spells/Normals Troops/Dark Troops upgrades
3.c. Write down the current level of your Heroes</t>
  </si>
  <si>
    <t>3.a. Saisir le nombre de Bâtiments que vous avez actuellement avec leurs levels correspondants
3.b. Saisir le level actuel de vos améliorations de Sorts/Troupes Normales/Troupes Noires
3.c. Saisir le level actuel de vos Héros</t>
  </si>
  <si>
    <t>Journal des Modifications</t>
  </si>
  <si>
    <t>Nom de Fichier</t>
  </si>
  <si>
    <t>Téléchargement</t>
  </si>
  <si>
    <t>=&gt; Temps par Ouvrier :</t>
  </si>
  <si>
    <t>Caserne° 2 - NB</t>
  </si>
  <si>
    <t>=&gt; Time per Builder:</t>
  </si>
  <si>
    <t>- Ajout de la date dans l'onglet "Journal des Modifications"
- Correction d'un bug de formatage conditionnel sur l'onglet "Formation de Troupes"</t>
  </si>
  <si>
    <t>À Faire</t>
  </si>
  <si>
    <t>Bâtiments de Ressources (Changements)</t>
  </si>
  <si>
    <t>Capacity - Buildings</t>
  </si>
  <si>
    <t>Bâtiments d'Amée (Changements)</t>
  </si>
  <si>
    <t>Pièges (Disponibles)</t>
  </si>
  <si>
    <t>Bâtiments de Défense (Changements)</t>
  </si>
  <si>
    <t>Pièges (Changements)</t>
  </si>
  <si>
    <t>Bâtiments Autres (Changements)</t>
  </si>
  <si>
    <t>Améliorations de Sorts (Changements)</t>
  </si>
  <si>
    <t>Améliorations de Troupes Normales (Changements)</t>
  </si>
  <si>
    <t>Héros (Changements)</t>
  </si>
  <si>
    <t>Améliorations de Troupes Noires (Changements)</t>
  </si>
  <si>
    <t>Coûts - Bâtiments de Ressources</t>
  </si>
  <si>
    <t>Coûts - Bâtiments d'Armée</t>
  </si>
  <si>
    <t>Coûts - Bâtiments de Défense</t>
  </si>
  <si>
    <t>Coûts - Bâtiments Autres</t>
  </si>
  <si>
    <t>Coûts - Améliorations de Sorts</t>
  </si>
  <si>
    <t>Coûts - Améliroations de Troupes Normales</t>
  </si>
  <si>
    <t>Coûts - Améliorations de Troupes Noires</t>
  </si>
  <si>
    <t>Coûts - Héros</t>
  </si>
  <si>
    <t>Gains</t>
  </si>
  <si>
    <t>Capacité</t>
  </si>
  <si>
    <t>Bonus de Trophées</t>
  </si>
  <si>
    <t>Classement</t>
  </si>
  <si>
    <t>Bonus d'Or</t>
  </si>
  <si>
    <t>Bonus d'Élixir</t>
  </si>
  <si>
    <t>Bonus d'Élixir Noir</t>
  </si>
  <si>
    <t>Différence de Trophées</t>
  </si>
  <si>
    <t>Coûts - Formation de Troupes Normales</t>
  </si>
  <si>
    <t>Espace</t>
  </si>
  <si>
    <t>Coûts - Formation de Troupes Noires</t>
  </si>
  <si>
    <t>Capacité - Bâtiments</t>
  </si>
  <si>
    <t>Trophies Bonus</t>
  </si>
  <si>
    <t>Trophies Difference</t>
  </si>
  <si>
    <t>Error - Building
Total max. reach</t>
  </si>
  <si>
    <t>Troop/Spell not available</t>
  </si>
  <si>
    <t>Max LVL</t>
  </si>
  <si>
    <t>Spell Factory
LVL</t>
  </si>
  <si>
    <t>Améliorations de Troupes Noires (Disponibles et LVL Max)</t>
  </si>
  <si>
    <t>Héros (Disponibles &amp; LVL Max)</t>
  </si>
  <si>
    <t>Améliorations de Troupes Normales (Disponibles &amp; LVL Max)</t>
  </si>
  <si>
    <t>Améliorations de Sorts (Disponibles et LVL Max)</t>
  </si>
  <si>
    <t>Bâtiments d'Amée (Disponibles et LVL Max)</t>
  </si>
  <si>
    <t>Bâtiments de Défense (Disponibles et LVL Max)</t>
  </si>
  <si>
    <t>Bâtiments Autres (Disponibles et LVL Max)</t>
  </si>
  <si>
    <t>Bâtiments de Ressources (Disponibles et LVL Max)</t>
  </si>
  <si>
    <t>Army Buildings (Available &amp; Max LVL)</t>
  </si>
  <si>
    <t>Defensive Buildings (Available &amp; Max LVL)</t>
  </si>
  <si>
    <t>Other Buildings (Available &amp; Max LVL)</t>
  </si>
  <si>
    <t>Resource Buildings (Available &amp; Max LVL)</t>
  </si>
  <si>
    <t>TH LVL Difference</t>
  </si>
  <si>
    <t>INSTRUCTIONS:
1. LVL HdV : Indiquer le level de votre Hôtel de Ville (1-10)
2. Ouvriers : Indiquer le nombre d'ouvriers que vous avez (1-5)</t>
  </si>
  <si>
    <t>Opponent TH LVL</t>
  </si>
  <si>
    <t>Langue</t>
  </si>
  <si>
    <t>Language</t>
  </si>
  <si>
    <t>Français - FR</t>
  </si>
  <si>
    <t>English - EN</t>
  </si>
  <si>
    <t>Raiding - Profits</t>
  </si>
  <si>
    <t>Amount</t>
  </si>
  <si>
    <t>Raiding - Earnings</t>
  </si>
  <si>
    <t>Combat - Gains</t>
  </si>
  <si>
    <t>Combat - Profits</t>
  </si>
  <si>
    <t>Montant</t>
  </si>
  <si>
    <t>v1.70</t>
  </si>
  <si>
    <t xml:space="preserve">Description </t>
  </si>
  <si>
    <t>- Version initiale</t>
  </si>
  <si>
    <t>- Changements graphiques sur le récapitulatif sur l'onglet "À Faire"
- Affichage du temps restant en jours plutôt qu'en heures
- Verrouillage des cellules de formules</t>
  </si>
  <si>
    <t>- Correction des coûts de Réserve d'Or et Réserve d'Élixir</t>
  </si>
  <si>
    <t>- Changements sur l'onglet "Paramètres"
   - Tableau récapitulatif de tous les améliorations de Bâtiments et Sorts/Troupes Normales/Troupes Noires
    - Toutes les données utilisateurs doivent désormais être saisies dans cet onglet et l'onglet "À faire" n'affiche que les résultats
    - Ajout d'indications pour utiliser le fichier Excel</t>
  </si>
  <si>
    <t>- Ajout de l'onglet "Journal des Modifications"</t>
  </si>
  <si>
    <t>- Affichage des Bâtiments par catégorie sur un seul onglet
- Changements graphiques sur le récapitulatif dans l'onglet "À faire - Actuellement"
- Ajout d'un graphique "Ressources Nécessaires"</t>
  </si>
  <si>
    <t>- Mise à jour des Coûts/Temps des Sorts</t>
  </si>
  <si>
    <t>- Updating Spells Costs/Time</t>
  </si>
  <si>
    <t>- Updating available Buildings, following the maintenance of 2013/06/24
     For TH LVL 10:
        - 1 more Gold Mine
        - 1 more Elixir Collector</t>
  </si>
  <si>
    <t>- Suppression de l'onglet "À faire - Par LVL HdV"
- Renommage de l'onglet "À faire - Actuellement" par "À faire"
- Mise en forme conditionnelle sur l'onglet "À faire"</t>
  </si>
  <si>
    <t>- Mise à jour des Bâtiments disponibles, suite à la maintenance du 24/06/2013
    Pour LVL HdV 10 :
     - 1 Mine d'Or supplémentaire
     - 1 Extracteur d'Élixir supplémentaire</t>
  </si>
  <si>
    <t>- Ajout de l'onglet "Formation de Troupes" : cela permet de connaître les possibilités de formation par rapport aux levels des Casernes/Laboratoire ainsi que les coûts totaux
- Renommage de l'onglet "Ligues" par "Trophées"
- Renommage de l'onglet "Coûts" par "Coûts des Améliorations"
- Formatage conditionnel sur l'onglet "Production"
- Modifications sur le formatage conditionnel sur l'onglet "Combats - Loots"
- Correction des Coûts/Temps des améliorations du Sort de Gel
- Correction du LVL HdV nécessaire pour les améliorations de Sorts</t>
  </si>
  <si>
    <t>- Adding the "Troops Training" tab: It helps to know training possibilities regarding the Barracks/Laboratory level and the total costs
- Renaming the "Leagues" tab to "Trophies"
- Renaming the "Costs" tab to "Upgrades Costs"
- Conditional formatting on "Production" tab
- Conditional formatting changes on "Raidings Loots" tab
- Fixing Freeze Spell upgrade Costs/Time
- Fixing TH LVL required for Spells Upgrades</t>
  </si>
  <si>
    <t xml:space="preserve">Loots - Possible Earnings vs TH LVL </t>
  </si>
  <si>
    <t>- Fixing the summary cost view for Golem upgrade
- Fixing the summary time view for Troops/Spells upgrades
- Editing the cell format for numbers</t>
  </si>
  <si>
    <t>- Correction de la vue récapitulative pour l'amélioration de Golem
- Correction de la vue récapitulative pour les améliorations de Troupes/Sorts
- Modification du format de cellule pour les nombres</t>
  </si>
  <si>
    <t>- Séparation des sections récapitulatif et détails
   - Ajout de l'onglet "À Faire - Récapitulatif"
   - Renommage de l'onglet "À Faire" par "À Faire - Détails"
- Les temps peuvent désormais être affichés en secondes/minutes/heures/jours/mois/jours heures minutes en sélectionnant le choix dans la cellule B2 (onglet "À Faire - Récapitulatif")
- Masquage du quadrillage dans les onglets
- Autorisation de modifier le format de cellule / utiliser des filtres / trier même si l'onglet est verrouillé</t>
  </si>
  <si>
    <t>- Ajout de l'onglet "Production" : cela permet de connaître combien de ressources peuvent être gagnées dans un temps imparti
- Ajout de l'onglet "Combats - Loots" : cela permet de connaître les gains ou pertes possibles dans les combats multi-joueurs
- Changements graphiques mineurs
- Renommage des anciennes versions du fichier
- Renommage du fichier</t>
  </si>
  <si>
    <t>- Adding the Date in the "ChangeLog" tab
- Fixing bug with conditional formatting on "Troops Training" tab</t>
  </si>
  <si>
    <t>- Adding the "Production" tab: It helps to know how many resources can be won in a specific time
- Adding the "Raiding Loots" tab: It helps to know the possible earnings or losses in Multiplayer Raiding
- Small graphic changes
- Renaming previous file versions
- Renaming file</t>
  </si>
  <si>
    <t>- Displaying buildings by category on one tab
- Summary graphic changes on "TO DO - Current" tab
- Adding a graphic "Required Resources"</t>
  </si>
  <si>
    <t>Bâtiments de Ressources</t>
  </si>
  <si>
    <t>Laboratoire - NB</t>
  </si>
  <si>
    <t>- Ajout du choix de la langue dans l'onglet "Paramètres" - traduction en français
- Ajout de la fonctionnalité permettant de voir les profits en fonction des coûts de formation et des gains de combat dans l'onglet "Formation de Troupes"
- Restriction des droits sur les feuilles du fichier - impossibilité de cliquer sur les cellules protégées
- Restriction des valeurs saisissables dans les cellules
- Changements graphiques mineurs</t>
  </si>
  <si>
    <t>- Adding the language selection in the "Parameters" tab - French translation
- Adding the feature which allow to see profits regarding the training costs and the raiding wins on the "Training Troops" tab
- Rights' restriction on the file's sheets - unable to click on the protected cells
- Values seizure restriction on cells
- Small graphic changes</t>
  </si>
  <si>
    <t>Réservoir d'Élixir Noir</t>
  </si>
  <si>
    <t>Réservoir d'Élixir</t>
  </si>
  <si>
    <t>Stockages</t>
  </si>
  <si>
    <t>Tour de Sorciers</t>
  </si>
  <si>
    <t>Cellule verte :</t>
  </si>
  <si>
    <t>Amélioration max. atteinte</t>
  </si>
  <si>
    <t>Green cell:</t>
  </si>
  <si>
    <t>Max. upgrade reached</t>
  </si>
  <si>
    <t>v1.71</t>
  </si>
  <si>
    <t>- Mise en forme conditionnelle dans l'onglet "Paramètres" pour savoir les améliorations restantes/indisponibles
- Correction de la traduction pour "Tour de l'Enfer"
- Correction de la couleur représentative du coût de "Tesla Camouflée" dans l'onglet "À Faire - Détails"
- Correction du calcul total avec l'ajout de la ligne des "P.E.K.K.A" dans l'onglet "Formation de Troupes" 
- Modification de la couleur de l'Élixir</t>
  </si>
  <si>
    <t>Plan</t>
  </si>
  <si>
    <t>Actual</t>
  </si>
  <si>
    <t>NB Upgrades</t>
  </si>
  <si>
    <t>Plan Start</t>
  </si>
  <si>
    <t>Actual Start</t>
  </si>
  <si>
    <t>Actual Duration</t>
  </si>
  <si>
    <t>% Complete</t>
  </si>
  <si>
    <t>Start Date</t>
  </si>
  <si>
    <t>Calendar</t>
  </si>
  <si>
    <t>Planning</t>
  </si>
  <si>
    <t>Plan Duration (days)</t>
  </si>
  <si>
    <t>Actual (beyond plan)</t>
  </si>
  <si>
    <t>% Complete (beyond plan)</t>
  </si>
  <si>
    <t>Error - Not enought Builders</t>
  </si>
  <si>
    <t>Step (day)</t>
  </si>
  <si>
    <t>Period Highlight</t>
  </si>
  <si>
    <t>Date de Départ</t>
  </si>
  <si>
    <t>Pas (jour)</t>
  </si>
  <si>
    <t>Période Sélectionnée</t>
  </si>
  <si>
    <t>Construction / Upgrade</t>
  </si>
  <si>
    <t>Construction / Amélioration</t>
  </si>
  <si>
    <t>Durée Planifée (jours)</t>
  </si>
  <si>
    <t>Début Planifiée</t>
  </si>
  <si>
    <t>Début Réel</t>
  </si>
  <si>
    <t>% Réalisé</t>
  </si>
  <si>
    <t>Réel (au-delà du planifié)</t>
  </si>
  <si>
    <t>% Réalisé (au-delà du planifié)</t>
  </si>
  <si>
    <t>Erreur - Pas suffisament d'Ouvriers</t>
  </si>
  <si>
    <t>Durée Réelle</t>
  </si>
  <si>
    <t>Planifié</t>
  </si>
  <si>
    <t>Réel</t>
  </si>
  <si>
    <t>Calendrier</t>
  </si>
  <si>
    <t>Réinitialiser</t>
  </si>
  <si>
    <t>Créer Planning</t>
  </si>
  <si>
    <t>Create Planning</t>
  </si>
  <si>
    <t>Reset</t>
  </si>
  <si>
    <t>Elixir needs</t>
  </si>
  <si>
    <t>Besoins d'Or
(sans remparts)</t>
  </si>
  <si>
    <t>Gold needs
(without walls)</t>
  </si>
  <si>
    <t>Besoins d'Elixir</t>
  </si>
  <si>
    <t>Besoins d'Elixir Noir</t>
  </si>
  <si>
    <t>Legend</t>
  </si>
  <si>
    <t>Builders available</t>
  </si>
  <si>
    <t>Ouvriers disponibles</t>
  </si>
  <si>
    <t>v1.80</t>
  </si>
  <si>
    <t>- Ajout de l'onglet "Planning" pour prévoir les futures constructions/améliorations.</t>
  </si>
  <si>
    <t>Adding the "Planning" tab to know the constuctions/upgrades futures</t>
  </si>
  <si>
    <t>Dark Elixir needs</t>
  </si>
  <si>
    <t>Town Hall</t>
  </si>
  <si>
    <t>Town Hall - Elixir</t>
  </si>
  <si>
    <t>Town Hall - Gold</t>
  </si>
  <si>
    <t>INSTRUCTIONS:
1. TH LVL: Indicate the level of your Town Hall (1-10)
2. Builders: Indicate the number of Builders you have (1-5)</t>
  </si>
  <si>
    <t>v1.81</t>
  </si>
  <si>
    <t>Légende</t>
  </si>
  <si>
    <t>- Correction de la traduction pour "Hôtel de Ville"
- Rafraichissement automatique lorsqu'on choisit la période sélectionnée dans l'onglet "Planning"
- Figeage des volets dans l'onglet "Planning"</t>
  </si>
  <si>
    <t>- Fixing the translation for "Town Hall"
- Automatic refresh when selecting the "Period Highlight" on the "Planning" tab
- Freezing panes on the "Planning" tab</t>
  </si>
  <si>
    <t>Barracks</t>
  </si>
  <si>
    <t>Barracks #1 - NB</t>
  </si>
  <si>
    <t>Barracks #1
LVL</t>
  </si>
  <si>
    <t>Barracks #2 - NB</t>
  </si>
  <si>
    <t>Barracks #2
LVL</t>
  </si>
  <si>
    <t>Barracks #3 - NB</t>
  </si>
  <si>
    <t>Barracks #3
LVL</t>
  </si>
  <si>
    <t>Barracks #4 - NB</t>
  </si>
  <si>
    <t>Barracks #4
LVL</t>
  </si>
  <si>
    <t>Barracks not available
(or no Laboratory)</t>
  </si>
  <si>
    <t>Dark Barracks</t>
  </si>
  <si>
    <t>Dark Barracks #1 - NB</t>
  </si>
  <si>
    <t>Dark Barracks #1
LVL</t>
  </si>
  <si>
    <t>Dark Barracks #2 - NB</t>
  </si>
  <si>
    <t>Dark Barracks #2
LVL</t>
  </si>
  <si>
    <t>Error - Barracks
Total max. reach</t>
  </si>
  <si>
    <t>NB
Barracks</t>
  </si>
  <si>
    <t>NB
Dark Barracks</t>
  </si>
  <si>
    <t>v1.82</t>
  </si>
  <si>
    <t>- Modification du nom de fichier pour que les macros VBA fonctionnent
- Correction de la traduction pour les "Casernes"
- Correction du calcul des "Remparts" dans l'onglet "À Faire - Détails". Oubli de formules</t>
  </si>
  <si>
    <t>Witch</t>
  </si>
  <si>
    <t>Sorcière</t>
  </si>
  <si>
    <t>v1.90</t>
  </si>
  <si>
    <t>v1.41 - FR</t>
  </si>
  <si>
    <t>- Version française du fichier 1.41</t>
  </si>
  <si>
    <t>- French version of 1.41 file</t>
  </si>
  <si>
    <t>- Updates following the maintenance of 2013-07-29
- Switching host file uploader</t>
  </si>
  <si>
    <t>- Mises à jour suite à la maintenance du 29/07/2013
- Changement de l'hébergeur des fichiers</t>
  </si>
  <si>
    <t>v1.91</t>
  </si>
  <si>
    <t>- Petites corrections
   - Niveau de HdV ne correspondait pas dans les onglets "Planning" et "Combats - Loots"
   - Correction du niveau des casernes noires dans l'onglet "Formation de Troupes"
   - Oubli d'une formule dans l'onglet "Paramètres" pour la Sorcière
- Modification du code VBA - Plus de vérification sur le nom du fichier</t>
  </si>
  <si>
    <t>- Small fixes
    - TH Level was incorrect in "Planning" and "Raiding - Loots" tabs
    - Fixed the level of dark barracks in "Troops Training" tab
    - Forgot a formula in the "Parameters" tab for the Witch
- Changing the VBA code - No more checking on the filename</t>
  </si>
  <si>
    <t>- Renaming the file so the VBA code can works
- Fixing the translation for the "Barracks"
- Fixing the calculation for the "Walls" in the "TO DO - Details" tab. Forgot some formulas</t>
  </si>
  <si>
    <t>- Conditionnal formatting on "Parameters" tab to know which ameliorations are left/unavailable
- Fixing the translation for "Inferno Tower"
- Fixing the representative color for "Hidden Tesla" in the "TO DO - Details" tab
- Fixing the total cost with the adding of the "P.E.K.K.A" line o=in the "Trainings Troops" tab
- Editing the "Elixir" color</t>
  </si>
  <si>
    <t>- Separation of summary and details sections
     - Adding the tab "TO DO - Summary"
     - Renaming the tab "TO DO" to "TO DO - Details"
- The times can now be displayed by seconds/minutes/hours/days/months/days hours minutes" by selecting the choice in B2 cell ("TO DO - Summary" tab)
- Hiding the grid in the tabs
- Allowing permission to change the cell format / use filters / sort even if the tab is locked</t>
  </si>
  <si>
    <t>- Changes on the "Parameters" tab. 
     - Summary table of all Buildings and Spells/Normal Troops/Dark Troops Upgrades. 
      - All user data has to be written in this tab and now the "TO DO" tab only display results
     - Adding indications to use the Excel file</t>
  </si>
  <si>
    <t>v2.00</t>
  </si>
  <si>
    <t>- Mises à jour suite à la maintenance du 28/08/2013
- Ajout du total de troupes dans l'onglet "Formation de Troupes"
- Correction du level nécessaire pour le "Sort de Guérison"
- Correction de formules des totaux "Batiments d'Armée" dans l'onglet "À Faire - Récapitulatif"
- Correction des formules pour le "Sapeur" et les "Casernes Noires" dans l'onglet "À Faire - Détails"</t>
  </si>
  <si>
    <t>- Updates following the maintenance of 2013-08-28
- Adding the total of troops in "Troups training" tab
- Fixing the required level for the "Healing Spell"
- Fixing the totals formulas of "Army Buildings"  in "TO DO - Summary" tab
- Fixing formulas for "Wall Breaker" and "Dark Barracks" in "TO DO - Details" tab</t>
  </si>
  <si>
    <t>LVL Max33</t>
  </si>
  <si>
    <t>LVL Max35</t>
  </si>
  <si>
    <t>LVL Max37</t>
  </si>
  <si>
    <t>LVL Max39</t>
  </si>
  <si>
    <t>LVL Max41</t>
  </si>
  <si>
    <t>Bombe géante</t>
  </si>
  <si>
    <t>Piège à ressort</t>
  </si>
  <si>
    <t>Bombe aérienne</t>
  </si>
  <si>
    <t>Bombe</t>
  </si>
  <si>
    <t>Tête chercheuse</t>
  </si>
  <si>
    <t>LVL Max43</t>
  </si>
  <si>
    <t>Piège squelettique</t>
  </si>
  <si>
    <t>LVL Max53</t>
  </si>
  <si>
    <t>LVL Max55</t>
  </si>
  <si>
    <t>v4.00</t>
  </si>
  <si>
    <t>v4.01</t>
  </si>
  <si>
    <t>v4.02</t>
  </si>
  <si>
    <t>- Correction des niveau des bombes et des bombes géantes</t>
  </si>
  <si>
    <t xml:space="preserve">- Correctif sur :
- Les TDA n'affichent que 12 lvl alors qu'il y en a maintenant 13
- Les Barbares et Archers ont maintenant 7 lvl et non plus 6 comme l'indique le tableau
- Le PEKKA peut maintenant être up au lvl 5 et non plus seulement 4, 
- Les Teslas peuvent etre up jusqu'au lvl 8 et non plus seulement 7, 
- Le sort de saut à maintenant 3 lvl et non plus seulement 2, </t>
  </si>
  <si>
    <t>- Ajout des pièges dans l'onglet paramétre - Batiment - Amélioration et couts des améliorations
Piège à ressort 
Tête chercheuse  
Bombe géante  
Bombe aérienne 
pour integration dans l'onglet planning
Piège squelettique</t>
  </si>
  <si>
    <t>Molosse de lave</t>
  </si>
  <si>
    <t>v4.03</t>
  </si>
  <si>
    <t>- Correctif sur :
- Ajout de la nouvelle untité des molosses de lave
- Correction dans l'onglet : "À Faire - Détails" , la formule de la cellulle B148 est fausse on pointe plus au bonne endroit</t>
  </si>
  <si>
    <t>v4.04</t>
  </si>
  <si>
    <t>v4.05</t>
  </si>
  <si>
    <t>- Correctif sur :
- Onglet planning qui ajoutais un ouvrier pour les amelioration des sort ou des unités noirs</t>
  </si>
  <si>
    <t>- Correctif sur :
- d'une erreur dans les formules de l'onglet planning inversion entre les golems et les molosse de lave</t>
  </si>
  <si>
    <t>v4.06</t>
  </si>
  <si>
    <t>- Correctif sur :
- Modification du niveau du sort de guerisson pour aparaitre avec HDV niveau 6
- et la caserne noire est disponible au niveau 6 dès l'hôtel de ville niveau 9</t>
  </si>
  <si>
    <t>Pièges Défensifs</t>
  </si>
  <si>
    <t>V4.07</t>
  </si>
  <si>
    <t xml:space="preserve">Ajout :
- Modification des temps de construction des bombes
- Ajout dans "A Faire - Détails" de la gestion des bombes
- Ajout dans "A faire - Récapitualitif " de la gestion des bombes
- Corrections sur les formules </t>
  </si>
  <si>
    <t>V4.07.01</t>
  </si>
  <si>
    <t xml:space="preserve">Ajout :
- Ajout dans "A Faire - Détails " &amp; "A Faire - Récupitulatif" des "Bombe Géante"
- Mofication des formules pour les calcules de temps </t>
  </si>
  <si>
    <t>Ajout :
- Bombe Aérienne 
- Piège Squelletique
Dans les onglets : A faire - Détail &amp; A faire - Récapitulatif 
Correction divers de formules</t>
  </si>
  <si>
    <t>V4.07.02</t>
  </si>
  <si>
    <t>V.4.8</t>
  </si>
  <si>
    <r>
      <t xml:space="preserve">- Yezazell - 
Modification :
 - Séparation des </t>
    </r>
    <r>
      <rPr>
        <b/>
        <i/>
        <sz val="8"/>
        <color theme="1"/>
        <rFont val="Calibri"/>
        <family val="2"/>
        <scheme val="minor"/>
      </rPr>
      <t>pièges défensifs</t>
    </r>
    <r>
      <rPr>
        <sz val="8"/>
        <color theme="1"/>
        <rFont val="Calibri"/>
        <family val="2"/>
        <scheme val="minor"/>
      </rPr>
      <t xml:space="preserve">et des </t>
    </r>
    <r>
      <rPr>
        <b/>
        <i/>
        <sz val="8"/>
        <color theme="1"/>
        <rFont val="Calibri"/>
        <family val="2"/>
        <scheme val="minor"/>
      </rPr>
      <t xml:space="preserve">batiments défensifs
 - </t>
    </r>
    <r>
      <rPr>
        <sz val="8"/>
        <color theme="1"/>
        <rFont val="Calibri"/>
        <family val="2"/>
        <scheme val="minor"/>
      </rPr>
      <t>Modification de toutes les formules en respectant l'éxistant</t>
    </r>
  </si>
  <si>
    <t>V.4.9</t>
  </si>
  <si>
    <t>- Yezazell - 
Ajout : 
- Molosse de lave onglet : Formation de troupes
- Ajout gestion Caserne Noir Lvl 6
- Modifications mise en forme conditionnelle…</t>
  </si>
  <si>
    <t>LVL Max32</t>
  </si>
  <si>
    <t>V4.09.01</t>
  </si>
  <si>
    <r>
      <t xml:space="preserve">- Yezazell - 
Correction mineur sur les formules de l'onglet </t>
    </r>
    <r>
      <rPr>
        <b/>
        <i/>
        <sz val="8"/>
        <color theme="1"/>
        <rFont val="Calibri"/>
        <family val="2"/>
        <scheme val="minor"/>
      </rPr>
      <t xml:space="preserve">"Paramètres", </t>
    </r>
    <r>
      <rPr>
        <sz val="8"/>
        <color theme="1"/>
        <rFont val="Calibri"/>
        <family val="2"/>
        <scheme val="minor"/>
      </rPr>
      <t>le problème venait de l'onglet batiment ou il manquait une colonne HDV</t>
    </r>
  </si>
  <si>
    <t>Lava Hound</t>
  </si>
  <si>
    <t>Bomb</t>
  </si>
  <si>
    <t>Spring Trap</t>
  </si>
  <si>
    <t>Giant Bomb</t>
  </si>
  <si>
    <t>Air Bomb</t>
  </si>
  <si>
    <t>Skeleton Trap</t>
  </si>
  <si>
    <t>Seeking Air Mine</t>
  </si>
  <si>
    <t>V4.11</t>
  </si>
  <si>
    <t>- Franck51 - 
Ajout dans l'onglet a faire - détails des molosse de lave
Ajout aussi dans l'onglet a faire recapitulatif
changement de l'ordre de la sorciere et molosse de lave dans l'onglet parametre</t>
  </si>
  <si>
    <t>V4.11,01</t>
  </si>
  <si>
    <t>- Franck51 - 
Remise en route du module traduction</t>
  </si>
  <si>
    <t>Bâtiments d'Armée (Disponibles et LVL Max)</t>
  </si>
  <si>
    <t>Bâtiments d'Armée (Changements)</t>
  </si>
  <si>
    <t>-Add different Trap in the sheet
Piège à ressort 
Tête chercheuse  
Bombe géante  
Bombe aérienne 
pour integration dans l'onglet planning
Piège squelettique</t>
  </si>
  <si>
    <t>V4.12</t>
  </si>
  <si>
    <t xml:space="preserve">-Yezazell-
upgrade spell healing </t>
  </si>
  <si>
    <t xml:space="preserve">-Yezazell-
Mise à jour des sorts de soins  </t>
  </si>
  <si>
    <t>LVL Labo</t>
  </si>
  <si>
    <t>V4.13</t>
  </si>
  <si>
    <t>-Franck51-
modification de l'onglet parametre pour la gestion des unités et des sorts par rapport a l'existance des casernes et usine de sort et liaison des niveau par rapport au niveaux du labo</t>
  </si>
  <si>
    <t>V4.13,01</t>
  </si>
  <si>
    <t>-Franck51-
Modification de l'onglet à faire-Détails avec ajout des niveau supplémentaire suite à mise à jour</t>
  </si>
  <si>
    <t>V4.13,02</t>
  </si>
  <si>
    <t>-Franck51-
Modification de l'onglet à faire-Détails tableau pour les ballons avec l'affichage du niv 6 et calcul des sommes à avoir</t>
  </si>
  <si>
    <t>a</t>
  </si>
  <si>
    <t>V4.13,03</t>
  </si>
  <si>
    <t>V4.13,04</t>
  </si>
  <si>
    <t>V4.13,05</t>
  </si>
  <si>
    <t>-Sednanref-
Modification de la macro de traduction pour recherche automatique de la cellule "langue ou language" de traduction</t>
  </si>
  <si>
    <t>-Sednanref-
Correction de l'onglet a-faire avec le tableau des sorciers qui ne s'activait pas</t>
  </si>
  <si>
    <t>-Franck51-
Correction :
1 - En hdv 10, message d'erreur dans l'onglet A faire pour les pekka niveau 4, idem pour les ballons niv 6 et les sorciers niv 5 .
2 - Pour les cochons , ilqui au max dans l'onglet parametre devaient être amélioré dans l'onglet A faire,
Modification :
de la macro, Lors de la création du planning j'ai modifié la macro VBA de création pour que l'on puisses intégrer des nouvelles colonne dans l'onglet parametre (pour de nouvelles unités) et que de façon automatique la macro détecte la derniere cellule non vide.</t>
  </si>
  <si>
    <t>-Franck51-
Correction dans l'onglet a-faire detail des tableaux pour les bombes géantes et les pieges squeletiques</t>
  </si>
  <si>
    <t>V4.13,06</t>
  </si>
  <si>
    <t>V4.13,07</t>
  </si>
  <si>
    <t>-Franck51-
Correction dans l'onglet a-faire detail des tableaux pour les unités et les sorts qui ne prenait en compte que l'amelioration de HDV et non du labo</t>
  </si>
  <si>
    <t>V4.14</t>
  </si>
  <si>
    <t>-Franck51-
Correction dans l'onglet a-faire detail des tableaux pour les unités et les sorts qui avaient un décalage dans les calculs suite au ajout des derniers niveau qui n'étaient pas pris en compte</t>
  </si>
  <si>
    <t>V4.13,09</t>
  </si>
  <si>
    <t>Traps</t>
  </si>
  <si>
    <t>Costs - Traps</t>
  </si>
  <si>
    <t>-Sednanref-
Ajout coût de formation pour :
- Sort de saut 3
- Sort de gel 5
- Guerrier 7
- Archer 7
- Gobelin 6
- Lava Hound 1/2/3
+ Mise à jour suite Update du 11/12/2014</t>
  </si>
  <si>
    <t>V4.16.00</t>
  </si>
  <si>
    <t>V4.15.00</t>
  </si>
  <si>
    <t>-Sednanref-
Ajout de piège à ressort et tête chercheuse dans les onglets A Faire - Recap et A Faire - Détails</t>
  </si>
  <si>
    <t>LVL Spell Factory</t>
  </si>
  <si>
    <t>LVL Laboratory</t>
  </si>
  <si>
    <t>LVL Barrack</t>
  </si>
  <si>
    <t>LVL Dark Barrack</t>
  </si>
  <si>
    <t>Propulseur d'air</t>
  </si>
  <si>
    <t>LVL Max62</t>
  </si>
  <si>
    <t>Propulsion d'air</t>
  </si>
  <si>
    <t>LVL Max6.</t>
  </si>
  <si>
    <t>Mise en place du souffleur d'air</t>
  </si>
  <si>
    <t>Air Sweeper</t>
  </si>
  <si>
    <t>V4.17.00</t>
  </si>
  <si>
    <t>V4.17.03</t>
  </si>
  <si>
    <t>Bonus</t>
  </si>
  <si>
    <t>Oui</t>
  </si>
  <si>
    <t>-Souris verte :
update formule sheet "To do…"
Change production Dark Elixir
Use trophee in gains on sheet "Troops Training"</t>
  </si>
  <si>
    <t>Français</t>
  </si>
  <si>
    <t>Capacité Totale</t>
  </si>
  <si>
    <t>Max. total atteint - Camp Militaire - Sorts</t>
  </si>
  <si>
    <t>Amélioration indisponible</t>
  </si>
  <si>
    <t>http://www.fichier-xls.fr/2015/05/22/coc-calcultator-v4-17-03-vierge/</t>
  </si>
  <si>
    <t>-Souris verte :
Modification formule feuilles "A faire…"
Correction production Elixir noir
Utilisation des trophées dans le calcul des gains dans la feuille "Formation des troupes"
Modification "Planning" pour prise en charge expulseur d'air
Simplification de la mise en forme conditionnelle feuille "paramètres"
Création d'une feuille "Rentabilité"</t>
  </si>
  <si>
    <t>Mur</t>
  </si>
  <si>
    <t>V4.17.04</t>
  </si>
  <si>
    <t xml:space="preserve">-Souris verte :
Ajout de possibilité d'afficher le récapitulatif sans les remparts.
Ajout de possibilité d'afficher le récapitulatif sans l'hotel de ville.
</t>
  </si>
  <si>
    <t>HDV</t>
  </si>
  <si>
    <t>http://www.fichier-xls.fr/2015/05/30/coc-calcultator-v4-17-04-vierge/</t>
  </si>
  <si>
    <t>12 heures</t>
  </si>
  <si>
    <t>Non</t>
  </si>
  <si>
    <t>V4.17.05</t>
  </si>
  <si>
    <t>-Souris verte :
Ajout de possibilité d'afficher le récapitulatif sans leshéros.
Corrections mineure de formule.</t>
  </si>
  <si>
    <t>http://www.fichier-xls.fr/2015/06/05/coc-calcultator-v4-17-05-vierge/</t>
  </si>
  <si>
    <t>Coûts - Pièges Défensifs</t>
  </si>
  <si>
    <t>-Souris verte :
Prise en compte de l'Elixir Noir
Simplification de la formule concernant la période</t>
  </si>
  <si>
    <t>V4.17.06</t>
  </si>
  <si>
    <t>Améliorations Troupes/Sorts :</t>
  </si>
  <si>
    <t>Coûts - Multijoueur</t>
  </si>
  <si>
    <t>Costs - Multiplayer</t>
  </si>
  <si>
    <t>Coût en or</t>
  </si>
  <si>
    <t>-Souris verte :
Prise en compte du cout de la recherche d'adversaire en attaque multijoueur.</t>
  </si>
  <si>
    <t>V4.17.07</t>
  </si>
  <si>
    <t>Valeur</t>
  </si>
  <si>
    <t>Valeurs - Bâtiments de Ressources</t>
  </si>
  <si>
    <t>Valeurs - Bâtiments d'Armée</t>
  </si>
  <si>
    <t>Valeurs - Bâtiments de Défense</t>
  </si>
  <si>
    <t>Valeurs - Pièges Défensifs</t>
  </si>
  <si>
    <t>Valeurs - Bâtiments Autres</t>
  </si>
  <si>
    <t>Valeurs - Héros</t>
  </si>
  <si>
    <t>Values - Other Buildings</t>
  </si>
  <si>
    <t>Values - Army Buildings</t>
  </si>
  <si>
    <t>Values - Defensive Buildings</t>
  </si>
  <si>
    <t>Values - Resource Buildings</t>
  </si>
  <si>
    <t>Values - Heroes</t>
  </si>
  <si>
    <t>Valeurs - Sorts</t>
  </si>
  <si>
    <t>Values - Spells</t>
  </si>
  <si>
    <t>Values - Normal Troops</t>
  </si>
  <si>
    <t>Valeurs - Troupes Noires</t>
  </si>
  <si>
    <t>Valeurs - Troupes Normales</t>
  </si>
  <si>
    <t>Values - Dark Troops</t>
  </si>
  <si>
    <t>Values - Traps</t>
  </si>
  <si>
    <t>Rang</t>
  </si>
  <si>
    <t>Valeur du Village</t>
  </si>
  <si>
    <t>Town Value</t>
  </si>
  <si>
    <t>V4.17.08</t>
  </si>
  <si>
    <t>-Souris verte
Correction de qq formules (Merci Coxwen, franck51, Leynae et krashs)
Création d'une nouvelle feuille pour la valeur du village (Proto suite au post de Extrapidou)</t>
  </si>
  <si>
    <t>Usine de Sorts Noirs</t>
  </si>
  <si>
    <t xml:space="preserve">  Dark Spell Factory</t>
  </si>
  <si>
    <t>LVL  Dark Spell Factory</t>
  </si>
  <si>
    <t>Améliorations de Sorts Noirs (Changements)</t>
  </si>
  <si>
    <t>Améliorations de Sorts Noirs (Disponibles et LVL Max)</t>
  </si>
  <si>
    <t>Sort de Poison</t>
  </si>
  <si>
    <t>Tremblement de terre</t>
  </si>
  <si>
    <t>Sort de Hâte</t>
  </si>
  <si>
    <t>Coûts - Améliorations de Sorts Noirs</t>
  </si>
  <si>
    <t>Améliorations de Sorts Noirs</t>
  </si>
  <si>
    <t>Coûts - Formation de Sorts</t>
  </si>
  <si>
    <t>LVL Usine de Sorts Noirs</t>
  </si>
  <si>
    <t>V5</t>
  </si>
  <si>
    <t>-Souris verte
Evolution sur à la mise à jour du 01/07/15.Reste l'onget traduction
quelques formules a la marge…</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</si>
</sst>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3" formatCode="_-* #,##0.00\ _€_-;\-* #,##0.00\ _€_-;_-* &quot;-&quot;??\ _€_-;_-@_-"/>
    <numFmt numFmtId="164" formatCode="&quot;TH LVL &quot;0"/>
    <numFmt numFmtId="165" formatCode="&quot;+&quot;0"/>
    <numFmt numFmtId="166" formatCode="&quot;x&quot;0"/>
    <numFmt numFmtId="167" formatCode="0.00&quot; hrs&quot;"/>
    <numFmt numFmtId="168" formatCode="&quot;Total Gold: &quot;#,#00"/>
    <numFmt numFmtId="169" formatCode="&quot;Total Elixir: &quot;#,#00"/>
    <numFmt numFmtId="170" formatCode="&quot;Total Dark Elixir: &quot;#,#00"/>
    <numFmt numFmtId="171" formatCode="&quot;Total Time: &quot;0.00&quot; hrs&quot;"/>
    <numFmt numFmtId="172" formatCode="&quot;Buildings: &quot;0.00&quot; hrs&quot;"/>
    <numFmt numFmtId="173" formatCode="&quot;Troups/Spells Up.: &quot;0.00&quot; hrs&quot;"/>
    <numFmt numFmtId="174" formatCode="&quot;Heroes: &quot;0.00&quot; hrs&quot;"/>
    <numFmt numFmtId="175" formatCode="d&quot; jours &quot;\ h:mm:ss\ "/>
    <numFmt numFmtId="176" formatCode="dd\-hh\-mm\-ss"/>
    <numFmt numFmtId="177" formatCode="dd/mm&quot;-&quot;hh"/>
    <numFmt numFmtId="178" formatCode="0.000"/>
    <numFmt numFmtId="179" formatCode="dd/mm\-hh:mm"/>
  </numFmts>
  <fonts count="49" x14ac:knownFonts="1">
    <font>
      <sz val="11"/>
      <color theme="1"/>
      <name val="Calibri"/>
      <family val="2"/>
      <scheme val="minor"/>
    </font>
    <font>
      <b/>
      <sz val="10"/>
      <color theme="0"/>
      <name val="Calibri"/>
      <family val="2"/>
      <scheme val="minor"/>
    </font>
    <font>
      <b/>
      <sz val="14"/>
      <color theme="0"/>
      <name val="Calibri"/>
      <family val="2"/>
      <scheme val="minor"/>
    </font>
    <font>
      <b/>
      <sz val="8"/>
      <color theme="0"/>
      <name val="Calibri"/>
      <family val="2"/>
      <scheme val="minor"/>
    </font>
    <font>
      <sz val="8"/>
      <name val="Calibri"/>
      <family val="2"/>
      <scheme val="minor"/>
    </font>
    <font>
      <b/>
      <sz val="8"/>
      <color rgb="FFC00000"/>
      <name val="Calibri"/>
      <family val="2"/>
      <scheme val="minor"/>
    </font>
    <font>
      <sz val="8"/>
      <color theme="1"/>
      <name val="Calibri"/>
      <family val="2"/>
      <scheme val="minor"/>
    </font>
    <font>
      <sz val="8"/>
      <color theme="0"/>
      <name val="Calibri"/>
      <family val="2"/>
      <scheme val="minor"/>
    </font>
    <font>
      <b/>
      <sz val="11"/>
      <color theme="0"/>
      <name val="Calibri"/>
      <family val="2"/>
      <scheme val="minor"/>
    </font>
    <font>
      <sz val="11"/>
      <name val="Calibri"/>
      <family val="2"/>
      <scheme val="minor"/>
    </font>
    <font>
      <b/>
      <sz val="8"/>
      <color theme="0"/>
      <name val="Calibri"/>
      <family val="2"/>
      <scheme val="minor"/>
    </font>
    <font>
      <sz val="8"/>
      <color theme="1"/>
      <name val="Calibri"/>
      <family val="2"/>
      <scheme val="minor"/>
    </font>
    <font>
      <b/>
      <sz val="12"/>
      <color theme="0"/>
      <name val="Calibri"/>
      <family val="2"/>
      <scheme val="minor"/>
    </font>
    <font>
      <b/>
      <sz val="8"/>
      <color theme="1"/>
      <name val="Calibri"/>
      <family val="2"/>
      <scheme val="minor"/>
    </font>
    <font>
      <sz val="11"/>
      <color theme="0"/>
      <name val="Calibri"/>
      <family val="2"/>
      <scheme val="minor"/>
    </font>
    <font>
      <b/>
      <sz val="8"/>
      <name val="Calibri"/>
      <family val="2"/>
      <scheme val="minor"/>
    </font>
    <font>
      <b/>
      <sz val="10"/>
      <name val="Calibri"/>
      <family val="2"/>
      <scheme val="minor"/>
    </font>
    <font>
      <b/>
      <sz val="10"/>
      <color theme="1"/>
      <name val="Calibri"/>
      <family val="2"/>
      <scheme val="minor"/>
    </font>
    <font>
      <b/>
      <sz val="42"/>
      <color theme="7"/>
      <name val="Cambria"/>
      <family val="2"/>
      <scheme val="major"/>
    </font>
    <font>
      <sz val="11"/>
      <color theme="1" tint="0.24994659260841701"/>
      <name val="Cambria"/>
      <family val="2"/>
      <scheme val="major"/>
    </font>
    <font>
      <b/>
      <sz val="11"/>
      <color theme="1" tint="0.24994659260841701"/>
      <name val="Calibri"/>
      <family val="2"/>
      <scheme val="minor"/>
    </font>
    <font>
      <sz val="14"/>
      <color theme="1" tint="0.24994659260841701"/>
      <name val="Calibri"/>
      <family val="2"/>
      <scheme val="minor"/>
    </font>
    <font>
      <b/>
      <sz val="13"/>
      <color theme="1" tint="0.24994659260841701"/>
      <name val="Cambria"/>
      <family val="2"/>
      <scheme val="major"/>
    </font>
    <font>
      <b/>
      <sz val="13"/>
      <color theme="7"/>
      <name val="Cambria"/>
      <family val="2"/>
      <scheme val="major"/>
    </font>
    <font>
      <b/>
      <sz val="9.5"/>
      <color theme="1" tint="0.499984740745262"/>
      <name val="Calibri"/>
      <family val="2"/>
      <scheme val="minor"/>
    </font>
    <font>
      <sz val="10"/>
      <color theme="0"/>
      <name val="Calibri"/>
      <family val="2"/>
      <scheme val="minor"/>
    </font>
    <font>
      <b/>
      <sz val="9"/>
      <color theme="0"/>
      <name val="Calibri"/>
      <family val="2"/>
      <scheme val="minor"/>
    </font>
    <font>
      <b/>
      <sz val="11"/>
      <color theme="1"/>
      <name val="Calibri"/>
      <family val="2"/>
      <scheme val="minor"/>
    </font>
    <font>
      <b/>
      <sz val="9"/>
      <color theme="1"/>
      <name val="Calibri"/>
      <family val="2"/>
      <scheme val="minor"/>
    </font>
    <font>
      <i/>
      <sz val="8"/>
      <color theme="1"/>
      <name val="Calibri"/>
      <family val="2"/>
      <scheme val="minor"/>
    </font>
    <font>
      <sz val="9"/>
      <color theme="1"/>
      <name val="Calibri"/>
      <family val="2"/>
      <scheme val="minor"/>
    </font>
    <font>
      <b/>
      <sz val="16"/>
      <color theme="0"/>
      <name val="Calibri"/>
      <family val="2"/>
      <scheme val="minor"/>
    </font>
    <font>
      <b/>
      <sz val="9"/>
      <name val="Calibri"/>
      <family val="2"/>
      <scheme val="minor"/>
    </font>
    <font>
      <sz val="6"/>
      <color theme="0"/>
      <name val="Calibri"/>
      <family val="2"/>
      <scheme val="minor"/>
    </font>
    <font>
      <sz val="7"/>
      <name val="Calibri"/>
      <family val="2"/>
      <scheme val="minor"/>
    </font>
    <font>
      <sz val="7"/>
      <color theme="1"/>
      <name val="Calibri"/>
      <family val="2"/>
      <scheme val="minor"/>
    </font>
    <font>
      <b/>
      <i/>
      <sz val="8"/>
      <color theme="1"/>
      <name val="Calibri"/>
      <family val="2"/>
      <scheme val="minor"/>
    </font>
    <font>
      <sz val="11"/>
      <color rgb="FFFF0000"/>
      <name val="Calibri"/>
      <family val="2"/>
      <scheme val="minor"/>
    </font>
    <font>
      <sz val="8"/>
      <color rgb="FFFF0000"/>
      <name val="Calibri"/>
      <family val="2"/>
      <scheme val="minor"/>
    </font>
    <font>
      <sz val="8"/>
      <color theme="0"/>
      <name val="Times New Roman"/>
      <family val="1"/>
    </font>
    <font>
      <sz val="8"/>
      <color theme="1"/>
      <name val="Times New Roman"/>
      <family val="1"/>
    </font>
    <font>
      <u/>
      <sz val="11"/>
      <color theme="10"/>
      <name val="Calibri"/>
      <family val="2"/>
    </font>
    <font>
      <b/>
      <sz val="12"/>
      <name val="Calibri"/>
      <family val="2"/>
      <scheme val="minor"/>
    </font>
    <font>
      <sz val="12"/>
      <name val="Calibri"/>
      <family val="2"/>
      <scheme val="minor"/>
    </font>
    <font>
      <sz val="11"/>
      <color theme="0" tint="-0.14999847407452621"/>
      <name val="Calibri"/>
      <family val="2"/>
      <scheme val="minor"/>
    </font>
    <font>
      <sz val="8"/>
      <color theme="0" tint="-0.14999847407452621"/>
      <name val="Calibri"/>
      <family val="2"/>
      <scheme val="minor"/>
    </font>
    <font>
      <sz val="11"/>
      <color theme="1"/>
      <name val="Calibri"/>
      <family val="2"/>
      <scheme val="minor"/>
    </font>
    <font>
      <b/>
      <sz val="10"/>
      <color rgb="FF0000FF"/>
      <name val="Calibri"/>
      <family val="2"/>
    </font>
    <font>
      <b/>
      <sz val="10"/>
      <color rgb="FFFF0000"/>
      <name val="Calibri"/>
      <family val="2"/>
    </font>
  </fonts>
  <fills count="35">
    <fill>
      <patternFill patternType="none"/>
    </fill>
    <fill>
      <patternFill patternType="gray125"/>
    </fill>
    <fill>
      <patternFill patternType="solid">
        <fgColor rgb="FF7030A0"/>
        <bgColor indexed="64"/>
      </patternFill>
    </fill>
    <fill>
      <patternFill patternType="solid">
        <fgColor theme="1" tint="0.14999847407452621"/>
        <bgColor indexed="64"/>
      </patternFill>
    </fill>
    <fill>
      <patternFill patternType="solid">
        <fgColor rgb="FF002060"/>
        <bgColor indexed="64"/>
      </patternFill>
    </fill>
    <fill>
      <patternFill patternType="solid">
        <fgColor theme="8" tint="0.39997558519241921"/>
        <bgColor theme="4" tint="0.59999389629810485"/>
      </patternFill>
    </fill>
    <fill>
      <patternFill patternType="solid">
        <fgColor theme="8" tint="0.39997558519241921"/>
        <bgColor theme="4" tint="0.79998168889431442"/>
      </patternFill>
    </fill>
    <fill>
      <patternFill patternType="solid">
        <fgColor theme="9" tint="0.39997558519241921"/>
        <bgColor theme="4" tint="0.59999389629810485"/>
      </patternFill>
    </fill>
    <fill>
      <patternFill patternType="solid">
        <fgColor theme="9" tint="0.39997558519241921"/>
        <bgColor theme="4" tint="0.79998168889431442"/>
      </patternFill>
    </fill>
    <fill>
      <patternFill patternType="solid">
        <fgColor theme="8" tint="0.39997558519241921"/>
        <bgColor indexed="64"/>
      </patternFill>
    </fill>
    <fill>
      <patternFill patternType="solid">
        <fgColor rgb="FFFFC000"/>
        <bgColor indexed="64"/>
      </patternFill>
    </fill>
    <fill>
      <patternFill patternType="solid">
        <fgColor theme="1"/>
        <bgColor indexed="64"/>
      </patternFill>
    </fill>
    <fill>
      <patternFill patternType="solid">
        <fgColor rgb="FF92D050"/>
        <bgColor indexed="64"/>
      </patternFill>
    </fill>
    <fill>
      <patternFill patternType="solid">
        <fgColor theme="8" tint="-0.249977111117893"/>
        <bgColor indexed="64"/>
      </patternFill>
    </fill>
    <fill>
      <patternFill patternType="solid">
        <fgColor theme="0"/>
        <bgColor indexed="64"/>
      </patternFill>
    </fill>
    <fill>
      <patternFill patternType="solid">
        <fgColor theme="0" tint="-0.249977111117893"/>
        <bgColor indexed="64"/>
      </patternFill>
    </fill>
    <fill>
      <patternFill patternType="solid">
        <fgColor theme="9" tint="0.59996337778862885"/>
        <bgColor indexed="64"/>
      </patternFill>
    </fill>
    <fill>
      <patternFill patternType="solid">
        <fgColor rgb="FFFF0000"/>
        <bgColor indexed="64"/>
      </patternFill>
    </fill>
    <fill>
      <patternFill patternType="solid">
        <fgColor theme="5" tint="0.59999389629810485"/>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6" tint="-0.249977111117893"/>
        <bgColor indexed="64"/>
      </patternFill>
    </fill>
    <fill>
      <patternFill patternType="solid">
        <fgColor theme="9" tint="-0.499984740745262"/>
        <bgColor indexed="64"/>
      </patternFill>
    </fill>
    <fill>
      <patternFill patternType="solid">
        <fgColor rgb="FFFFFF00"/>
        <bgColor indexed="64"/>
      </patternFill>
    </fill>
    <fill>
      <patternFill patternType="solid">
        <fgColor rgb="FFA41EB2"/>
        <bgColor indexed="64"/>
      </patternFill>
    </fill>
    <fill>
      <gradientFill degree="90">
        <stop position="0">
          <color rgb="FFA41EB2"/>
        </stop>
        <stop position="1">
          <color rgb="FFFFC000"/>
        </stop>
      </gradientFill>
    </fill>
    <fill>
      <patternFill patternType="solid">
        <fgColor rgb="FF00B050"/>
        <bgColor indexed="64"/>
      </patternFill>
    </fill>
    <fill>
      <patternFill patternType="lightUp">
        <fgColor rgb="FF0070C0"/>
      </patternFill>
    </fill>
    <fill>
      <patternFill patternType="lightUp">
        <fgColor rgb="FF0070C0"/>
        <bgColor rgb="FFFF9F9F"/>
      </patternFill>
    </fill>
    <fill>
      <patternFill patternType="lightGray">
        <fgColor rgb="FFFF0000"/>
        <bgColor auto="1"/>
      </patternFill>
    </fill>
    <fill>
      <patternFill patternType="solid">
        <fgColor rgb="FF009682"/>
        <bgColor indexed="64"/>
      </patternFill>
    </fill>
    <fill>
      <patternFill patternType="solid">
        <fgColor rgb="FF00B0F0"/>
        <bgColor indexed="64"/>
      </patternFill>
    </fill>
    <fill>
      <gradientFill degree="90">
        <stop position="0">
          <color rgb="FFFFC000"/>
        </stop>
        <stop position="1">
          <color rgb="FFA41EB2"/>
        </stop>
      </gradientFill>
    </fill>
    <fill>
      <patternFill patternType="solid">
        <fgColor theme="0" tint="-0.34998626667073579"/>
        <bgColor indexed="64"/>
      </patternFill>
    </fill>
    <fill>
      <patternFill patternType="solid">
        <fgColor rgb="FFC00000"/>
        <bgColor indexed="64"/>
      </patternFill>
    </fill>
  </fills>
  <borders count="16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medium">
        <color indexed="64"/>
      </left>
      <right/>
      <top/>
      <bottom/>
      <diagonal/>
    </border>
    <border>
      <left style="thin">
        <color indexed="64"/>
      </left>
      <right style="medium">
        <color indexed="64"/>
      </right>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theme="9" tint="-0.24994659260841701"/>
      </top>
      <bottom style="thin">
        <color theme="9" tint="-0.24994659260841701"/>
      </bottom>
      <diagonal/>
    </border>
    <border>
      <left/>
      <right/>
      <top/>
      <bottom style="thin">
        <color theme="7"/>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indexed="64"/>
      </right>
      <top style="thin">
        <color theme="0"/>
      </top>
      <bottom style="thin">
        <color indexed="64"/>
      </bottom>
      <diagonal/>
    </border>
    <border>
      <left style="thin">
        <color theme="0"/>
      </left>
      <right style="thin">
        <color indexed="64"/>
      </right>
      <top style="thin">
        <color theme="0"/>
      </top>
      <bottom style="thin">
        <color indexed="64"/>
      </bottom>
      <diagonal/>
    </border>
    <border>
      <left style="thin">
        <color theme="0"/>
      </left>
      <right style="thin">
        <color indexed="64"/>
      </right>
      <top style="thin">
        <color theme="0"/>
      </top>
      <bottom style="medium">
        <color indexed="64"/>
      </bottom>
      <diagonal/>
    </border>
    <border>
      <left style="thin">
        <color indexed="64"/>
      </left>
      <right style="thin">
        <color indexed="64"/>
      </right>
      <top style="thin">
        <color theme="0"/>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ck">
        <color rgb="FFC00000"/>
      </left>
      <right style="thick">
        <color rgb="FFC00000"/>
      </right>
      <top style="thick">
        <color rgb="FFC00000"/>
      </top>
      <bottom style="thick">
        <color rgb="FFC00000"/>
      </bottom>
      <diagonal/>
    </border>
    <border>
      <left style="thick">
        <color rgb="FFC00000"/>
      </left>
      <right style="thin">
        <color indexed="64"/>
      </right>
      <top style="thick">
        <color rgb="FFC00000"/>
      </top>
      <bottom style="thin">
        <color indexed="64"/>
      </bottom>
      <diagonal/>
    </border>
    <border>
      <left style="thin">
        <color indexed="64"/>
      </left>
      <right style="thick">
        <color rgb="FFC00000"/>
      </right>
      <top style="thick">
        <color rgb="FFC00000"/>
      </top>
      <bottom style="thin">
        <color indexed="64"/>
      </bottom>
      <diagonal/>
    </border>
    <border>
      <left style="thick">
        <color rgb="FFC00000"/>
      </left>
      <right style="thin">
        <color indexed="64"/>
      </right>
      <top style="thin">
        <color indexed="64"/>
      </top>
      <bottom style="thin">
        <color indexed="64"/>
      </bottom>
      <diagonal/>
    </border>
    <border>
      <left style="thin">
        <color indexed="64"/>
      </left>
      <right style="thick">
        <color rgb="FFC00000"/>
      </right>
      <top style="thin">
        <color indexed="64"/>
      </top>
      <bottom style="thin">
        <color indexed="64"/>
      </bottom>
      <diagonal/>
    </border>
    <border>
      <left style="thick">
        <color rgb="FFC00000"/>
      </left>
      <right style="thin">
        <color indexed="64"/>
      </right>
      <top style="thin">
        <color indexed="64"/>
      </top>
      <bottom style="thick">
        <color rgb="FFC00000"/>
      </bottom>
      <diagonal/>
    </border>
    <border>
      <left style="thin">
        <color indexed="64"/>
      </left>
      <right style="thick">
        <color rgb="FFC00000"/>
      </right>
      <top style="thin">
        <color indexed="64"/>
      </top>
      <bottom style="thick">
        <color rgb="FFC00000"/>
      </bottom>
      <diagonal/>
    </border>
    <border>
      <left style="thin">
        <color indexed="64"/>
      </left>
      <right style="thin">
        <color indexed="64"/>
      </right>
      <top style="thick">
        <color rgb="FFC00000"/>
      </top>
      <bottom style="thin">
        <color indexed="64"/>
      </bottom>
      <diagonal/>
    </border>
    <border>
      <left style="thin">
        <color indexed="64"/>
      </left>
      <right style="thin">
        <color indexed="64"/>
      </right>
      <top style="thin">
        <color indexed="64"/>
      </top>
      <bottom style="thick">
        <color rgb="FFC00000"/>
      </bottom>
      <diagonal/>
    </border>
    <border>
      <left style="thick">
        <color rgb="FFC00000"/>
      </left>
      <right style="thin">
        <color indexed="64"/>
      </right>
      <top style="thick">
        <color rgb="FFC00000"/>
      </top>
      <bottom style="thick">
        <color rgb="FFC00000"/>
      </bottom>
      <diagonal/>
    </border>
    <border>
      <left style="thin">
        <color indexed="64"/>
      </left>
      <right style="thick">
        <color rgb="FFC00000"/>
      </right>
      <top style="thick">
        <color rgb="FFC00000"/>
      </top>
      <bottom style="thick">
        <color rgb="FFC00000"/>
      </bottom>
      <diagonal/>
    </border>
    <border>
      <left style="thick">
        <color rgb="FFC00000"/>
      </left>
      <right style="thick">
        <color rgb="FFC00000"/>
      </right>
      <top style="thick">
        <color rgb="FFC00000"/>
      </top>
      <bottom style="thin">
        <color indexed="64"/>
      </bottom>
      <diagonal/>
    </border>
    <border>
      <left style="thick">
        <color rgb="FFC00000"/>
      </left>
      <right style="thick">
        <color rgb="FFC00000"/>
      </right>
      <top style="thin">
        <color indexed="64"/>
      </top>
      <bottom style="thin">
        <color indexed="64"/>
      </bottom>
      <diagonal/>
    </border>
    <border>
      <left style="thick">
        <color rgb="FFC00000"/>
      </left>
      <right style="thick">
        <color rgb="FFC00000"/>
      </right>
      <top style="thin">
        <color indexed="64"/>
      </top>
      <bottom style="thick">
        <color rgb="FFC00000"/>
      </bottom>
      <diagonal/>
    </border>
    <border>
      <left/>
      <right style="thick">
        <color rgb="FFC00000"/>
      </right>
      <top style="thick">
        <color rgb="FFC00000"/>
      </top>
      <bottom style="thin">
        <color indexed="64"/>
      </bottom>
      <diagonal/>
    </border>
    <border>
      <left style="thin">
        <color indexed="64"/>
      </left>
      <right style="thin">
        <color indexed="64"/>
      </right>
      <top style="thick">
        <color rgb="FFC00000"/>
      </top>
      <bottom style="thick">
        <color rgb="FFC00000"/>
      </bottom>
      <diagonal/>
    </border>
    <border>
      <left style="medium">
        <color indexed="64"/>
      </left>
      <right/>
      <top style="medium">
        <color indexed="64"/>
      </top>
      <bottom style="thick">
        <color rgb="FFC00000"/>
      </bottom>
      <diagonal/>
    </border>
    <border>
      <left/>
      <right style="medium">
        <color indexed="64"/>
      </right>
      <top style="medium">
        <color indexed="64"/>
      </top>
      <bottom style="thick">
        <color rgb="FFC00000"/>
      </bottom>
      <diagonal/>
    </border>
    <border>
      <left/>
      <right style="medium">
        <color indexed="64"/>
      </right>
      <top style="medium">
        <color indexed="64"/>
      </top>
      <bottom style="thin">
        <color indexed="64"/>
      </bottom>
      <diagonal/>
    </border>
    <border>
      <left style="thick">
        <color rgb="FFC00000"/>
      </left>
      <right/>
      <top style="thick">
        <color rgb="FFC00000"/>
      </top>
      <bottom style="thick">
        <color rgb="FFC00000"/>
      </bottom>
      <diagonal/>
    </border>
    <border>
      <left/>
      <right style="thick">
        <color rgb="FFC00000"/>
      </right>
      <top style="thick">
        <color rgb="FFC00000"/>
      </top>
      <bottom style="thick">
        <color rgb="FFC00000"/>
      </bottom>
      <diagonal/>
    </border>
    <border>
      <left style="thick">
        <color rgb="FFC00000"/>
      </left>
      <right/>
      <top style="thick">
        <color rgb="FFC00000"/>
      </top>
      <bottom style="thin">
        <color indexed="64"/>
      </bottom>
      <diagonal/>
    </border>
    <border>
      <left style="thick">
        <color rgb="FFC00000"/>
      </left>
      <right/>
      <top style="thin">
        <color indexed="64"/>
      </top>
      <bottom style="thin">
        <color indexed="64"/>
      </bottom>
      <diagonal/>
    </border>
    <border>
      <left/>
      <right style="thick">
        <color rgb="FFC00000"/>
      </right>
      <top style="thin">
        <color indexed="64"/>
      </top>
      <bottom style="thin">
        <color indexed="64"/>
      </bottom>
      <diagonal/>
    </border>
    <border>
      <left/>
      <right/>
      <top style="thin">
        <color rgb="FF007864"/>
      </top>
      <bottom style="thin">
        <color rgb="FF007864"/>
      </bottom>
      <diagonal/>
    </border>
    <border>
      <left style="medium">
        <color indexed="64"/>
      </left>
      <right/>
      <top style="thin">
        <color rgb="FFFF3399"/>
      </top>
      <bottom style="thin">
        <color rgb="FFFF3399"/>
      </bottom>
      <diagonal/>
    </border>
    <border>
      <left style="thick">
        <color rgb="FFC00000"/>
      </left>
      <right style="thin">
        <color indexed="64"/>
      </right>
      <top/>
      <bottom style="thin">
        <color indexed="64"/>
      </bottom>
      <diagonal/>
    </border>
    <border>
      <left style="thin">
        <color indexed="64"/>
      </left>
      <right style="thick">
        <color rgb="FFC00000"/>
      </right>
      <top/>
      <bottom style="thin">
        <color indexed="64"/>
      </bottom>
      <diagonal/>
    </border>
    <border>
      <left style="thick">
        <color rgb="FFC00000"/>
      </left>
      <right style="thin">
        <color indexed="64"/>
      </right>
      <top style="thin">
        <color indexed="64"/>
      </top>
      <bottom/>
      <diagonal/>
    </border>
    <border>
      <left style="thin">
        <color indexed="64"/>
      </left>
      <right style="thick">
        <color rgb="FFC00000"/>
      </right>
      <top style="thin">
        <color indexed="64"/>
      </top>
      <bottom/>
      <diagonal/>
    </border>
    <border>
      <left style="medium">
        <color indexed="64"/>
      </left>
      <right/>
      <top style="medium">
        <color indexed="64"/>
      </top>
      <bottom style="thin">
        <color rgb="FF002060"/>
      </bottom>
      <diagonal/>
    </border>
    <border>
      <left/>
      <right/>
      <top style="medium">
        <color indexed="64"/>
      </top>
      <bottom style="thin">
        <color rgb="FF008C3C"/>
      </bottom>
      <diagonal/>
    </border>
    <border>
      <left style="medium">
        <color indexed="64"/>
      </left>
      <right/>
      <top style="thin">
        <color rgb="FFFF0000"/>
      </top>
      <bottom style="thin">
        <color rgb="FFFF0000"/>
      </bottom>
      <diagonal/>
    </border>
    <border>
      <left style="thick">
        <color rgb="FFC00000"/>
      </left>
      <right style="thin">
        <color indexed="64"/>
      </right>
      <top style="medium">
        <color indexed="64"/>
      </top>
      <bottom style="thin">
        <color indexed="64"/>
      </bottom>
      <diagonal/>
    </border>
    <border>
      <left style="thin">
        <color indexed="64"/>
      </left>
      <right style="thick">
        <color rgb="FFC00000"/>
      </right>
      <top style="medium">
        <color indexed="64"/>
      </top>
      <bottom style="thin">
        <color indexed="64"/>
      </bottom>
      <diagonal/>
    </border>
    <border>
      <left style="thin">
        <color indexed="64"/>
      </left>
      <right style="medium">
        <color indexed="64"/>
      </right>
      <top style="thin">
        <color theme="0"/>
      </top>
      <bottom style="thin">
        <color indexed="64"/>
      </bottom>
      <diagonal/>
    </border>
    <border>
      <left style="thin">
        <color theme="0"/>
      </left>
      <right style="thin">
        <color indexed="64"/>
      </right>
      <top style="thin">
        <color theme="0"/>
      </top>
      <bottom/>
      <diagonal/>
    </border>
    <border>
      <left style="thin">
        <color indexed="64"/>
      </left>
      <right style="medium">
        <color indexed="64"/>
      </right>
      <top style="thin">
        <color theme="0"/>
      </top>
      <bottom/>
      <diagonal/>
    </border>
    <border>
      <left style="medium">
        <color rgb="FFC00000"/>
      </left>
      <right style="medium">
        <color rgb="FFC00000"/>
      </right>
      <top style="medium">
        <color rgb="FFC00000"/>
      </top>
      <bottom style="thin">
        <color indexed="64"/>
      </bottom>
      <diagonal/>
    </border>
    <border>
      <left style="medium">
        <color rgb="FFC00000"/>
      </left>
      <right style="medium">
        <color rgb="FFC00000"/>
      </right>
      <top style="thin">
        <color indexed="64"/>
      </top>
      <bottom style="thin">
        <color indexed="64"/>
      </bottom>
      <diagonal/>
    </border>
    <border>
      <left style="medium">
        <color rgb="FFC00000"/>
      </left>
      <right style="medium">
        <color rgb="FFC00000"/>
      </right>
      <top style="thin">
        <color indexed="64"/>
      </top>
      <bottom style="medium">
        <color rgb="FFC00000"/>
      </bottom>
      <diagonal/>
    </border>
    <border>
      <left style="thick">
        <color rgb="FFC00000"/>
      </left>
      <right style="thick">
        <color rgb="FFC00000"/>
      </right>
      <top style="thick">
        <color rgb="FFC00000"/>
      </top>
      <bottom/>
      <diagonal/>
    </border>
    <border>
      <left style="medium">
        <color rgb="FFFF0000"/>
      </left>
      <right style="thin">
        <color indexed="64"/>
      </right>
      <top style="medium">
        <color rgb="FFFF0000"/>
      </top>
      <bottom style="thin">
        <color auto="1"/>
      </bottom>
      <diagonal/>
    </border>
    <border>
      <left style="thin">
        <color indexed="64"/>
      </left>
      <right style="thin">
        <color indexed="64"/>
      </right>
      <top style="medium">
        <color rgb="FFFF0000"/>
      </top>
      <bottom style="thin">
        <color auto="1"/>
      </bottom>
      <diagonal/>
    </border>
    <border>
      <left style="thin">
        <color indexed="64"/>
      </left>
      <right style="medium">
        <color rgb="FFFF0000"/>
      </right>
      <top style="medium">
        <color rgb="FFFF0000"/>
      </top>
      <bottom style="thin">
        <color auto="1"/>
      </bottom>
      <diagonal/>
    </border>
    <border>
      <left style="thick">
        <color rgb="FFC00000"/>
      </left>
      <right/>
      <top style="thin">
        <color indexed="64"/>
      </top>
      <bottom style="medium">
        <color indexed="64"/>
      </bottom>
      <diagonal/>
    </border>
    <border>
      <left/>
      <right/>
      <top style="medium">
        <color indexed="64"/>
      </top>
      <bottom style="thick">
        <color rgb="FFC00000"/>
      </bottom>
      <diagonal/>
    </border>
    <border>
      <left style="medium">
        <color rgb="FFFF0000"/>
      </left>
      <right style="medium">
        <color rgb="FFFF0000"/>
      </right>
      <top style="medium">
        <color rgb="FFFF0000"/>
      </top>
      <bottom style="medium">
        <color rgb="FFFF0000"/>
      </bottom>
      <diagonal/>
    </border>
    <border>
      <left style="medium">
        <color rgb="FFFF0000"/>
      </left>
      <right style="thin">
        <color indexed="64"/>
      </right>
      <top style="thin">
        <color auto="1"/>
      </top>
      <bottom/>
      <diagonal/>
    </border>
    <border>
      <left style="thin">
        <color indexed="64"/>
      </left>
      <right style="medium">
        <color rgb="FFFF0000"/>
      </right>
      <top style="thin">
        <color auto="1"/>
      </top>
      <bottom/>
      <diagonal/>
    </border>
    <border>
      <left/>
      <right/>
      <top style="medium">
        <color rgb="FFFF0000"/>
      </top>
      <bottom/>
      <diagonal/>
    </border>
    <border>
      <left/>
      <right/>
      <top/>
      <bottom style="medium">
        <color rgb="FFFF0000"/>
      </bottom>
      <diagonal/>
    </border>
    <border>
      <left style="medium">
        <color rgb="FFFF0000"/>
      </left>
      <right style="medium">
        <color rgb="FFFF0000"/>
      </right>
      <top style="medium">
        <color rgb="FFFF0000"/>
      </top>
      <bottom style="thin">
        <color indexed="64"/>
      </bottom>
      <diagonal/>
    </border>
    <border>
      <left style="medium">
        <color rgb="FFFF0000"/>
      </left>
      <right style="medium">
        <color rgb="FFFF0000"/>
      </right>
      <top style="thin">
        <color indexed="64"/>
      </top>
      <bottom style="thin">
        <color indexed="64"/>
      </bottom>
      <diagonal/>
    </border>
    <border>
      <left style="medium">
        <color rgb="FFFF0000"/>
      </left>
      <right style="thin">
        <color indexed="64"/>
      </right>
      <top style="thin">
        <color indexed="64"/>
      </top>
      <bottom style="thin">
        <color indexed="64"/>
      </bottom>
      <diagonal/>
    </border>
    <border>
      <left style="thin">
        <color indexed="64"/>
      </left>
      <right style="medium">
        <color rgb="FFFF0000"/>
      </right>
      <top style="thin">
        <color indexed="64"/>
      </top>
      <bottom style="thin">
        <color indexed="64"/>
      </bottom>
      <diagonal/>
    </border>
    <border>
      <left/>
      <right/>
      <top style="thin">
        <color theme="0" tint="-0.24994659260841701"/>
      </top>
      <bottom style="thin">
        <color theme="0" tint="-0.24994659260841701"/>
      </bottom>
      <diagonal/>
    </border>
    <border>
      <left style="medium">
        <color rgb="FFFF0000"/>
      </left>
      <right/>
      <top style="thin">
        <color indexed="64"/>
      </top>
      <bottom style="thin">
        <color indexed="64"/>
      </bottom>
      <diagonal/>
    </border>
    <border>
      <left style="medium">
        <color rgb="FFFF0000"/>
      </left>
      <right/>
      <top style="thin">
        <color indexed="64"/>
      </top>
      <bottom/>
      <diagonal/>
    </border>
    <border>
      <left style="medium">
        <color rgb="FFFF0000"/>
      </left>
      <right style="thin">
        <color indexed="64"/>
      </right>
      <top/>
      <bottom style="medium">
        <color rgb="FFFF0000"/>
      </bottom>
      <diagonal/>
    </border>
    <border>
      <left style="thin">
        <color indexed="64"/>
      </left>
      <right style="thin">
        <color indexed="64"/>
      </right>
      <top/>
      <bottom style="medium">
        <color rgb="FFFF0000"/>
      </bottom>
      <diagonal/>
    </border>
    <border>
      <left style="thin">
        <color indexed="64"/>
      </left>
      <right style="medium">
        <color rgb="FFFF0000"/>
      </right>
      <top/>
      <bottom style="medium">
        <color rgb="FFFF0000"/>
      </bottom>
      <diagonal/>
    </border>
    <border>
      <left/>
      <right/>
      <top style="thin">
        <color rgb="FFFF0000"/>
      </top>
      <bottom style="thin">
        <color theme="0" tint="-0.24994659260841701"/>
      </bottom>
      <diagonal/>
    </border>
    <border>
      <left/>
      <right/>
      <top style="thin">
        <color theme="0" tint="-0.24994659260841701"/>
      </top>
      <bottom style="thin">
        <color rgb="FFFF0000"/>
      </bottom>
      <diagonal/>
    </border>
    <border>
      <left style="thick">
        <color rgb="FFC00000"/>
      </left>
      <right/>
      <top style="thin">
        <color indexed="64"/>
      </top>
      <bottom style="thick">
        <color rgb="FFC00000"/>
      </bottom>
      <diagonal/>
    </border>
    <border>
      <left/>
      <right style="thick">
        <color rgb="FFC00000"/>
      </right>
      <top style="thin">
        <color indexed="64"/>
      </top>
      <bottom style="thick">
        <color rgb="FFC00000"/>
      </bottom>
      <diagonal/>
    </border>
    <border>
      <left style="thick">
        <color rgb="FFC00000"/>
      </left>
      <right/>
      <top style="thick">
        <color auto="1"/>
      </top>
      <bottom/>
      <diagonal/>
    </border>
    <border>
      <left/>
      <right style="thick">
        <color auto="1"/>
      </right>
      <top style="thin">
        <color indexed="64"/>
      </top>
      <bottom style="thin">
        <color indexed="64"/>
      </bottom>
      <diagonal/>
    </border>
    <border>
      <left/>
      <right style="thick">
        <color auto="1"/>
      </right>
      <top style="thin">
        <color indexed="64"/>
      </top>
      <bottom style="medium">
        <color indexed="64"/>
      </bottom>
      <diagonal/>
    </border>
    <border>
      <left/>
      <right style="thick">
        <color auto="1"/>
      </right>
      <top/>
      <bottom/>
      <diagonal/>
    </border>
    <border>
      <left style="thin">
        <color rgb="FFC00000"/>
      </left>
      <right style="thin">
        <color rgb="FFC00000"/>
      </right>
      <top style="thick">
        <color rgb="FFC00000"/>
      </top>
      <bottom style="thick">
        <color rgb="FFC00000"/>
      </bottom>
      <diagonal/>
    </border>
    <border>
      <left style="thin">
        <color rgb="FFC00000"/>
      </left>
      <right style="thick">
        <color rgb="FFC00000"/>
      </right>
      <top style="thick">
        <color rgb="FFC00000"/>
      </top>
      <bottom style="thick">
        <color rgb="FFC00000"/>
      </bottom>
      <diagonal/>
    </border>
    <border>
      <left/>
      <right style="thin">
        <color rgb="FFC00000"/>
      </right>
      <top style="thick">
        <color rgb="FFC00000"/>
      </top>
      <bottom style="thick">
        <color rgb="FFC00000"/>
      </bottom>
      <diagonal/>
    </border>
    <border>
      <left style="medium">
        <color rgb="FFFF0000"/>
      </left>
      <right/>
      <top style="medium">
        <color rgb="FFFF0000"/>
      </top>
      <bottom style="thin">
        <color auto="1"/>
      </bottom>
      <diagonal/>
    </border>
    <border>
      <left/>
      <right/>
      <top style="medium">
        <color rgb="FFFF0000"/>
      </top>
      <bottom style="thin">
        <color auto="1"/>
      </bottom>
      <diagonal/>
    </border>
    <border>
      <left/>
      <right style="medium">
        <color rgb="FFFF0000"/>
      </right>
      <top style="medium">
        <color rgb="FFFF0000"/>
      </top>
      <bottom style="thin">
        <color auto="1"/>
      </bottom>
      <diagonal/>
    </border>
    <border>
      <left style="medium">
        <color indexed="64"/>
      </left>
      <right style="medium">
        <color indexed="64"/>
      </right>
      <top/>
      <bottom/>
      <diagonal/>
    </border>
    <border>
      <left style="thick">
        <color rgb="FFC00000"/>
      </left>
      <right/>
      <top/>
      <bottom style="medium">
        <color indexed="64"/>
      </bottom>
      <diagonal/>
    </border>
    <border>
      <left/>
      <right style="thin">
        <color indexed="64"/>
      </right>
      <top style="thick">
        <color rgb="FFC00000"/>
      </top>
      <bottom style="thin">
        <color indexed="64"/>
      </bottom>
      <diagonal/>
    </border>
    <border>
      <left/>
      <right style="thin">
        <color indexed="64"/>
      </right>
      <top style="thin">
        <color indexed="64"/>
      </top>
      <bottom style="thick">
        <color rgb="FFC00000"/>
      </bottom>
      <diagonal/>
    </border>
  </borders>
  <cellStyleXfs count="11">
    <xf numFmtId="0" fontId="0" fillId="0" borderId="0"/>
    <xf numFmtId="0" fontId="18" fillId="0" borderId="0" applyNumberFormat="0" applyFill="0" applyBorder="0" applyAlignment="0" applyProtection="0"/>
    <xf numFmtId="0" fontId="19" fillId="0" borderId="0" applyNumberFormat="0" applyFill="0" applyBorder="0" applyProtection="0">
      <alignment vertical="center"/>
    </xf>
    <xf numFmtId="0" fontId="20" fillId="16" borderId="71" applyNumberFormat="0" applyProtection="0">
      <alignment horizontal="left" vertical="center"/>
    </xf>
    <xf numFmtId="0" fontId="21" fillId="0" borderId="0" applyNumberFormat="0" applyFill="0" applyBorder="0" applyProtection="0">
      <alignment horizontal="left" vertical="center"/>
    </xf>
    <xf numFmtId="0" fontId="22" fillId="0" borderId="0" applyFill="0" applyBorder="0" applyProtection="0">
      <alignment horizontal="left"/>
    </xf>
    <xf numFmtId="9" fontId="23" fillId="0" borderId="0" applyFill="0" applyBorder="0" applyProtection="0">
      <alignment horizontal="center" vertical="center"/>
    </xf>
    <xf numFmtId="0" fontId="24" fillId="0" borderId="0" applyFill="0" applyBorder="0" applyProtection="0">
      <alignment horizontal="center"/>
    </xf>
    <xf numFmtId="3" fontId="24" fillId="0" borderId="72" applyFill="0" applyProtection="0">
      <alignment horizontal="center"/>
    </xf>
    <xf numFmtId="0" fontId="41" fillId="0" borderId="0" applyNumberFormat="0" applyFill="0" applyBorder="0" applyAlignment="0" applyProtection="0">
      <alignment vertical="top"/>
      <protection locked="0"/>
    </xf>
    <xf numFmtId="43" fontId="46" fillId="0" borderId="0" applyFont="0" applyFill="0" applyBorder="0" applyAlignment="0" applyProtection="0"/>
  </cellStyleXfs>
  <cellXfs count="1339">
    <xf numFmtId="0" fontId="0" fillId="0" borderId="0" xfId="0"/>
    <xf numFmtId="0" fontId="4" fillId="5" borderId="34" xfId="0" applyFont="1" applyFill="1" applyBorder="1" applyAlignment="1">
      <alignment horizontal="center" vertical="center" wrapText="1"/>
    </xf>
    <xf numFmtId="0" fontId="4" fillId="6" borderId="34" xfId="0" applyFont="1" applyFill="1" applyBorder="1" applyAlignment="1">
      <alignment horizontal="center" vertical="center" wrapText="1"/>
    </xf>
    <xf numFmtId="0" fontId="4" fillId="7" borderId="34" xfId="0" applyFont="1" applyFill="1" applyBorder="1" applyAlignment="1">
      <alignment horizontal="center" vertical="center" wrapText="1"/>
    </xf>
    <xf numFmtId="0" fontId="4" fillId="8" borderId="34" xfId="0" applyFont="1" applyFill="1" applyBorder="1" applyAlignment="1">
      <alignment horizontal="center" vertical="center" wrapText="1"/>
    </xf>
    <xf numFmtId="0" fontId="5" fillId="5" borderId="34" xfId="0" applyFont="1" applyFill="1" applyBorder="1" applyAlignment="1">
      <alignment horizontal="center" vertical="center" wrapText="1"/>
    </xf>
    <xf numFmtId="0" fontId="5" fillId="6" borderId="34"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5" fillId="5" borderId="36" xfId="0" applyFont="1" applyFill="1" applyBorder="1" applyAlignment="1">
      <alignment horizontal="center" vertical="center" wrapText="1"/>
    </xf>
    <xf numFmtId="0" fontId="4" fillId="7" borderId="36" xfId="0" applyFont="1" applyFill="1" applyBorder="1" applyAlignment="1">
      <alignment horizontal="center" vertical="center" wrapText="1"/>
    </xf>
    <xf numFmtId="0" fontId="4" fillId="5" borderId="36"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5" fillId="7" borderId="37" xfId="0" applyFont="1" applyFill="1" applyBorder="1" applyAlignment="1">
      <alignment horizontal="center" vertical="center" wrapText="1"/>
    </xf>
    <xf numFmtId="0" fontId="5" fillId="8" borderId="39" xfId="0" applyFont="1" applyFill="1" applyBorder="1" applyAlignment="1">
      <alignment horizontal="center" vertical="center" wrapText="1"/>
    </xf>
    <xf numFmtId="0" fontId="5" fillId="7" borderId="39" xfId="0" applyFont="1" applyFill="1" applyBorder="1" applyAlignment="1">
      <alignment horizontal="center" vertical="center" wrapText="1"/>
    </xf>
    <xf numFmtId="0" fontId="3" fillId="4" borderId="47" xfId="0" applyFont="1" applyFill="1" applyBorder="1" applyAlignment="1">
      <alignment horizontal="center" vertical="center" wrapText="1"/>
    </xf>
    <xf numFmtId="0" fontId="3" fillId="4" borderId="48" xfId="0" applyFont="1" applyFill="1" applyBorder="1" applyAlignment="1">
      <alignment horizontal="center" vertical="center" wrapText="1"/>
    </xf>
    <xf numFmtId="0" fontId="3" fillId="4" borderId="49" xfId="0" applyFont="1" applyFill="1" applyBorder="1" applyAlignment="1">
      <alignment horizontal="center" vertical="center" wrapText="1"/>
    </xf>
    <xf numFmtId="0" fontId="5" fillId="6" borderId="41" xfId="0" applyFont="1" applyFill="1" applyBorder="1" applyAlignment="1">
      <alignment horizontal="center" vertical="center" wrapText="1"/>
    </xf>
    <xf numFmtId="0" fontId="4" fillId="8" borderId="41" xfId="0" applyFont="1" applyFill="1" applyBorder="1" applyAlignment="1">
      <alignment horizontal="center" vertical="center" wrapText="1"/>
    </xf>
    <xf numFmtId="0" fontId="4" fillId="6" borderId="41" xfId="0" applyFont="1" applyFill="1" applyBorder="1" applyAlignment="1">
      <alignment horizontal="center" vertical="center" wrapText="1"/>
    </xf>
    <xf numFmtId="0" fontId="5" fillId="8" borderId="42" xfId="0" applyFont="1" applyFill="1" applyBorder="1" applyAlignment="1">
      <alignment horizontal="center" vertical="center" wrapText="1"/>
    </xf>
    <xf numFmtId="3" fontId="4" fillId="10" borderId="38" xfId="0" applyNumberFormat="1" applyFont="1" applyFill="1" applyBorder="1" applyAlignment="1">
      <alignment horizontal="center" vertical="center" wrapText="1"/>
    </xf>
    <xf numFmtId="3" fontId="4" fillId="10" borderId="40" xfId="0" applyNumberFormat="1" applyFont="1" applyFill="1" applyBorder="1" applyAlignment="1">
      <alignment horizontal="center" vertical="center" wrapText="1"/>
    </xf>
    <xf numFmtId="0" fontId="3" fillId="4" borderId="4" xfId="0" applyFont="1" applyFill="1" applyBorder="1" applyAlignment="1">
      <alignment horizontal="center" vertical="center" wrapText="1"/>
    </xf>
    <xf numFmtId="165" fontId="4" fillId="6" borderId="38" xfId="0" applyNumberFormat="1" applyFont="1" applyFill="1" applyBorder="1" applyAlignment="1">
      <alignment horizontal="center" vertical="center" wrapText="1"/>
    </xf>
    <xf numFmtId="165" fontId="5" fillId="6" borderId="34" xfId="0" applyNumberFormat="1" applyFont="1" applyFill="1" applyBorder="1" applyAlignment="1">
      <alignment horizontal="center" vertical="center" wrapText="1"/>
    </xf>
    <xf numFmtId="165" fontId="4" fillId="8" borderId="38" xfId="0" applyNumberFormat="1" applyFont="1" applyFill="1" applyBorder="1" applyAlignment="1">
      <alignment horizontal="center" vertical="center" wrapText="1"/>
    </xf>
    <xf numFmtId="165" fontId="5" fillId="8" borderId="34" xfId="0" applyNumberFormat="1" applyFont="1" applyFill="1" applyBorder="1" applyAlignment="1">
      <alignment horizontal="center" vertical="center" wrapText="1"/>
    </xf>
    <xf numFmtId="165" fontId="4" fillId="5" borderId="35" xfId="0" applyNumberFormat="1" applyFont="1" applyFill="1" applyBorder="1" applyAlignment="1">
      <alignment horizontal="center" vertical="center" wrapText="1"/>
    </xf>
    <xf numFmtId="165" fontId="5" fillId="5" borderId="36" xfId="0" applyNumberFormat="1" applyFont="1" applyFill="1" applyBorder="1" applyAlignment="1">
      <alignment horizontal="center" vertical="center" wrapText="1"/>
    </xf>
    <xf numFmtId="165" fontId="4" fillId="7" borderId="35" xfId="0" applyNumberFormat="1" applyFont="1" applyFill="1" applyBorder="1" applyAlignment="1">
      <alignment horizontal="center" vertical="center" wrapText="1"/>
    </xf>
    <xf numFmtId="165" fontId="5" fillId="7" borderId="36" xfId="0" applyNumberFormat="1" applyFont="1" applyFill="1" applyBorder="1" applyAlignment="1">
      <alignment horizontal="center" vertical="center" wrapText="1"/>
    </xf>
    <xf numFmtId="0" fontId="5" fillId="8" borderId="34" xfId="0" applyFont="1" applyFill="1" applyBorder="1" applyAlignment="1">
      <alignment horizontal="center" vertical="center" wrapText="1"/>
    </xf>
    <xf numFmtId="0" fontId="5" fillId="7" borderId="36" xfId="0" applyFont="1" applyFill="1" applyBorder="1" applyAlignment="1">
      <alignment horizontal="center" vertical="center" wrapText="1"/>
    </xf>
    <xf numFmtId="0" fontId="5" fillId="7" borderId="34" xfId="0" applyFont="1" applyFill="1" applyBorder="1" applyAlignment="1">
      <alignment horizontal="center" vertical="center" wrapText="1"/>
    </xf>
    <xf numFmtId="0" fontId="5" fillId="8" borderId="41" xfId="0" applyFont="1" applyFill="1" applyBorder="1" applyAlignment="1">
      <alignment horizontal="center" vertical="center" wrapText="1"/>
    </xf>
    <xf numFmtId="0" fontId="5" fillId="6" borderId="54" xfId="0" applyFont="1" applyFill="1" applyBorder="1" applyAlignment="1">
      <alignment horizontal="center" vertical="center" wrapText="1"/>
    </xf>
    <xf numFmtId="0" fontId="4" fillId="8" borderId="54" xfId="0" applyFont="1" applyFill="1" applyBorder="1" applyAlignment="1">
      <alignment horizontal="center" vertical="center" wrapText="1"/>
    </xf>
    <xf numFmtId="0" fontId="5" fillId="8" borderId="54" xfId="0" applyFont="1" applyFill="1" applyBorder="1" applyAlignment="1">
      <alignment horizontal="center" vertical="center" wrapText="1"/>
    </xf>
    <xf numFmtId="0" fontId="4" fillId="6" borderId="44" xfId="0" applyFont="1" applyFill="1" applyBorder="1" applyAlignment="1">
      <alignment horizontal="center" vertical="center" wrapText="1"/>
    </xf>
    <xf numFmtId="0" fontId="5" fillId="6" borderId="44" xfId="0" applyFont="1" applyFill="1" applyBorder="1" applyAlignment="1">
      <alignment horizontal="center" vertical="center" wrapText="1"/>
    </xf>
    <xf numFmtId="0" fontId="4" fillId="8" borderId="44" xfId="0" applyFont="1" applyFill="1" applyBorder="1" applyAlignment="1">
      <alignment horizontal="center" vertical="center" wrapText="1"/>
    </xf>
    <xf numFmtId="0" fontId="5" fillId="8" borderId="44" xfId="0" applyFont="1" applyFill="1" applyBorder="1" applyAlignment="1">
      <alignment horizontal="center" vertical="center" wrapText="1"/>
    </xf>
    <xf numFmtId="0" fontId="5" fillId="5" borderId="39" xfId="0" applyFont="1" applyFill="1" applyBorder="1" applyAlignment="1">
      <alignment horizontal="center" vertical="center" wrapText="1"/>
    </xf>
    <xf numFmtId="0" fontId="5" fillId="6" borderId="39" xfId="0" applyFont="1" applyFill="1" applyBorder="1" applyAlignment="1">
      <alignment horizontal="center" vertical="center" wrapText="1"/>
    </xf>
    <xf numFmtId="0" fontId="4" fillId="6" borderId="50" xfId="0" applyFont="1" applyFill="1" applyBorder="1" applyAlignment="1">
      <alignment horizontal="center" vertical="center" wrapText="1"/>
    </xf>
    <xf numFmtId="0" fontId="4" fillId="5" borderId="38" xfId="0" applyFont="1" applyFill="1" applyBorder="1" applyAlignment="1">
      <alignment horizontal="center" vertical="center" wrapText="1"/>
    </xf>
    <xf numFmtId="0" fontId="4" fillId="6" borderId="38" xfId="0" applyFont="1" applyFill="1" applyBorder="1" applyAlignment="1">
      <alignment horizontal="center" vertical="center" wrapText="1"/>
    </xf>
    <xf numFmtId="0" fontId="4" fillId="6" borderId="45"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30" xfId="0" applyFont="1" applyFill="1" applyBorder="1" applyAlignment="1">
      <alignment horizontal="center" vertical="center" wrapText="1"/>
    </xf>
    <xf numFmtId="2" fontId="4" fillId="12" borderId="39" xfId="0" applyNumberFormat="1" applyFont="1" applyFill="1" applyBorder="1" applyAlignment="1">
      <alignment horizontal="center" vertical="center" wrapText="1"/>
    </xf>
    <xf numFmtId="2" fontId="4" fillId="12" borderId="42" xfId="0" applyNumberFormat="1" applyFont="1" applyFill="1" applyBorder="1" applyAlignment="1">
      <alignment horizontal="center" vertical="center" wrapText="1"/>
    </xf>
    <xf numFmtId="2" fontId="4" fillId="12" borderId="43" xfId="0" applyNumberFormat="1" applyFont="1" applyFill="1" applyBorder="1" applyAlignment="1">
      <alignment horizontal="center" vertical="center" wrapText="1"/>
    </xf>
    <xf numFmtId="2" fontId="4" fillId="12" borderId="21" xfId="0" applyNumberFormat="1" applyFont="1" applyFill="1" applyBorder="1" applyAlignment="1">
      <alignment horizontal="center" vertical="center" wrapText="1"/>
    </xf>
    <xf numFmtId="0" fontId="3" fillId="4" borderId="57" xfId="0" applyFont="1" applyFill="1" applyBorder="1" applyAlignment="1">
      <alignment horizontal="center" vertical="center" wrapText="1"/>
    </xf>
    <xf numFmtId="0" fontId="5" fillId="5" borderId="37" xfId="0" applyFont="1" applyFill="1" applyBorder="1" applyAlignment="1">
      <alignment horizontal="center" vertical="center" wrapText="1"/>
    </xf>
    <xf numFmtId="0" fontId="5" fillId="6" borderId="42" xfId="0" applyFont="1" applyFill="1" applyBorder="1" applyAlignment="1">
      <alignment horizontal="center" vertical="center" wrapText="1"/>
    </xf>
    <xf numFmtId="165" fontId="5" fillId="7" borderId="37" xfId="0" applyNumberFormat="1" applyFont="1" applyFill="1" applyBorder="1" applyAlignment="1">
      <alignment horizontal="center" vertical="center" wrapText="1"/>
    </xf>
    <xf numFmtId="165" fontId="4" fillId="5" borderId="60" xfId="0" applyNumberFormat="1" applyFont="1" applyFill="1" applyBorder="1" applyAlignment="1">
      <alignment horizontal="center" vertical="center" wrapText="1"/>
    </xf>
    <xf numFmtId="165" fontId="5" fillId="5" borderId="61" xfId="0" applyNumberFormat="1" applyFont="1" applyFill="1" applyBorder="1" applyAlignment="1">
      <alignment horizontal="center" vertical="center" wrapText="1"/>
    </xf>
    <xf numFmtId="165" fontId="4" fillId="7" borderId="60" xfId="0" applyNumberFormat="1" applyFont="1" applyFill="1" applyBorder="1" applyAlignment="1">
      <alignment horizontal="center" vertical="center" wrapText="1"/>
    </xf>
    <xf numFmtId="165" fontId="5" fillId="7" borderId="59" xfId="0" applyNumberFormat="1" applyFont="1" applyFill="1" applyBorder="1" applyAlignment="1">
      <alignment horizontal="center" vertical="center" wrapText="1"/>
    </xf>
    <xf numFmtId="165" fontId="4" fillId="5" borderId="34" xfId="0" applyNumberFormat="1" applyFont="1" applyFill="1" applyBorder="1" applyAlignment="1">
      <alignment horizontal="center" vertical="center" wrapText="1"/>
    </xf>
    <xf numFmtId="165" fontId="5" fillId="5" borderId="34" xfId="0" applyNumberFormat="1" applyFont="1" applyFill="1" applyBorder="1" applyAlignment="1">
      <alignment horizontal="center" vertical="center" wrapText="1"/>
    </xf>
    <xf numFmtId="165" fontId="4" fillId="7" borderId="34" xfId="0" applyNumberFormat="1" applyFont="1" applyFill="1" applyBorder="1" applyAlignment="1">
      <alignment horizontal="center" vertical="center" wrapText="1"/>
    </xf>
    <xf numFmtId="165" fontId="5" fillId="7" borderId="34" xfId="0" applyNumberFormat="1" applyFont="1" applyFill="1" applyBorder="1" applyAlignment="1">
      <alignment horizontal="center" vertical="center" wrapText="1"/>
    </xf>
    <xf numFmtId="165" fontId="4" fillId="5" borderId="51" xfId="0" applyNumberFormat="1" applyFont="1" applyFill="1" applyBorder="1" applyAlignment="1">
      <alignment horizontal="center" vertical="center" wrapText="1"/>
    </xf>
    <xf numFmtId="165" fontId="5" fillId="7" borderId="43" xfId="0" applyNumberFormat="1" applyFont="1" applyFill="1" applyBorder="1" applyAlignment="1">
      <alignment horizontal="center" vertical="center" wrapText="1"/>
    </xf>
    <xf numFmtId="165" fontId="4" fillId="5" borderId="33" xfId="0" applyNumberFormat="1" applyFont="1" applyFill="1" applyBorder="1" applyAlignment="1">
      <alignment horizontal="center" vertical="center" wrapText="1"/>
    </xf>
    <xf numFmtId="165" fontId="5" fillId="5" borderId="44" xfId="0" applyNumberFormat="1" applyFont="1" applyFill="1" applyBorder="1" applyAlignment="1">
      <alignment horizontal="center" vertical="center" wrapText="1"/>
    </xf>
    <xf numFmtId="165" fontId="4" fillId="7" borderId="44" xfId="0" applyNumberFormat="1" applyFont="1" applyFill="1" applyBorder="1" applyAlignment="1">
      <alignment horizontal="center" vertical="center" wrapText="1"/>
    </xf>
    <xf numFmtId="165" fontId="5" fillId="7" borderId="44" xfId="0" applyNumberFormat="1" applyFont="1" applyFill="1" applyBorder="1" applyAlignment="1">
      <alignment horizontal="center" vertical="center" wrapText="1"/>
    </xf>
    <xf numFmtId="165" fontId="4" fillId="5" borderId="44" xfId="0" applyNumberFormat="1" applyFont="1" applyFill="1" applyBorder="1" applyAlignment="1">
      <alignment horizontal="center" vertical="center" wrapText="1"/>
    </xf>
    <xf numFmtId="165" fontId="5" fillId="7" borderId="21" xfId="0" applyNumberFormat="1" applyFont="1" applyFill="1" applyBorder="1" applyAlignment="1">
      <alignment horizontal="center" vertical="center" wrapText="1"/>
    </xf>
    <xf numFmtId="165" fontId="4" fillId="8" borderId="75" xfId="0" applyNumberFormat="1" applyFont="1" applyFill="1" applyBorder="1" applyAlignment="1">
      <alignment horizontal="center" vertical="center" wrapText="1"/>
    </xf>
    <xf numFmtId="0" fontId="4" fillId="7" borderId="76" xfId="0" applyFont="1" applyFill="1" applyBorder="1" applyAlignment="1">
      <alignment horizontal="center" vertical="center" wrapText="1"/>
    </xf>
    <xf numFmtId="0" fontId="5" fillId="7" borderId="76" xfId="0" applyFont="1" applyFill="1" applyBorder="1" applyAlignment="1">
      <alignment horizontal="center" vertical="center" wrapText="1"/>
    </xf>
    <xf numFmtId="165" fontId="4" fillId="7" borderId="77" xfId="0" applyNumberFormat="1" applyFont="1" applyFill="1" applyBorder="1" applyAlignment="1">
      <alignment horizontal="center" vertical="center" wrapText="1"/>
    </xf>
    <xf numFmtId="165" fontId="5" fillId="7" borderId="76" xfId="0" applyNumberFormat="1" applyFont="1" applyFill="1" applyBorder="1" applyAlignment="1">
      <alignment horizontal="center" vertical="center" wrapText="1"/>
    </xf>
    <xf numFmtId="165" fontId="4" fillId="7" borderId="78" xfId="0" applyNumberFormat="1" applyFont="1" applyFill="1" applyBorder="1" applyAlignment="1">
      <alignment horizontal="center" vertical="center" wrapText="1"/>
    </xf>
    <xf numFmtId="165" fontId="5" fillId="7" borderId="79" xfId="0" applyNumberFormat="1" applyFont="1" applyFill="1" applyBorder="1" applyAlignment="1">
      <alignment horizontal="center" vertical="center" wrapText="1"/>
    </xf>
    <xf numFmtId="0" fontId="3" fillId="4" borderId="32" xfId="0" applyFont="1" applyFill="1" applyBorder="1" applyAlignment="1" applyProtection="1">
      <alignment horizontal="center" vertical="center" wrapText="1"/>
    </xf>
    <xf numFmtId="0" fontId="3" fillId="4" borderId="20" xfId="0" applyFont="1" applyFill="1" applyBorder="1" applyAlignment="1" applyProtection="1">
      <alignment horizontal="center" vertical="center" wrapText="1"/>
    </xf>
    <xf numFmtId="0" fontId="6" fillId="11" borderId="32" xfId="0" applyFont="1" applyFill="1" applyBorder="1" applyAlignment="1" applyProtection="1">
      <alignment horizontal="center" vertical="center" wrapText="1"/>
    </xf>
    <xf numFmtId="0" fontId="6" fillId="11" borderId="54" xfId="0" applyFont="1" applyFill="1" applyBorder="1" applyAlignment="1" applyProtection="1">
      <alignment vertical="center" wrapText="1"/>
    </xf>
    <xf numFmtId="0" fontId="6" fillId="11" borderId="56" xfId="0" applyFont="1" applyFill="1" applyBorder="1" applyAlignment="1" applyProtection="1">
      <alignment vertical="center" wrapText="1"/>
    </xf>
    <xf numFmtId="0" fontId="6" fillId="13" borderId="53" xfId="0" applyFont="1" applyFill="1" applyBorder="1" applyAlignment="1" applyProtection="1">
      <alignment horizontal="center" vertical="center" wrapText="1"/>
    </xf>
    <xf numFmtId="166" fontId="6" fillId="13" borderId="36" xfId="0" applyNumberFormat="1" applyFont="1" applyFill="1" applyBorder="1" applyAlignment="1" applyProtection="1">
      <alignment horizontal="center" vertical="center" wrapText="1"/>
    </xf>
    <xf numFmtId="46" fontId="6" fillId="12" borderId="52" xfId="0" applyNumberFormat="1" applyFont="1" applyFill="1" applyBorder="1" applyAlignment="1" applyProtection="1">
      <alignment horizontal="center" vertical="center" wrapText="1"/>
    </xf>
    <xf numFmtId="3" fontId="6" fillId="10" borderId="54" xfId="0" applyNumberFormat="1" applyFont="1" applyFill="1" applyBorder="1" applyAlignment="1" applyProtection="1">
      <alignment horizontal="center" vertical="center" wrapText="1"/>
    </xf>
    <xf numFmtId="0" fontId="3" fillId="4" borderId="27" xfId="0" applyFont="1" applyFill="1" applyBorder="1" applyAlignment="1" applyProtection="1">
      <alignment horizontal="left" vertical="center" wrapText="1"/>
    </xf>
    <xf numFmtId="0" fontId="6" fillId="13" borderId="33" xfId="0" applyFont="1" applyFill="1" applyBorder="1" applyAlignment="1" applyProtection="1">
      <alignment horizontal="center" vertical="center" wrapText="1"/>
    </xf>
    <xf numFmtId="0" fontId="6" fillId="13" borderId="21" xfId="0" applyFont="1" applyFill="1" applyBorder="1" applyAlignment="1" applyProtection="1">
      <alignment horizontal="center" vertical="center" wrapText="1"/>
    </xf>
    <xf numFmtId="0" fontId="3" fillId="4" borderId="17" xfId="0" applyFont="1" applyFill="1" applyBorder="1" applyAlignment="1" applyProtection="1">
      <alignment horizontal="left" vertical="center" wrapText="1"/>
    </xf>
    <xf numFmtId="0" fontId="6" fillId="13" borderId="51" xfId="0" applyFont="1" applyFill="1" applyBorder="1" applyAlignment="1" applyProtection="1">
      <alignment horizontal="center" vertical="center" wrapText="1"/>
    </xf>
    <xf numFmtId="166" fontId="6" fillId="13" borderId="34" xfId="0" applyNumberFormat="1" applyFont="1" applyFill="1" applyBorder="1" applyAlignment="1" applyProtection="1">
      <alignment horizontal="center" vertical="center" wrapText="1"/>
    </xf>
    <xf numFmtId="3" fontId="6" fillId="10" borderId="34" xfId="0" applyNumberFormat="1" applyFont="1" applyFill="1" applyBorder="1" applyAlignment="1" applyProtection="1">
      <alignment horizontal="center" vertical="center" wrapText="1"/>
    </xf>
    <xf numFmtId="167" fontId="6" fillId="12" borderId="34" xfId="0" applyNumberFormat="1" applyFont="1" applyFill="1" applyBorder="1" applyAlignment="1" applyProtection="1">
      <alignment horizontal="center" vertical="center" wrapText="1"/>
    </xf>
    <xf numFmtId="3" fontId="6" fillId="2" borderId="34" xfId="0" applyNumberFormat="1" applyFont="1" applyFill="1" applyBorder="1" applyAlignment="1" applyProtection="1">
      <alignment horizontal="center" vertical="center" wrapText="1"/>
    </xf>
    <xf numFmtId="0" fontId="3" fillId="4" borderId="65" xfId="0" applyFont="1" applyFill="1" applyBorder="1" applyAlignment="1" applyProtection="1">
      <alignment horizontal="left" vertical="center" wrapText="1"/>
    </xf>
    <xf numFmtId="0" fontId="6" fillId="13" borderId="69" xfId="0" applyFont="1" applyFill="1" applyBorder="1" applyAlignment="1" applyProtection="1">
      <alignment horizontal="center" vertical="center" wrapText="1"/>
    </xf>
    <xf numFmtId="0" fontId="6" fillId="13" borderId="41" xfId="0" applyFont="1" applyFill="1" applyBorder="1" applyAlignment="1" applyProtection="1">
      <alignment horizontal="center" vertical="center" wrapText="1"/>
    </xf>
    <xf numFmtId="3" fontId="6" fillId="10" borderId="41" xfId="0" applyNumberFormat="1" applyFont="1" applyFill="1" applyBorder="1" applyAlignment="1" applyProtection="1">
      <alignment horizontal="center" vertical="center" wrapText="1"/>
    </xf>
    <xf numFmtId="0" fontId="3" fillId="4" borderId="1" xfId="0" quotePrefix="1" applyFont="1" applyFill="1" applyBorder="1" applyAlignment="1" applyProtection="1">
      <alignment horizontal="center" vertical="center" wrapText="1"/>
    </xf>
    <xf numFmtId="0" fontId="3" fillId="4" borderId="80" xfId="0" applyFont="1" applyFill="1" applyBorder="1" applyAlignment="1" applyProtection="1">
      <alignment horizontal="center" vertical="center" wrapText="1"/>
    </xf>
    <xf numFmtId="0" fontId="7" fillId="11" borderId="3" xfId="0" applyFont="1" applyFill="1" applyBorder="1" applyAlignment="1" applyProtection="1">
      <alignment horizontal="center" vertical="center" wrapText="1"/>
    </xf>
    <xf numFmtId="0" fontId="7" fillId="11" borderId="30" xfId="0" applyFont="1" applyFill="1" applyBorder="1" applyAlignment="1" applyProtection="1">
      <alignment horizontal="center" vertical="center" wrapText="1"/>
    </xf>
    <xf numFmtId="0" fontId="13" fillId="13" borderId="2" xfId="0" applyFont="1" applyFill="1" applyBorder="1" applyAlignment="1" applyProtection="1">
      <alignment horizontal="center" vertical="center" wrapText="1"/>
    </xf>
    <xf numFmtId="166" fontId="13" fillId="13" borderId="3" xfId="0" applyNumberFormat="1" applyFont="1" applyFill="1" applyBorder="1" applyAlignment="1" applyProtection="1">
      <alignment horizontal="center" vertical="center" wrapText="1"/>
    </xf>
    <xf numFmtId="3" fontId="13" fillId="10" borderId="3" xfId="0" applyNumberFormat="1" applyFont="1" applyFill="1" applyBorder="1" applyAlignment="1" applyProtection="1">
      <alignment horizontal="center" vertical="center" wrapText="1"/>
    </xf>
    <xf numFmtId="46" fontId="6" fillId="12" borderId="4" xfId="0" applyNumberFormat="1" applyFont="1" applyFill="1" applyBorder="1" applyAlignment="1" applyProtection="1">
      <alignment horizontal="center" vertical="center" wrapText="1"/>
    </xf>
    <xf numFmtId="0" fontId="3" fillId="4" borderId="17" xfId="0" applyFont="1" applyFill="1" applyBorder="1" applyAlignment="1" applyProtection="1">
      <alignment horizontal="center" vertical="center" wrapText="1"/>
    </xf>
    <xf numFmtId="0" fontId="6" fillId="15" borderId="7" xfId="0" applyFont="1" applyFill="1" applyBorder="1" applyAlignment="1" applyProtection="1">
      <alignment horizontal="center" vertical="center" wrapText="1"/>
    </xf>
    <xf numFmtId="0" fontId="7" fillId="11" borderId="36" xfId="0" applyFont="1" applyFill="1" applyBorder="1" applyAlignment="1" applyProtection="1">
      <alignment horizontal="center" vertical="center" wrapText="1"/>
    </xf>
    <xf numFmtId="0" fontId="7" fillId="11" borderId="37" xfId="0" applyFont="1" applyFill="1" applyBorder="1" applyAlignment="1" applyProtection="1">
      <alignment horizontal="center" vertical="center" wrapText="1"/>
    </xf>
    <xf numFmtId="166" fontId="6" fillId="9" borderId="51" xfId="0" applyNumberFormat="1" applyFont="1" applyFill="1" applyBorder="1" applyAlignment="1" applyProtection="1">
      <alignment horizontal="center" vertical="center" wrapText="1"/>
    </xf>
    <xf numFmtId="165" fontId="6" fillId="9" borderId="34" xfId="0" applyNumberFormat="1" applyFont="1" applyFill="1" applyBorder="1" applyAlignment="1" applyProtection="1">
      <alignment horizontal="center" vertical="center" wrapText="1"/>
    </xf>
    <xf numFmtId="167" fontId="6" fillId="12" borderId="43" xfId="0" applyNumberFormat="1" applyFont="1" applyFill="1" applyBorder="1" applyAlignment="1" applyProtection="1">
      <alignment horizontal="center" vertical="center" wrapText="1"/>
    </xf>
    <xf numFmtId="0" fontId="3" fillId="4" borderId="74" xfId="0" applyFont="1" applyFill="1" applyBorder="1" applyAlignment="1" applyProtection="1">
      <alignment horizontal="center" vertical="center" wrapText="1"/>
    </xf>
    <xf numFmtId="0" fontId="6" fillId="15" borderId="8" xfId="0" applyFont="1" applyFill="1" applyBorder="1" applyAlignment="1" applyProtection="1">
      <alignment horizontal="center" vertical="center" wrapText="1"/>
    </xf>
    <xf numFmtId="166" fontId="6" fillId="13" borderId="41" xfId="0" applyNumberFormat="1" applyFont="1" applyFill="1" applyBorder="1" applyAlignment="1" applyProtection="1">
      <alignment horizontal="center" vertical="center" wrapText="1"/>
    </xf>
    <xf numFmtId="3" fontId="6" fillId="2" borderId="41" xfId="0" applyNumberFormat="1" applyFont="1" applyFill="1" applyBorder="1" applyAlignment="1" applyProtection="1">
      <alignment horizontal="center" vertical="center" wrapText="1"/>
    </xf>
    <xf numFmtId="0" fontId="3" fillId="4" borderId="67" xfId="0" applyFont="1" applyFill="1" applyBorder="1" applyAlignment="1" applyProtection="1">
      <alignment horizontal="left" vertical="center" wrapText="1"/>
    </xf>
    <xf numFmtId="167" fontId="6" fillId="12" borderId="44" xfId="0" applyNumberFormat="1" applyFont="1" applyFill="1" applyBorder="1" applyAlignment="1" applyProtection="1">
      <alignment horizontal="center" vertical="center" wrapText="1"/>
    </xf>
    <xf numFmtId="0" fontId="6" fillId="15" borderId="9" xfId="0" applyFont="1" applyFill="1" applyBorder="1" applyAlignment="1" applyProtection="1">
      <alignment horizontal="center" vertical="center" wrapText="1"/>
    </xf>
    <xf numFmtId="0" fontId="7" fillId="11" borderId="44" xfId="0" applyFont="1" applyFill="1" applyBorder="1" applyAlignment="1" applyProtection="1">
      <alignment horizontal="center" vertical="center" wrapText="1"/>
    </xf>
    <xf numFmtId="165" fontId="6" fillId="9" borderId="44" xfId="0" applyNumberFormat="1" applyFont="1" applyFill="1" applyBorder="1" applyAlignment="1" applyProtection="1">
      <alignment horizontal="center" vertical="center" wrapText="1"/>
    </xf>
    <xf numFmtId="167" fontId="6" fillId="12" borderId="21" xfId="0" applyNumberFormat="1" applyFont="1" applyFill="1" applyBorder="1" applyAlignment="1" applyProtection="1">
      <alignment horizontal="center" vertical="center" wrapText="1"/>
    </xf>
    <xf numFmtId="166" fontId="6" fillId="9" borderId="33" xfId="0" applyNumberFormat="1" applyFont="1" applyFill="1" applyBorder="1" applyAlignment="1" applyProtection="1">
      <alignment horizontal="center" vertical="center" wrapText="1"/>
    </xf>
    <xf numFmtId="3" fontId="6" fillId="10" borderId="44" xfId="0" applyNumberFormat="1" applyFont="1" applyFill="1" applyBorder="1" applyAlignment="1" applyProtection="1">
      <alignment horizontal="center" vertical="center" wrapText="1"/>
    </xf>
    <xf numFmtId="0" fontId="3" fillId="4" borderId="29" xfId="0" applyFont="1" applyFill="1" applyBorder="1" applyAlignment="1" applyProtection="1">
      <alignment horizontal="left" vertical="center" wrapText="1"/>
    </xf>
    <xf numFmtId="0" fontId="6" fillId="13" borderId="35" xfId="0" applyFont="1" applyFill="1" applyBorder="1" applyAlignment="1" applyProtection="1">
      <alignment horizontal="center" vertical="center" wrapText="1"/>
    </xf>
    <xf numFmtId="3" fontId="7" fillId="3" borderId="54" xfId="0" applyNumberFormat="1" applyFont="1" applyFill="1" applyBorder="1" applyAlignment="1" applyProtection="1">
      <alignment horizontal="center" vertical="center" wrapText="1"/>
    </xf>
    <xf numFmtId="0" fontId="3" fillId="4" borderId="8" xfId="0" applyFont="1" applyFill="1" applyBorder="1" applyAlignment="1" applyProtection="1">
      <alignment horizontal="left" vertical="center" wrapText="1"/>
    </xf>
    <xf numFmtId="0" fontId="6" fillId="13" borderId="38" xfId="0" applyFont="1" applyFill="1" applyBorder="1" applyAlignment="1" applyProtection="1">
      <alignment horizontal="center" vertical="center" wrapText="1"/>
    </xf>
    <xf numFmtId="3" fontId="7" fillId="3" borderId="34" xfId="0" applyNumberFormat="1" applyFont="1" applyFill="1" applyBorder="1" applyAlignment="1" applyProtection="1">
      <alignment horizontal="center" vertical="center" wrapText="1"/>
    </xf>
    <xf numFmtId="3" fontId="7" fillId="3" borderId="41" xfId="0" applyNumberFormat="1" applyFont="1" applyFill="1" applyBorder="1" applyAlignment="1" applyProtection="1">
      <alignment horizontal="center" vertical="center" wrapText="1"/>
    </xf>
    <xf numFmtId="3" fontId="3" fillId="3" borderId="3" xfId="0" applyNumberFormat="1" applyFont="1" applyFill="1" applyBorder="1" applyAlignment="1" applyProtection="1">
      <alignment horizontal="center" vertical="center" wrapText="1"/>
    </xf>
    <xf numFmtId="0" fontId="13" fillId="13" borderId="5" xfId="0" applyFont="1" applyFill="1" applyBorder="1" applyAlignment="1" applyProtection="1">
      <alignment horizontal="center" vertical="center" wrapText="1"/>
    </xf>
    <xf numFmtId="0" fontId="3" fillId="4" borderId="27" xfId="0" applyFont="1" applyFill="1" applyBorder="1" applyAlignment="1" applyProtection="1">
      <alignment horizontal="center" vertical="center" wrapText="1"/>
    </xf>
    <xf numFmtId="0" fontId="3" fillId="4" borderId="5" xfId="0" applyFont="1" applyFill="1" applyBorder="1" applyAlignment="1" applyProtection="1">
      <alignment horizontal="center" vertical="center" wrapText="1"/>
    </xf>
    <xf numFmtId="0" fontId="3" fillId="4" borderId="29" xfId="0" applyFont="1" applyFill="1" applyBorder="1" applyAlignment="1" applyProtection="1">
      <alignment horizontal="center" vertical="center" wrapText="1"/>
    </xf>
    <xf numFmtId="0" fontId="6" fillId="15" borderId="35" xfId="0" applyFont="1" applyFill="1" applyBorder="1" applyAlignment="1" applyProtection="1">
      <alignment horizontal="center" vertical="center" wrapText="1"/>
    </xf>
    <xf numFmtId="0" fontId="4" fillId="11" borderId="36" xfId="0" applyFont="1" applyFill="1" applyBorder="1" applyAlignment="1" applyProtection="1">
      <alignment horizontal="center" vertical="center" wrapText="1"/>
    </xf>
    <xf numFmtId="0" fontId="3" fillId="4" borderId="8" xfId="0" applyFont="1" applyFill="1" applyBorder="1" applyAlignment="1" applyProtection="1">
      <alignment horizontal="center" vertical="center" wrapText="1"/>
    </xf>
    <xf numFmtId="0" fontId="3" fillId="4" borderId="66" xfId="0" applyFont="1" applyFill="1" applyBorder="1" applyAlignment="1" applyProtection="1">
      <alignment horizontal="center" vertical="center" wrapText="1"/>
    </xf>
    <xf numFmtId="0" fontId="3" fillId="4" borderId="9" xfId="0" applyFont="1" applyFill="1" applyBorder="1" applyAlignment="1" applyProtection="1">
      <alignment horizontal="center" vertical="center" wrapText="1"/>
    </xf>
    <xf numFmtId="0" fontId="3" fillId="4" borderId="22" xfId="0" applyFont="1" applyFill="1" applyBorder="1" applyAlignment="1" applyProtection="1">
      <alignment horizontal="center" vertical="center" wrapText="1"/>
    </xf>
    <xf numFmtId="0" fontId="0" fillId="14" borderId="0" xfId="0" applyFill="1" applyAlignment="1" applyProtection="1">
      <alignment vertical="center" wrapText="1"/>
    </xf>
    <xf numFmtId="0" fontId="0" fillId="14" borderId="0" xfId="0" applyFill="1" applyAlignment="1" applyProtection="1">
      <alignment horizontal="center" vertical="center" wrapText="1"/>
    </xf>
    <xf numFmtId="0" fontId="0" fillId="14" borderId="0" xfId="0" applyFill="1" applyAlignment="1" applyProtection="1">
      <alignment horizontal="right" vertical="center" wrapText="1"/>
    </xf>
    <xf numFmtId="0" fontId="0" fillId="14" borderId="0" xfId="0" applyFill="1" applyAlignment="1" applyProtection="1">
      <alignment horizontal="left" vertical="center" wrapText="1"/>
    </xf>
    <xf numFmtId="0" fontId="6" fillId="14" borderId="0" xfId="0" applyFont="1" applyFill="1" applyAlignment="1" applyProtection="1">
      <alignment horizontal="center" vertical="center" wrapText="1"/>
    </xf>
    <xf numFmtId="0" fontId="14" fillId="14" borderId="0" xfId="0" applyFont="1" applyFill="1" applyAlignment="1" applyProtection="1">
      <alignment vertical="center" wrapText="1"/>
    </xf>
    <xf numFmtId="0" fontId="6" fillId="14" borderId="0" xfId="0" applyFont="1" applyFill="1" applyAlignment="1" applyProtection="1">
      <alignment vertical="center" wrapText="1"/>
    </xf>
    <xf numFmtId="46" fontId="0" fillId="14" borderId="0" xfId="0" applyNumberFormat="1" applyFill="1" applyAlignment="1" applyProtection="1">
      <alignment vertical="center" wrapText="1"/>
    </xf>
    <xf numFmtId="176" fontId="0" fillId="14" borderId="0" xfId="0" applyNumberFormat="1" applyFill="1" applyAlignment="1" applyProtection="1">
      <alignment vertical="center" wrapText="1"/>
    </xf>
    <xf numFmtId="175" fontId="0" fillId="14" borderId="0" xfId="0" applyNumberFormat="1" applyFill="1" applyAlignment="1" applyProtection="1">
      <alignment vertical="center" wrapText="1"/>
    </xf>
    <xf numFmtId="0" fontId="4" fillId="14" borderId="0" xfId="0" applyFont="1" applyFill="1" applyAlignment="1">
      <alignment horizontal="center" vertical="center" wrapText="1"/>
    </xf>
    <xf numFmtId="0" fontId="6" fillId="14" borderId="0" xfId="0" applyFont="1" applyFill="1"/>
    <xf numFmtId="0" fontId="6" fillId="14" borderId="0" xfId="0" applyFont="1" applyFill="1" applyAlignment="1">
      <alignment wrapText="1"/>
    </xf>
    <xf numFmtId="0" fontId="3" fillId="4" borderId="6"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4" fillId="6" borderId="36" xfId="0" applyFont="1" applyFill="1" applyBorder="1" applyAlignment="1">
      <alignment horizontal="center" vertical="center" wrapText="1"/>
    </xf>
    <xf numFmtId="0" fontId="5" fillId="6" borderId="36" xfId="0" applyFont="1" applyFill="1" applyBorder="1" applyAlignment="1">
      <alignment horizontal="center" vertical="center" wrapText="1"/>
    </xf>
    <xf numFmtId="165" fontId="4" fillId="6" borderId="53" xfId="0" applyNumberFormat="1" applyFont="1" applyFill="1" applyBorder="1" applyAlignment="1">
      <alignment horizontal="center" vertical="center" wrapText="1"/>
    </xf>
    <xf numFmtId="165" fontId="5" fillId="6" borderId="36" xfId="0" applyNumberFormat="1" applyFont="1" applyFill="1" applyBorder="1" applyAlignment="1">
      <alignment horizontal="center" vertical="center" wrapText="1"/>
    </xf>
    <xf numFmtId="165" fontId="4" fillId="6"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5" fillId="8" borderId="36" xfId="0" applyFont="1" applyFill="1" applyBorder="1" applyAlignment="1">
      <alignment horizontal="center" vertical="center" wrapText="1"/>
    </xf>
    <xf numFmtId="165" fontId="4" fillId="8" borderId="36" xfId="0" applyNumberFormat="1" applyFont="1" applyFill="1" applyBorder="1" applyAlignment="1">
      <alignment horizontal="center" vertical="center" wrapText="1"/>
    </xf>
    <xf numFmtId="165" fontId="5" fillId="8" borderId="36" xfId="0" applyNumberFormat="1" applyFont="1" applyFill="1" applyBorder="1" applyAlignment="1">
      <alignment horizontal="center" vertical="center" wrapText="1"/>
    </xf>
    <xf numFmtId="165" fontId="5" fillId="8" borderId="52" xfId="0" applyNumberFormat="1" applyFont="1" applyFill="1" applyBorder="1" applyAlignment="1">
      <alignment horizontal="center" vertical="center" wrapText="1"/>
    </xf>
    <xf numFmtId="0" fontId="6" fillId="14" borderId="0" xfId="0" applyFont="1" applyFill="1" applyAlignment="1">
      <alignment vertical="center" wrapText="1"/>
    </xf>
    <xf numFmtId="165" fontId="4" fillId="6" borderId="35" xfId="0" applyNumberFormat="1" applyFont="1" applyFill="1" applyBorder="1" applyAlignment="1">
      <alignment horizontal="center" vertical="center" wrapText="1"/>
    </xf>
    <xf numFmtId="165" fontId="4" fillId="8" borderId="35" xfId="0" applyNumberFormat="1" applyFont="1" applyFill="1" applyBorder="1" applyAlignment="1">
      <alignment horizontal="center" vertical="center" wrapText="1"/>
    </xf>
    <xf numFmtId="165" fontId="5" fillId="8" borderId="37" xfId="0" applyNumberFormat="1" applyFont="1" applyFill="1" applyBorder="1" applyAlignment="1">
      <alignment horizontal="center" vertical="center" wrapText="1"/>
    </xf>
    <xf numFmtId="167" fontId="6" fillId="12" borderId="36" xfId="0" applyNumberFormat="1" applyFont="1" applyFill="1" applyBorder="1" applyAlignment="1" applyProtection="1">
      <alignment horizontal="center" vertical="center" wrapText="1"/>
    </xf>
    <xf numFmtId="46" fontId="6" fillId="12" borderId="64" xfId="0" applyNumberFormat="1" applyFont="1" applyFill="1" applyBorder="1" applyAlignment="1" applyProtection="1">
      <alignment horizontal="center" vertical="center" wrapText="1"/>
    </xf>
    <xf numFmtId="0" fontId="3" fillId="4" borderId="66" xfId="0" applyFont="1" applyFill="1" applyBorder="1" applyAlignment="1" applyProtection="1">
      <alignment horizontal="left" vertical="center" wrapText="1"/>
    </xf>
    <xf numFmtId="0" fontId="6" fillId="13" borderId="40" xfId="0" applyFont="1" applyFill="1" applyBorder="1" applyAlignment="1" applyProtection="1">
      <alignment horizontal="center" vertical="center" wrapText="1"/>
    </xf>
    <xf numFmtId="0" fontId="6" fillId="15" borderId="34" xfId="0" applyFont="1" applyFill="1" applyBorder="1" applyAlignment="1" applyProtection="1">
      <alignment horizontal="center" vertical="center" wrapText="1"/>
      <protection locked="0"/>
    </xf>
    <xf numFmtId="0" fontId="7" fillId="4" borderId="1"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46" xfId="0" applyFont="1" applyFill="1" applyBorder="1" applyAlignment="1">
      <alignment horizontal="center" vertical="center" wrapText="1"/>
    </xf>
    <xf numFmtId="0" fontId="7" fillId="4" borderId="48" xfId="0" applyFont="1" applyFill="1" applyBorder="1" applyAlignment="1">
      <alignment horizontal="center" vertical="center" wrapText="1"/>
    </xf>
    <xf numFmtId="2" fontId="6" fillId="12" borderId="37" xfId="0" applyNumberFormat="1" applyFont="1" applyFill="1" applyBorder="1" applyAlignment="1">
      <alignment horizontal="center" vertical="center" wrapText="1"/>
    </xf>
    <xf numFmtId="3" fontId="6" fillId="10" borderId="35" xfId="0" applyNumberFormat="1" applyFont="1" applyFill="1" applyBorder="1" applyAlignment="1">
      <alignment horizontal="center" vertical="center" wrapText="1"/>
    </xf>
    <xf numFmtId="2" fontId="6" fillId="12" borderId="39" xfId="0" applyNumberFormat="1" applyFont="1" applyFill="1" applyBorder="1" applyAlignment="1">
      <alignment horizontal="center" vertical="center" wrapText="1"/>
    </xf>
    <xf numFmtId="3" fontId="6" fillId="10" borderId="38" xfId="0" applyNumberFormat="1" applyFont="1" applyFill="1" applyBorder="1" applyAlignment="1">
      <alignment horizontal="center" vertical="center" wrapText="1"/>
    </xf>
    <xf numFmtId="2" fontId="6" fillId="12" borderId="42" xfId="0" applyNumberFormat="1" applyFont="1" applyFill="1" applyBorder="1" applyAlignment="1">
      <alignment horizontal="center" vertical="center" wrapText="1"/>
    </xf>
    <xf numFmtId="3" fontId="7" fillId="3" borderId="35"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2" fontId="6" fillId="12" borderId="20" xfId="0" applyNumberFormat="1" applyFont="1" applyFill="1" applyBorder="1" applyAlignment="1">
      <alignment horizontal="center" vertical="center" wrapText="1"/>
    </xf>
    <xf numFmtId="2" fontId="6" fillId="12" borderId="43" xfId="0" applyNumberFormat="1" applyFont="1" applyFill="1" applyBorder="1" applyAlignment="1">
      <alignment horizontal="center" vertical="center" wrapText="1"/>
    </xf>
    <xf numFmtId="0" fontId="3" fillId="4" borderId="67" xfId="0" applyFont="1" applyFill="1" applyBorder="1" applyAlignment="1">
      <alignment horizontal="center" vertical="center" wrapText="1"/>
    </xf>
    <xf numFmtId="0" fontId="7" fillId="4" borderId="81" xfId="0" applyFont="1" applyFill="1" applyBorder="1" applyAlignment="1">
      <alignment horizontal="center" vertical="center" wrapText="1"/>
    </xf>
    <xf numFmtId="3" fontId="6" fillId="10" borderId="50" xfId="0" applyNumberFormat="1" applyFont="1" applyFill="1" applyBorder="1" applyAlignment="1">
      <alignment horizontal="center" vertical="center" wrapText="1"/>
    </xf>
    <xf numFmtId="3" fontId="6" fillId="10" borderId="40"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10" borderId="41" xfId="0" applyNumberFormat="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57" xfId="0" applyFont="1" applyFill="1" applyBorder="1" applyAlignment="1">
      <alignment horizontal="center" vertical="center" wrapText="1"/>
    </xf>
    <xf numFmtId="0" fontId="10" fillId="4" borderId="8" xfId="0" applyFont="1" applyFill="1" applyBorder="1" applyAlignment="1">
      <alignment horizontal="center" vertical="center" wrapText="1"/>
    </xf>
    <xf numFmtId="2" fontId="11" fillId="12" borderId="39" xfId="0" applyNumberFormat="1" applyFont="1" applyFill="1" applyBorder="1" applyAlignment="1">
      <alignment horizontal="center" vertical="center" wrapText="1"/>
    </xf>
    <xf numFmtId="0" fontId="10" fillId="4" borderId="66" xfId="0" applyFont="1" applyFill="1" applyBorder="1" applyAlignment="1">
      <alignment horizontal="center" vertical="center" wrapText="1"/>
    </xf>
    <xf numFmtId="2" fontId="11" fillId="12" borderId="42" xfId="0" applyNumberFormat="1" applyFont="1" applyFill="1" applyBorder="1" applyAlignment="1">
      <alignment horizontal="center" vertical="center" wrapText="1"/>
    </xf>
    <xf numFmtId="0" fontId="3" fillId="4" borderId="66" xfId="0" applyFont="1" applyFill="1" applyBorder="1" applyAlignment="1">
      <alignment horizontal="center" vertical="center" wrapText="1"/>
    </xf>
    <xf numFmtId="0" fontId="0" fillId="14" borderId="0" xfId="0" applyFill="1" applyAlignment="1">
      <alignment vertical="center" wrapText="1"/>
    </xf>
    <xf numFmtId="0" fontId="8" fillId="4" borderId="4"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3" fillId="4" borderId="7" xfId="0" applyFont="1" applyFill="1" applyBorder="1" applyAlignment="1" applyProtection="1">
      <alignment horizontal="center" vertical="center" wrapText="1"/>
    </xf>
    <xf numFmtId="0" fontId="6" fillId="15" borderId="34" xfId="0" applyFont="1" applyFill="1" applyBorder="1" applyAlignment="1">
      <alignment horizontal="center" vertical="center" wrapText="1"/>
    </xf>
    <xf numFmtId="0" fontId="6" fillId="15" borderId="43" xfId="0" applyFont="1" applyFill="1" applyBorder="1" applyAlignment="1">
      <alignment horizontal="center" vertical="center" wrapText="1"/>
    </xf>
    <xf numFmtId="165" fontId="3" fillId="4" borderId="8" xfId="0" applyNumberFormat="1" applyFont="1" applyFill="1" applyBorder="1" applyAlignment="1" applyProtection="1">
      <alignment horizontal="center" vertical="center" wrapText="1"/>
    </xf>
    <xf numFmtId="165" fontId="3" fillId="4" borderId="7" xfId="0" applyNumberFormat="1" applyFont="1" applyFill="1" applyBorder="1" applyAlignment="1" applyProtection="1">
      <alignment horizontal="center" vertical="center" wrapText="1"/>
    </xf>
    <xf numFmtId="0" fontId="6" fillId="15" borderId="54" xfId="0" applyFont="1" applyFill="1" applyBorder="1" applyAlignment="1">
      <alignment horizontal="center" vertical="center" wrapText="1"/>
    </xf>
    <xf numFmtId="0" fontId="6" fillId="15" borderId="20" xfId="0" applyFont="1" applyFill="1" applyBorder="1" applyAlignment="1">
      <alignment horizontal="center" vertical="center" wrapText="1"/>
    </xf>
    <xf numFmtId="165" fontId="3" fillId="4" borderId="9" xfId="0" applyNumberFormat="1" applyFont="1" applyFill="1" applyBorder="1" applyAlignment="1" applyProtection="1">
      <alignment horizontal="center" vertical="center" wrapText="1"/>
    </xf>
    <xf numFmtId="0" fontId="8" fillId="4" borderId="3" xfId="0" applyFont="1" applyFill="1" applyBorder="1" applyAlignment="1">
      <alignment horizontal="center" vertical="center" wrapText="1"/>
    </xf>
    <xf numFmtId="0" fontId="0" fillId="15" borderId="8" xfId="0" applyFill="1" applyBorder="1" applyAlignment="1" applyProtection="1">
      <alignment horizontal="center" vertical="center" wrapText="1"/>
    </xf>
    <xf numFmtId="0" fontId="0" fillId="15" borderId="9" xfId="0" applyFill="1" applyBorder="1" applyAlignment="1" applyProtection="1">
      <alignment horizontal="center" vertical="center" wrapText="1"/>
    </xf>
    <xf numFmtId="0" fontId="8" fillId="4" borderId="81" xfId="0" applyFont="1" applyFill="1" applyBorder="1" applyAlignment="1" applyProtection="1">
      <alignment horizontal="center" vertical="center" wrapText="1"/>
    </xf>
    <xf numFmtId="0" fontId="6" fillId="11" borderId="69" xfId="0" applyFont="1" applyFill="1" applyBorder="1" applyAlignment="1" applyProtection="1">
      <alignment horizontal="center" vertical="center" wrapText="1"/>
    </xf>
    <xf numFmtId="0" fontId="6" fillId="11" borderId="41" xfId="0" applyFont="1" applyFill="1" applyBorder="1" applyAlignment="1" applyProtection="1">
      <alignment vertical="center" wrapText="1"/>
    </xf>
    <xf numFmtId="0" fontId="6" fillId="11" borderId="42" xfId="0" applyFont="1" applyFill="1" applyBorder="1" applyAlignment="1" applyProtection="1">
      <alignment vertical="center" wrapText="1"/>
    </xf>
    <xf numFmtId="166" fontId="6" fillId="13" borderId="70" xfId="0" applyNumberFormat="1" applyFont="1" applyFill="1" applyBorder="1" applyAlignment="1" applyProtection="1">
      <alignment horizontal="center" vertical="center" wrapText="1"/>
    </xf>
    <xf numFmtId="3" fontId="7" fillId="3" borderId="44" xfId="0" applyNumberFormat="1" applyFont="1" applyFill="1" applyBorder="1" applyAlignment="1" applyProtection="1">
      <alignment horizontal="center" vertical="center" wrapText="1"/>
    </xf>
    <xf numFmtId="0" fontId="3" fillId="4" borderId="24" xfId="0" quotePrefix="1" applyFont="1" applyFill="1" applyBorder="1" applyAlignment="1" applyProtection="1">
      <alignment horizontal="center" vertical="center" wrapText="1"/>
    </xf>
    <xf numFmtId="0" fontId="3" fillId="4" borderId="25" xfId="0" applyFont="1" applyFill="1" applyBorder="1" applyAlignment="1" applyProtection="1">
      <alignment horizontal="center" vertical="center" wrapText="1"/>
    </xf>
    <xf numFmtId="0" fontId="3" fillId="4" borderId="26" xfId="0" applyFont="1" applyFill="1" applyBorder="1" applyAlignment="1" applyProtection="1">
      <alignment horizontal="center" vertical="center" wrapText="1"/>
    </xf>
    <xf numFmtId="0" fontId="3" fillId="4" borderId="82" xfId="0" applyFont="1" applyFill="1" applyBorder="1" applyAlignment="1" applyProtection="1">
      <alignment horizontal="center" vertical="center" wrapText="1"/>
    </xf>
    <xf numFmtId="3" fontId="3" fillId="4" borderId="43" xfId="0" applyNumberFormat="1" applyFont="1" applyFill="1" applyBorder="1" applyAlignment="1">
      <alignment horizontal="center" vertical="center" wrapText="1"/>
    </xf>
    <xf numFmtId="3" fontId="7" fillId="3" borderId="39" xfId="0" applyNumberFormat="1" applyFont="1" applyFill="1" applyBorder="1" applyAlignment="1">
      <alignment horizontal="center" vertical="center" wrapText="1"/>
    </xf>
    <xf numFmtId="3" fontId="3" fillId="4" borderId="21" xfId="0" applyNumberFormat="1" applyFont="1" applyFill="1" applyBorder="1" applyAlignment="1">
      <alignment horizontal="center" vertical="center" wrapText="1"/>
    </xf>
    <xf numFmtId="3" fontId="6" fillId="10" borderId="40" xfId="0" quotePrefix="1" applyNumberFormat="1" applyFont="1" applyFill="1" applyBorder="1" applyAlignment="1">
      <alignment horizontal="center" vertical="center" wrapText="1"/>
    </xf>
    <xf numFmtId="3" fontId="7" fillId="3" borderId="42" xfId="0" quotePrefix="1" applyNumberFormat="1" applyFont="1" applyFill="1" applyBorder="1" applyAlignment="1">
      <alignment horizontal="center" vertical="center" wrapText="1"/>
    </xf>
    <xf numFmtId="0" fontId="6" fillId="4" borderId="53" xfId="0" applyFont="1" applyFill="1" applyBorder="1" applyAlignment="1">
      <alignment horizontal="center" vertical="center" wrapText="1"/>
    </xf>
    <xf numFmtId="0" fontId="6" fillId="4" borderId="52"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9" fontId="6" fillId="12" borderId="38" xfId="0" applyNumberFormat="1" applyFont="1" applyFill="1" applyBorder="1" applyAlignment="1">
      <alignment horizontal="center" vertical="center" wrapText="1"/>
    </xf>
    <xf numFmtId="9" fontId="6" fillId="12" borderId="40" xfId="0" applyNumberFormat="1"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20" xfId="0" applyFont="1" applyFill="1" applyBorder="1" applyAlignment="1">
      <alignment horizontal="center" vertical="center" wrapText="1"/>
    </xf>
    <xf numFmtId="3" fontId="15" fillId="13" borderId="51" xfId="0" applyNumberFormat="1" applyFont="1" applyFill="1" applyBorder="1" applyAlignment="1">
      <alignment horizontal="center" vertical="center" wrapText="1"/>
    </xf>
    <xf numFmtId="3" fontId="15" fillId="13" borderId="33" xfId="0" applyNumberFormat="1" applyFont="1" applyFill="1" applyBorder="1" applyAlignment="1">
      <alignment horizontal="center" vertical="center" wrapText="1"/>
    </xf>
    <xf numFmtId="0" fontId="6" fillId="11" borderId="50" xfId="0" applyFont="1" applyFill="1" applyBorder="1" applyAlignment="1" applyProtection="1">
      <alignment horizontal="center" vertical="center" wrapText="1"/>
    </xf>
    <xf numFmtId="0" fontId="6" fillId="11" borderId="40" xfId="0" applyFont="1" applyFill="1" applyBorder="1" applyAlignment="1" applyProtection="1">
      <alignment horizontal="center" vertical="center" wrapText="1"/>
    </xf>
    <xf numFmtId="0" fontId="7" fillId="11" borderId="47" xfId="0" applyFont="1" applyFill="1" applyBorder="1" applyAlignment="1" applyProtection="1">
      <alignment horizontal="center" vertical="center" wrapText="1"/>
    </xf>
    <xf numFmtId="0" fontId="7" fillId="11" borderId="48" xfId="0" applyFont="1" applyFill="1" applyBorder="1" applyAlignment="1" applyProtection="1">
      <alignment horizontal="center" vertical="center" wrapText="1"/>
    </xf>
    <xf numFmtId="166" fontId="6" fillId="9" borderId="53" xfId="0" applyNumberFormat="1" applyFont="1" applyFill="1" applyBorder="1" applyAlignment="1" applyProtection="1">
      <alignment horizontal="center" vertical="center" wrapText="1"/>
    </xf>
    <xf numFmtId="165" fontId="6" fillId="9" borderId="36" xfId="0" applyNumberFormat="1" applyFont="1" applyFill="1" applyBorder="1" applyAlignment="1" applyProtection="1">
      <alignment horizontal="center" vertical="center" wrapText="1"/>
    </xf>
    <xf numFmtId="167" fontId="6" fillId="12" borderId="52" xfId="0" applyNumberFormat="1" applyFont="1" applyFill="1" applyBorder="1" applyAlignment="1" applyProtection="1">
      <alignment horizontal="center" vertical="center" wrapText="1"/>
    </xf>
    <xf numFmtId="0" fontId="3" fillId="4" borderId="2" xfId="0" quotePrefix="1" applyFont="1" applyFill="1" applyBorder="1" applyAlignment="1" applyProtection="1">
      <alignment horizontal="center" vertical="center" wrapText="1"/>
    </xf>
    <xf numFmtId="0" fontId="3" fillId="4" borderId="3" xfId="0" quotePrefix="1" applyFont="1" applyFill="1" applyBorder="1" applyAlignment="1" applyProtection="1">
      <alignment horizontal="center" vertical="center" wrapText="1"/>
    </xf>
    <xf numFmtId="0" fontId="6" fillId="13" borderId="44" xfId="0" applyFont="1" applyFill="1" applyBorder="1" applyAlignment="1" applyProtection="1">
      <alignment horizontal="center" vertical="center" wrapText="1"/>
    </xf>
    <xf numFmtId="166" fontId="6" fillId="13" borderId="21" xfId="0" applyNumberFormat="1" applyFont="1" applyFill="1" applyBorder="1" applyAlignment="1" applyProtection="1">
      <alignment horizontal="center" vertical="center" wrapText="1"/>
    </xf>
    <xf numFmtId="3" fontId="7" fillId="3" borderId="36" xfId="0" applyNumberFormat="1" applyFont="1" applyFill="1" applyBorder="1" applyAlignment="1" applyProtection="1">
      <alignment horizontal="center" vertical="center" wrapText="1"/>
    </xf>
    <xf numFmtId="0" fontId="0" fillId="15" borderId="7" xfId="0" applyFill="1" applyBorder="1" applyAlignment="1" applyProtection="1">
      <alignment horizontal="center" vertical="center" wrapText="1"/>
    </xf>
    <xf numFmtId="167" fontId="13" fillId="12" borderId="57" xfId="0" applyNumberFormat="1" applyFont="1" applyFill="1" applyBorder="1" applyAlignment="1" applyProtection="1">
      <alignment horizontal="center" vertical="center" wrapText="1"/>
    </xf>
    <xf numFmtId="3" fontId="13" fillId="10" borderId="47" xfId="0" applyNumberFormat="1" applyFont="1" applyFill="1" applyBorder="1" applyAlignment="1" applyProtection="1">
      <alignment horizontal="center" vertical="center" wrapText="1"/>
    </xf>
    <xf numFmtId="3" fontId="3" fillId="3" borderId="47" xfId="0" applyNumberFormat="1" applyFont="1" applyFill="1" applyBorder="1" applyAlignment="1" applyProtection="1">
      <alignment horizontal="center" vertical="center" wrapText="1"/>
    </xf>
    <xf numFmtId="0" fontId="3" fillId="4" borderId="28" xfId="0" applyFont="1" applyFill="1" applyBorder="1" applyAlignment="1" applyProtection="1">
      <alignment horizontal="center" vertical="center" wrapText="1"/>
    </xf>
    <xf numFmtId="0" fontId="3" fillId="4" borderId="18" xfId="0" applyFont="1" applyFill="1" applyBorder="1" applyAlignment="1" applyProtection="1">
      <alignment horizontal="center" vertical="center" wrapText="1"/>
    </xf>
    <xf numFmtId="0" fontId="3" fillId="4" borderId="19"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wrapText="1"/>
    </xf>
    <xf numFmtId="3" fontId="6" fillId="13" borderId="3" xfId="0" applyNumberFormat="1" applyFont="1" applyFill="1" applyBorder="1" applyAlignment="1" applyProtection="1">
      <alignment horizontal="center" vertical="center" wrapText="1"/>
    </xf>
    <xf numFmtId="3" fontId="6" fillId="13" borderId="4" xfId="0" applyNumberFormat="1" applyFont="1" applyFill="1" applyBorder="1" applyAlignment="1" applyProtection="1">
      <alignment horizontal="center" vertical="center" wrapText="1"/>
    </xf>
    <xf numFmtId="0" fontId="3" fillId="4" borderId="74" xfId="0" applyFont="1" applyFill="1" applyBorder="1" applyAlignment="1" applyProtection="1">
      <alignment vertical="center" wrapText="1"/>
    </xf>
    <xf numFmtId="10" fontId="6" fillId="10" borderId="32" xfId="0" applyNumberFormat="1" applyFont="1" applyFill="1" applyBorder="1" applyAlignment="1" applyProtection="1">
      <alignment horizontal="center" vertical="center" wrapText="1"/>
    </xf>
    <xf numFmtId="0" fontId="3" fillId="4" borderId="17" xfId="0" applyFont="1" applyFill="1" applyBorder="1" applyAlignment="1" applyProtection="1">
      <alignment vertical="center" wrapText="1"/>
    </xf>
    <xf numFmtId="10" fontId="7" fillId="3" borderId="51" xfId="0" applyNumberFormat="1" applyFont="1" applyFill="1" applyBorder="1" applyAlignment="1" applyProtection="1">
      <alignment horizontal="center" vertical="center" wrapText="1"/>
    </xf>
    <xf numFmtId="10" fontId="6" fillId="10" borderId="51" xfId="0" applyNumberFormat="1" applyFont="1" applyFill="1" applyBorder="1" applyAlignment="1" applyProtection="1">
      <alignment horizontal="center" vertical="center" wrapText="1"/>
    </xf>
    <xf numFmtId="3" fontId="6" fillId="10" borderId="34" xfId="0" quotePrefix="1" applyNumberFormat="1" applyFont="1" applyFill="1" applyBorder="1" applyAlignment="1" applyProtection="1">
      <alignment horizontal="center" vertical="center" wrapText="1"/>
    </xf>
    <xf numFmtId="3" fontId="7" fillId="3" borderId="34" xfId="0" quotePrefix="1" applyNumberFormat="1" applyFont="1" applyFill="1" applyBorder="1" applyAlignment="1" applyProtection="1">
      <alignment horizontal="center" vertical="center" wrapText="1"/>
    </xf>
    <xf numFmtId="3" fontId="6" fillId="10" borderId="32" xfId="0" applyNumberFormat="1" applyFont="1" applyFill="1" applyBorder="1" applyAlignment="1" applyProtection="1">
      <alignment horizontal="center" vertical="center" wrapText="1"/>
    </xf>
    <xf numFmtId="3" fontId="7" fillId="3" borderId="20" xfId="0" applyNumberFormat="1" applyFont="1" applyFill="1" applyBorder="1" applyAlignment="1" applyProtection="1">
      <alignment horizontal="center" vertical="center" wrapText="1"/>
    </xf>
    <xf numFmtId="3" fontId="6" fillId="10" borderId="51" xfId="0" applyNumberFormat="1" applyFont="1" applyFill="1" applyBorder="1" applyAlignment="1" applyProtection="1">
      <alignment horizontal="center" vertical="center" wrapText="1"/>
    </xf>
    <xf numFmtId="3" fontId="7" fillId="3" borderId="43" xfId="0" applyNumberFormat="1" applyFont="1" applyFill="1" applyBorder="1" applyAlignment="1" applyProtection="1">
      <alignment horizontal="center" vertical="center" wrapText="1"/>
    </xf>
    <xf numFmtId="0" fontId="3" fillId="4" borderId="67" xfId="0" applyFont="1" applyFill="1" applyBorder="1" applyAlignment="1" applyProtection="1">
      <alignment horizontal="center" vertical="center" wrapText="1"/>
    </xf>
    <xf numFmtId="3" fontId="6" fillId="10" borderId="33" xfId="0" applyNumberFormat="1" applyFont="1" applyFill="1" applyBorder="1" applyAlignment="1" applyProtection="1">
      <alignment horizontal="center" vertical="center" wrapText="1"/>
    </xf>
    <xf numFmtId="3" fontId="7" fillId="3" borderId="21" xfId="0" applyNumberFormat="1" applyFont="1" applyFill="1" applyBorder="1" applyAlignment="1" applyProtection="1">
      <alignment horizontal="center" vertical="center" wrapText="1"/>
    </xf>
    <xf numFmtId="3" fontId="13" fillId="10" borderId="46" xfId="0" applyNumberFormat="1" applyFont="1" applyFill="1" applyBorder="1" applyAlignment="1" applyProtection="1">
      <alignment horizontal="center" vertical="center" wrapText="1"/>
    </xf>
    <xf numFmtId="3" fontId="3" fillId="3" borderId="57" xfId="0" applyNumberFormat="1" applyFont="1" applyFill="1" applyBorder="1" applyAlignment="1" applyProtection="1">
      <alignment horizontal="center" vertical="center" wrapText="1"/>
    </xf>
    <xf numFmtId="9" fontId="6" fillId="12" borderId="50" xfId="0" applyNumberFormat="1" applyFont="1" applyFill="1" applyBorder="1" applyAlignment="1" applyProtection="1">
      <alignment horizontal="center" vertical="center" wrapText="1"/>
    </xf>
    <xf numFmtId="9" fontId="6" fillId="12" borderId="38" xfId="0" applyNumberFormat="1" applyFont="1" applyFill="1" applyBorder="1" applyAlignment="1" applyProtection="1">
      <alignment horizontal="center" vertical="center" wrapText="1"/>
    </xf>
    <xf numFmtId="0" fontId="6" fillId="12" borderId="45" xfId="0" quotePrefix="1" applyFont="1" applyFill="1" applyBorder="1" applyAlignment="1" applyProtection="1">
      <alignment horizontal="center" vertical="center" wrapText="1"/>
    </xf>
    <xf numFmtId="3" fontId="4" fillId="15" borderId="34" xfId="0" applyNumberFormat="1" applyFont="1" applyFill="1" applyBorder="1" applyAlignment="1" applyProtection="1">
      <alignment horizontal="center" vertical="center" wrapText="1"/>
      <protection locked="0"/>
    </xf>
    <xf numFmtId="0" fontId="13" fillId="11" borderId="23" xfId="0" applyFont="1" applyFill="1" applyBorder="1" applyAlignment="1" applyProtection="1">
      <alignment horizontal="center" vertical="center" wrapText="1"/>
    </xf>
    <xf numFmtId="3" fontId="7" fillId="3" borderId="34" xfId="0" applyNumberFormat="1" applyFont="1" applyFill="1" applyBorder="1" applyAlignment="1">
      <alignment horizontal="center" vertical="center" wrapText="1"/>
    </xf>
    <xf numFmtId="0" fontId="3" fillId="4" borderId="81" xfId="0" applyFont="1" applyFill="1" applyBorder="1" applyAlignment="1">
      <alignment horizontal="center" vertical="center" wrapText="1"/>
    </xf>
    <xf numFmtId="0" fontId="15" fillId="13" borderId="80" xfId="0" applyFont="1" applyFill="1" applyBorder="1" applyAlignment="1">
      <alignment horizontal="center" vertical="center" wrapText="1"/>
    </xf>
    <xf numFmtId="2" fontId="6" fillId="12" borderId="34" xfId="0" applyNumberFormat="1" applyFont="1" applyFill="1" applyBorder="1" applyAlignment="1">
      <alignment horizontal="center" vertical="center" wrapText="1"/>
    </xf>
    <xf numFmtId="2" fontId="6" fillId="12" borderId="36" xfId="0" applyNumberFormat="1" applyFont="1" applyFill="1" applyBorder="1" applyAlignment="1">
      <alignment horizontal="center" vertical="center" wrapText="1"/>
    </xf>
    <xf numFmtId="3" fontId="7" fillId="3" borderId="41" xfId="0" applyNumberFormat="1" applyFont="1" applyFill="1" applyBorder="1" applyAlignment="1">
      <alignment horizontal="center" vertical="center" wrapText="1"/>
    </xf>
    <xf numFmtId="0" fontId="7" fillId="4" borderId="3" xfId="0" applyFont="1" applyFill="1" applyBorder="1" applyAlignment="1">
      <alignment horizontal="center" vertical="center" wrapText="1"/>
    </xf>
    <xf numFmtId="3" fontId="7" fillId="3" borderId="36" xfId="0" applyNumberFormat="1" applyFont="1" applyFill="1" applyBorder="1" applyAlignment="1">
      <alignment horizontal="center" vertical="center" wrapText="1"/>
    </xf>
    <xf numFmtId="3" fontId="6" fillId="10" borderId="36" xfId="0" applyNumberFormat="1" applyFont="1" applyFill="1" applyBorder="1" applyAlignment="1">
      <alignment horizontal="center" vertical="center" wrapText="1"/>
    </xf>
    <xf numFmtId="0" fontId="4" fillId="20" borderId="35" xfId="0" applyFont="1" applyFill="1" applyBorder="1" applyAlignment="1">
      <alignment horizontal="center" vertical="center" wrapText="1"/>
    </xf>
    <xf numFmtId="0" fontId="4" fillId="20" borderId="38" xfId="0" applyFont="1" applyFill="1" applyBorder="1" applyAlignment="1">
      <alignment horizontal="center" vertical="center" wrapText="1"/>
    </xf>
    <xf numFmtId="0" fontId="4" fillId="20" borderId="40" xfId="0" applyFont="1" applyFill="1" applyBorder="1" applyAlignment="1">
      <alignment horizontal="center" vertical="center" wrapText="1"/>
    </xf>
    <xf numFmtId="0" fontId="6" fillId="14" borderId="0" xfId="0" applyFont="1" applyFill="1" applyAlignment="1">
      <alignment vertical="center"/>
    </xf>
    <xf numFmtId="0" fontId="3" fillId="4" borderId="1" xfId="0" applyFont="1" applyFill="1" applyBorder="1" applyAlignment="1">
      <alignment horizontal="center" vertical="center"/>
    </xf>
    <xf numFmtId="3" fontId="6" fillId="21" borderId="37" xfId="0" applyNumberFormat="1" applyFont="1" applyFill="1" applyBorder="1" applyAlignment="1">
      <alignment horizontal="center" vertical="center" wrapText="1"/>
    </xf>
    <xf numFmtId="3" fontId="6" fillId="21" borderId="39" xfId="0" applyNumberFormat="1" applyFont="1" applyFill="1" applyBorder="1" applyAlignment="1">
      <alignment horizontal="center" vertical="center" wrapText="1"/>
    </xf>
    <xf numFmtId="3" fontId="4" fillId="21" borderId="39" xfId="0" applyNumberFormat="1" applyFont="1" applyFill="1" applyBorder="1" applyAlignment="1">
      <alignment horizontal="center" vertical="center" wrapText="1"/>
    </xf>
    <xf numFmtId="3" fontId="4" fillId="21" borderId="42" xfId="0" applyNumberFormat="1" applyFont="1" applyFill="1" applyBorder="1" applyAlignment="1">
      <alignment horizontal="center" vertical="center" wrapText="1"/>
    </xf>
    <xf numFmtId="0" fontId="6" fillId="21" borderId="26" xfId="0" applyFont="1" applyFill="1" applyBorder="1" applyAlignment="1">
      <alignment horizontal="center" vertical="center"/>
    </xf>
    <xf numFmtId="0" fontId="6" fillId="21" borderId="84"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29" xfId="0" applyFont="1" applyFill="1" applyBorder="1" applyAlignment="1">
      <alignment horizontal="center" vertical="center"/>
    </xf>
    <xf numFmtId="0" fontId="6" fillId="21" borderId="25" xfId="0" applyFont="1" applyFill="1" applyBorder="1" applyAlignment="1">
      <alignment horizontal="center" vertical="center"/>
    </xf>
    <xf numFmtId="0" fontId="13" fillId="4" borderId="24" xfId="0" applyFont="1" applyFill="1" applyBorder="1" applyAlignment="1">
      <alignment horizontal="center" vertical="center"/>
    </xf>
    <xf numFmtId="0" fontId="13" fillId="11" borderId="54" xfId="0" applyFont="1" applyFill="1" applyBorder="1" applyAlignment="1" applyProtection="1">
      <alignment vertical="center" wrapText="1"/>
    </xf>
    <xf numFmtId="0" fontId="13" fillId="11" borderId="56" xfId="0" applyFont="1" applyFill="1" applyBorder="1" applyAlignment="1" applyProtection="1">
      <alignment vertical="center" wrapText="1"/>
    </xf>
    <xf numFmtId="0" fontId="4" fillId="13" borderId="9" xfId="0" applyFont="1" applyFill="1" applyBorder="1" applyAlignment="1" applyProtection="1">
      <alignment horizontal="center" vertical="center" wrapText="1"/>
    </xf>
    <xf numFmtId="0" fontId="6" fillId="11" borderId="44" xfId="0" applyFont="1" applyFill="1" applyBorder="1" applyAlignment="1" applyProtection="1">
      <alignment vertical="center" wrapText="1"/>
    </xf>
    <xf numFmtId="0" fontId="6" fillId="11" borderId="55" xfId="0" applyFont="1" applyFill="1" applyBorder="1" applyAlignment="1" applyProtection="1">
      <alignment vertical="center" wrapText="1"/>
    </xf>
    <xf numFmtId="0" fontId="13" fillId="11" borderId="10" xfId="0" applyFont="1" applyFill="1" applyBorder="1" applyAlignment="1" applyProtection="1">
      <alignment horizontal="left" vertical="center" wrapText="1"/>
    </xf>
    <xf numFmtId="0" fontId="3" fillId="4" borderId="2" xfId="0" applyFont="1" applyFill="1" applyBorder="1" applyAlignment="1" applyProtection="1">
      <alignment horizontal="center" vertical="center" wrapText="1"/>
    </xf>
    <xf numFmtId="1" fontId="3" fillId="4" borderId="3" xfId="0" applyNumberFormat="1" applyFont="1" applyFill="1" applyBorder="1" applyAlignment="1" applyProtection="1">
      <alignment horizontal="center" vertical="center" wrapText="1"/>
    </xf>
    <xf numFmtId="0" fontId="3" fillId="4" borderId="30" xfId="0" applyFont="1" applyFill="1" applyBorder="1" applyAlignment="1" applyProtection="1">
      <alignment horizontal="center" vertical="center" wrapText="1"/>
    </xf>
    <xf numFmtId="0" fontId="13" fillId="11" borderId="81" xfId="0" applyFont="1" applyFill="1" applyBorder="1" applyAlignment="1" applyProtection="1">
      <alignment horizontal="left" vertical="center" wrapText="1"/>
    </xf>
    <xf numFmtId="1" fontId="3" fillId="4" borderId="18" xfId="0" applyNumberFormat="1" applyFont="1" applyFill="1" applyBorder="1" applyAlignment="1" applyProtection="1">
      <alignment horizontal="center" vertical="center" wrapText="1"/>
    </xf>
    <xf numFmtId="0" fontId="3" fillId="4" borderId="68" xfId="0" applyFont="1" applyFill="1" applyBorder="1" applyAlignment="1" applyProtection="1">
      <alignment horizontal="center" vertical="center" wrapText="1"/>
    </xf>
    <xf numFmtId="0" fontId="6" fillId="11" borderId="63" xfId="0" applyFont="1" applyFill="1" applyBorder="1" applyAlignment="1" applyProtection="1">
      <alignment vertical="center" wrapText="1"/>
    </xf>
    <xf numFmtId="0" fontId="3" fillId="4" borderId="7" xfId="0" applyFont="1" applyFill="1" applyBorder="1" applyAlignment="1" applyProtection="1">
      <alignment horizontal="left" vertical="center" wrapText="1"/>
    </xf>
    <xf numFmtId="0" fontId="6" fillId="13" borderId="36" xfId="0" applyFont="1" applyFill="1" applyBorder="1" applyAlignment="1" applyProtection="1">
      <alignment horizontal="center" vertical="center" wrapText="1"/>
    </xf>
    <xf numFmtId="3" fontId="6" fillId="20" borderId="36" xfId="0" applyNumberFormat="1" applyFont="1" applyFill="1" applyBorder="1" applyAlignment="1" applyProtection="1">
      <alignment horizontal="center" vertical="center" wrapText="1"/>
    </xf>
    <xf numFmtId="2" fontId="6" fillId="12" borderId="37" xfId="0" applyNumberFormat="1" applyFont="1" applyFill="1" applyBorder="1" applyAlignment="1" applyProtection="1">
      <alignment horizontal="center" vertical="center" wrapText="1"/>
    </xf>
    <xf numFmtId="0" fontId="6" fillId="13" borderId="34" xfId="0" applyFont="1" applyFill="1" applyBorder="1" applyAlignment="1" applyProtection="1">
      <alignment horizontal="center" vertical="center" wrapText="1"/>
    </xf>
    <xf numFmtId="3" fontId="6" fillId="20" borderId="34" xfId="0" applyNumberFormat="1" applyFont="1" applyFill="1" applyBorder="1" applyAlignment="1" applyProtection="1">
      <alignment horizontal="center" vertical="center" wrapText="1"/>
    </xf>
    <xf numFmtId="2" fontId="6" fillId="12" borderId="39" xfId="0" applyNumberFormat="1" applyFont="1" applyFill="1" applyBorder="1" applyAlignment="1" applyProtection="1">
      <alignment horizontal="center" vertical="center" wrapText="1"/>
    </xf>
    <xf numFmtId="0" fontId="6" fillId="12" borderId="39" xfId="0" applyFont="1" applyFill="1" applyBorder="1" applyAlignment="1" applyProtection="1">
      <alignment horizontal="center" vertical="center" wrapText="1"/>
    </xf>
    <xf numFmtId="0" fontId="3" fillId="4" borderId="9" xfId="0" applyFont="1" applyFill="1" applyBorder="1" applyAlignment="1" applyProtection="1">
      <alignment horizontal="left" vertical="center" wrapText="1"/>
    </xf>
    <xf numFmtId="3" fontId="6" fillId="20" borderId="41" xfId="0" applyNumberFormat="1" applyFont="1" applyFill="1" applyBorder="1" applyAlignment="1" applyProtection="1">
      <alignment horizontal="center" vertical="center" wrapText="1"/>
    </xf>
    <xf numFmtId="0" fontId="6" fillId="12" borderId="42" xfId="0" applyFont="1" applyFill="1" applyBorder="1" applyAlignment="1" applyProtection="1">
      <alignment horizontal="center" vertical="center" wrapText="1"/>
    </xf>
    <xf numFmtId="3" fontId="6" fillId="20" borderId="44" xfId="0" applyNumberFormat="1" applyFont="1" applyFill="1" applyBorder="1" applyAlignment="1" applyProtection="1">
      <alignment horizontal="center" vertical="center" wrapText="1"/>
    </xf>
    <xf numFmtId="2" fontId="6" fillId="12" borderId="55" xfId="0" applyNumberFormat="1" applyFont="1" applyFill="1" applyBorder="1" applyAlignment="1" applyProtection="1">
      <alignment horizontal="center" vertical="center" wrapText="1"/>
    </xf>
    <xf numFmtId="0" fontId="6" fillId="11" borderId="5" xfId="0" applyFont="1" applyFill="1" applyBorder="1" applyAlignment="1" applyProtection="1">
      <alignment vertical="center" wrapText="1"/>
    </xf>
    <xf numFmtId="0" fontId="6" fillId="11" borderId="3" xfId="0" applyFont="1" applyFill="1" applyBorder="1" applyAlignment="1" applyProtection="1">
      <alignment vertical="center" wrapText="1"/>
    </xf>
    <xf numFmtId="3" fontId="13" fillId="13" borderId="1" xfId="0" applyNumberFormat="1" applyFont="1" applyFill="1" applyBorder="1" applyAlignment="1" applyProtection="1">
      <alignment horizontal="center" vertical="center" wrapText="1"/>
    </xf>
    <xf numFmtId="0" fontId="6" fillId="11" borderId="35" xfId="0" applyFont="1" applyFill="1" applyBorder="1" applyAlignment="1" applyProtection="1">
      <alignment vertical="center" wrapText="1"/>
    </xf>
    <xf numFmtId="0" fontId="6" fillId="11" borderId="36" xfId="0" applyFont="1" applyFill="1" applyBorder="1" applyAlignment="1" applyProtection="1">
      <alignment vertical="center" wrapText="1"/>
    </xf>
    <xf numFmtId="3" fontId="13" fillId="20" borderId="36" xfId="0" applyNumberFormat="1" applyFont="1" applyFill="1" applyBorder="1" applyAlignment="1" applyProtection="1">
      <alignment horizontal="center" vertical="center" wrapText="1"/>
    </xf>
    <xf numFmtId="3" fontId="13" fillId="20" borderId="37" xfId="0" applyNumberFormat="1" applyFont="1" applyFill="1" applyBorder="1" applyAlignment="1" applyProtection="1">
      <alignment horizontal="center" vertical="center" wrapText="1"/>
    </xf>
    <xf numFmtId="3" fontId="13" fillId="20" borderId="29" xfId="0" applyNumberFormat="1" applyFont="1" applyFill="1" applyBorder="1" applyAlignment="1" applyProtection="1">
      <alignment horizontal="center" vertical="center" wrapText="1"/>
    </xf>
    <xf numFmtId="3" fontId="13" fillId="20" borderId="52" xfId="0" applyNumberFormat="1" applyFont="1" applyFill="1" applyBorder="1" applyAlignment="1" applyProtection="1">
      <alignment horizontal="center" vertical="center" wrapText="1"/>
    </xf>
    <xf numFmtId="0" fontId="6" fillId="11" borderId="38" xfId="0" applyFont="1" applyFill="1" applyBorder="1" applyAlignment="1" applyProtection="1">
      <alignment vertical="center" wrapText="1"/>
    </xf>
    <xf numFmtId="0" fontId="6" fillId="11" borderId="34" xfId="0" applyFont="1" applyFill="1" applyBorder="1" applyAlignment="1" applyProtection="1">
      <alignment vertical="center" wrapText="1"/>
    </xf>
    <xf numFmtId="3" fontId="3" fillId="3" borderId="34" xfId="0" applyNumberFormat="1" applyFont="1" applyFill="1" applyBorder="1" applyAlignment="1" applyProtection="1">
      <alignment horizontal="center" vertical="center" wrapText="1"/>
    </xf>
    <xf numFmtId="3" fontId="3" fillId="3" borderId="39" xfId="0" applyNumberFormat="1" applyFont="1" applyFill="1" applyBorder="1" applyAlignment="1" applyProtection="1">
      <alignment horizontal="center" vertical="center" wrapText="1"/>
    </xf>
    <xf numFmtId="3" fontId="3" fillId="3" borderId="8" xfId="0" applyNumberFormat="1" applyFont="1" applyFill="1" applyBorder="1" applyAlignment="1" applyProtection="1">
      <alignment horizontal="center" vertical="center" wrapText="1"/>
    </xf>
    <xf numFmtId="0" fontId="6" fillId="11" borderId="45" xfId="0" applyFont="1" applyFill="1" applyBorder="1" applyAlignment="1" applyProtection="1">
      <alignment vertical="center" wrapText="1"/>
    </xf>
    <xf numFmtId="0" fontId="13" fillId="12" borderId="44" xfId="0" applyFont="1" applyFill="1" applyBorder="1" applyAlignment="1" applyProtection="1">
      <alignment horizontal="center" vertical="center" wrapText="1"/>
    </xf>
    <xf numFmtId="0" fontId="13" fillId="12" borderId="55" xfId="0" applyFont="1" applyFill="1" applyBorder="1" applyAlignment="1" applyProtection="1">
      <alignment horizontal="center" vertical="center" wrapText="1"/>
    </xf>
    <xf numFmtId="0" fontId="13" fillId="12" borderId="9" xfId="0" applyFont="1" applyFill="1" applyBorder="1" applyAlignment="1" applyProtection="1">
      <alignment horizontal="center" vertical="center" wrapText="1"/>
    </xf>
    <xf numFmtId="0" fontId="13" fillId="12" borderId="21" xfId="0" applyFont="1" applyFill="1" applyBorder="1" applyAlignment="1" applyProtection="1">
      <alignment horizontal="center" vertical="center" wrapText="1"/>
    </xf>
    <xf numFmtId="2" fontId="6" fillId="12" borderId="42" xfId="0" applyNumberFormat="1" applyFont="1" applyFill="1" applyBorder="1" applyAlignment="1" applyProtection="1">
      <alignment horizontal="center" vertical="center" wrapText="1"/>
    </xf>
    <xf numFmtId="0" fontId="8" fillId="4" borderId="35"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6" fillId="0" borderId="38" xfId="0" applyFont="1" applyFill="1" applyBorder="1" applyAlignment="1">
      <alignment vertical="center" wrapText="1"/>
    </xf>
    <xf numFmtId="0" fontId="6" fillId="0" borderId="40" xfId="0" applyFont="1" applyFill="1" applyBorder="1" applyAlignment="1">
      <alignment vertical="center" wrapText="1"/>
    </xf>
    <xf numFmtId="0" fontId="0" fillId="15" borderId="9" xfId="0" applyFont="1" applyFill="1" applyBorder="1" applyAlignment="1">
      <alignment horizontal="center" vertical="center" wrapText="1"/>
    </xf>
    <xf numFmtId="0" fontId="8" fillId="4" borderId="81" xfId="0" applyFont="1" applyFill="1" applyBorder="1" applyAlignment="1">
      <alignment horizontal="center" vertical="center" wrapText="1"/>
    </xf>
    <xf numFmtId="0" fontId="0" fillId="15" borderId="81" xfId="0" applyFont="1" applyFill="1" applyBorder="1" applyAlignment="1">
      <alignment horizontal="center" vertical="center" wrapText="1"/>
    </xf>
    <xf numFmtId="0" fontId="0" fillId="15" borderId="66" xfId="0" applyFont="1" applyFill="1" applyBorder="1" applyAlignment="1">
      <alignment horizontal="center" vertical="center" wrapText="1"/>
    </xf>
    <xf numFmtId="0" fontId="8" fillId="4" borderId="1" xfId="0" quotePrefix="1" applyFont="1" applyFill="1" applyBorder="1" applyAlignment="1" applyProtection="1">
      <alignment horizontal="center" vertical="center" wrapText="1"/>
    </xf>
    <xf numFmtId="0" fontId="0" fillId="15" borderId="10" xfId="0" applyFont="1" applyFill="1" applyBorder="1" applyAlignment="1">
      <alignment horizontal="center" vertical="center" wrapText="1"/>
    </xf>
    <xf numFmtId="0" fontId="0" fillId="15" borderId="67" xfId="0" applyFont="1" applyFill="1" applyBorder="1" applyAlignment="1">
      <alignment horizontal="center" vertical="center" wrapText="1"/>
    </xf>
    <xf numFmtId="2" fontId="6" fillId="12" borderId="36" xfId="0" applyNumberFormat="1" applyFont="1" applyFill="1" applyBorder="1" applyAlignment="1" applyProtection="1">
      <alignment horizontal="center" vertical="center" wrapText="1"/>
    </xf>
    <xf numFmtId="2" fontId="6" fillId="12" borderId="34" xfId="0" applyNumberFormat="1" applyFont="1" applyFill="1" applyBorder="1" applyAlignment="1" applyProtection="1">
      <alignment horizontal="center" vertical="center" wrapText="1"/>
    </xf>
    <xf numFmtId="2" fontId="6" fillId="12" borderId="41" xfId="0" applyNumberFormat="1" applyFont="1" applyFill="1" applyBorder="1" applyAlignment="1" applyProtection="1">
      <alignment horizontal="center" vertical="center" wrapText="1"/>
    </xf>
    <xf numFmtId="2" fontId="13" fillId="12" borderId="3" xfId="0" applyNumberFormat="1" applyFont="1" applyFill="1" applyBorder="1" applyAlignment="1" applyProtection="1">
      <alignment horizontal="center" vertical="center" wrapText="1"/>
    </xf>
    <xf numFmtId="0" fontId="12" fillId="4" borderId="81" xfId="0" applyNumberFormat="1" applyFont="1" applyFill="1" applyBorder="1" applyAlignment="1" applyProtection="1">
      <alignment horizontal="center" vertical="center" wrapText="1"/>
    </xf>
    <xf numFmtId="164" fontId="12" fillId="4" borderId="81" xfId="0" applyNumberFormat="1" applyFont="1" applyFill="1" applyBorder="1" applyAlignment="1" applyProtection="1">
      <alignment horizontal="center" vertical="center" wrapText="1"/>
    </xf>
    <xf numFmtId="170" fontId="8" fillId="3" borderId="81" xfId="0" applyNumberFormat="1" applyFont="1" applyFill="1" applyBorder="1" applyAlignment="1" applyProtection="1">
      <alignment horizontal="center" vertical="center" wrapText="1"/>
    </xf>
    <xf numFmtId="170" fontId="1" fillId="3" borderId="6" xfId="0" applyNumberFormat="1" applyFont="1" applyFill="1" applyBorder="1" applyAlignment="1" applyProtection="1">
      <alignment horizontal="center" vertical="center" wrapText="1"/>
    </xf>
    <xf numFmtId="0" fontId="6" fillId="11" borderId="81" xfId="0" applyFont="1" applyFill="1" applyBorder="1" applyAlignment="1" applyProtection="1">
      <alignment horizontal="center" vertical="center" wrapText="1"/>
    </xf>
    <xf numFmtId="0" fontId="0" fillId="14" borderId="0" xfId="0" applyFill="1" applyAlignment="1">
      <alignment wrapText="1"/>
    </xf>
    <xf numFmtId="0" fontId="6" fillId="11" borderId="81" xfId="0" applyFont="1" applyFill="1" applyBorder="1" applyAlignment="1" applyProtection="1">
      <alignment vertical="center" wrapText="1"/>
    </xf>
    <xf numFmtId="0" fontId="7" fillId="14" borderId="0" xfId="0" applyFont="1" applyFill="1" applyAlignment="1" applyProtection="1">
      <alignment vertical="center"/>
    </xf>
    <xf numFmtId="0" fontId="6" fillId="0" borderId="38" xfId="0" quotePrefix="1" applyFont="1" applyFill="1" applyBorder="1" applyAlignment="1">
      <alignment vertical="center" wrapText="1"/>
    </xf>
    <xf numFmtId="0" fontId="12" fillId="4" borderId="14" xfId="0" applyNumberFormat="1"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0" fontId="3" fillId="4" borderId="82" xfId="0" applyFont="1" applyFill="1" applyBorder="1" applyAlignment="1" applyProtection="1">
      <alignment horizontal="left" vertical="center" wrapText="1"/>
    </xf>
    <xf numFmtId="0" fontId="3" fillId="4" borderId="74" xfId="0" applyFont="1" applyFill="1" applyBorder="1" applyAlignment="1" applyProtection="1">
      <alignment horizontal="left" vertical="center" wrapText="1"/>
    </xf>
    <xf numFmtId="168" fontId="17" fillId="10" borderId="16" xfId="0" applyNumberFormat="1" applyFont="1" applyFill="1" applyBorder="1" applyAlignment="1" applyProtection="1">
      <alignment horizontal="center" vertical="center" wrapText="1"/>
    </xf>
    <xf numFmtId="0" fontId="3" fillId="4" borderId="11" xfId="0" applyFont="1" applyFill="1" applyBorder="1" applyAlignment="1" applyProtection="1">
      <alignment horizontal="center" vertical="center" wrapText="1"/>
    </xf>
    <xf numFmtId="1" fontId="6" fillId="13" borderId="15" xfId="0" applyNumberFormat="1" applyFont="1" applyFill="1" applyBorder="1" applyAlignment="1" applyProtection="1">
      <alignment horizontal="center" vertical="center" wrapText="1"/>
    </xf>
    <xf numFmtId="0" fontId="3" fillId="4" borderId="81" xfId="0" applyFont="1" applyFill="1" applyBorder="1" applyAlignment="1" applyProtection="1">
      <alignment horizontal="center" vertical="center" wrapText="1"/>
    </xf>
    <xf numFmtId="3" fontId="6" fillId="13" borderId="18" xfId="0" applyNumberFormat="1" applyFont="1" applyFill="1" applyBorder="1" applyAlignment="1" applyProtection="1">
      <alignment horizontal="center" vertical="center" wrapText="1"/>
    </xf>
    <xf numFmtId="3" fontId="6" fillId="13" borderId="19" xfId="0" applyNumberFormat="1" applyFont="1" applyFill="1" applyBorder="1" applyAlignment="1" applyProtection="1">
      <alignment horizontal="center" vertical="center" wrapText="1"/>
    </xf>
    <xf numFmtId="3" fontId="13" fillId="13" borderId="58" xfId="0" applyNumberFormat="1" applyFont="1" applyFill="1" applyBorder="1" applyAlignment="1" applyProtection="1">
      <alignment horizontal="center" vertical="center" wrapText="1"/>
    </xf>
    <xf numFmtId="3" fontId="13" fillId="13" borderId="47" xfId="0" applyNumberFormat="1" applyFont="1" applyFill="1" applyBorder="1" applyAlignment="1" applyProtection="1">
      <alignment horizontal="center" vertical="center" wrapText="1"/>
    </xf>
    <xf numFmtId="3" fontId="13" fillId="13" borderId="57" xfId="0" applyNumberFormat="1" applyFont="1" applyFill="1" applyBorder="1" applyAlignment="1" applyProtection="1">
      <alignment horizontal="center" vertical="center" wrapText="1"/>
    </xf>
    <xf numFmtId="0" fontId="3" fillId="4" borderId="24" xfId="0" applyFont="1" applyFill="1" applyBorder="1" applyAlignment="1" applyProtection="1">
      <alignment horizontal="center" vertical="center" wrapText="1"/>
    </xf>
    <xf numFmtId="3" fontId="13" fillId="13" borderId="48" xfId="0" applyNumberFormat="1" applyFont="1" applyFill="1" applyBorder="1" applyAlignment="1" applyProtection="1">
      <alignment horizontal="center" vertical="center" wrapText="1"/>
    </xf>
    <xf numFmtId="0" fontId="9" fillId="15" borderId="85" xfId="0" applyFont="1" applyFill="1" applyBorder="1" applyAlignment="1" applyProtection="1">
      <alignment horizontal="center" vertical="center" wrapText="1"/>
      <protection locked="0"/>
    </xf>
    <xf numFmtId="0" fontId="9" fillId="15" borderId="85" xfId="0" applyNumberFormat="1" applyFont="1" applyFill="1" applyBorder="1" applyAlignment="1" applyProtection="1">
      <alignment horizontal="center" vertical="center" wrapText="1"/>
      <protection locked="0"/>
    </xf>
    <xf numFmtId="0" fontId="6" fillId="15" borderId="86" xfId="0" applyFont="1" applyFill="1" applyBorder="1" applyAlignment="1" applyProtection="1">
      <alignment horizontal="center" vertical="center" wrapText="1"/>
      <protection locked="0"/>
    </xf>
    <xf numFmtId="0" fontId="6" fillId="15" borderId="87" xfId="0" applyFont="1" applyFill="1" applyBorder="1" applyAlignment="1" applyProtection="1">
      <alignment horizontal="center" vertical="center" wrapText="1"/>
      <protection locked="0"/>
    </xf>
    <xf numFmtId="0" fontId="6" fillId="15" borderId="88" xfId="0" applyFont="1" applyFill="1" applyBorder="1" applyAlignment="1" applyProtection="1">
      <alignment horizontal="center" vertical="center" wrapText="1"/>
      <protection locked="0"/>
    </xf>
    <xf numFmtId="0" fontId="6" fillId="15" borderId="89" xfId="0" applyFont="1" applyFill="1" applyBorder="1" applyAlignment="1" applyProtection="1">
      <alignment horizontal="center" vertical="center" wrapText="1"/>
      <protection locked="0"/>
    </xf>
    <xf numFmtId="0" fontId="6" fillId="15" borderId="90" xfId="0" applyFont="1" applyFill="1" applyBorder="1" applyAlignment="1" applyProtection="1">
      <alignment horizontal="center" vertical="center" wrapText="1"/>
      <protection locked="0"/>
    </xf>
    <xf numFmtId="0" fontId="6" fillId="15" borderId="91" xfId="0" applyFont="1" applyFill="1" applyBorder="1" applyAlignment="1" applyProtection="1">
      <alignment horizontal="center" vertical="center" wrapText="1"/>
      <protection locked="0"/>
    </xf>
    <xf numFmtId="0" fontId="6" fillId="15" borderId="92" xfId="0" applyFont="1" applyFill="1" applyBorder="1" applyAlignment="1" applyProtection="1">
      <alignment horizontal="center" vertical="center" wrapText="1"/>
      <protection locked="0"/>
    </xf>
    <xf numFmtId="0" fontId="6" fillId="15" borderId="93" xfId="0" applyFont="1" applyFill="1" applyBorder="1" applyAlignment="1" applyProtection="1">
      <alignment horizontal="center" vertical="center" wrapText="1"/>
      <protection locked="0"/>
    </xf>
    <xf numFmtId="0" fontId="0" fillId="15" borderId="85" xfId="0" applyFill="1" applyBorder="1" applyAlignment="1" applyProtection="1">
      <alignment horizontal="center" vertical="center" wrapText="1"/>
      <protection locked="0"/>
    </xf>
    <xf numFmtId="0" fontId="6" fillId="15" borderId="85" xfId="0" applyFont="1" applyFill="1" applyBorder="1" applyAlignment="1" applyProtection="1">
      <alignment horizontal="center" vertical="center" wrapText="1"/>
      <protection locked="0"/>
    </xf>
    <xf numFmtId="3" fontId="4" fillId="15" borderId="86" xfId="0" applyNumberFormat="1" applyFont="1" applyFill="1" applyBorder="1" applyAlignment="1" applyProtection="1">
      <alignment horizontal="center" vertical="center" wrapText="1"/>
      <protection locked="0"/>
    </xf>
    <xf numFmtId="3" fontId="4" fillId="15" borderId="92" xfId="0" applyNumberFormat="1" applyFont="1" applyFill="1" applyBorder="1" applyAlignment="1" applyProtection="1">
      <alignment horizontal="center" vertical="center" wrapText="1"/>
      <protection locked="0"/>
    </xf>
    <xf numFmtId="3" fontId="4" fillId="15" borderId="87" xfId="0" applyNumberFormat="1" applyFont="1" applyFill="1" applyBorder="1" applyAlignment="1" applyProtection="1">
      <alignment horizontal="center" vertical="center" wrapText="1"/>
      <protection locked="0"/>
    </xf>
    <xf numFmtId="3" fontId="4" fillId="15" borderId="88" xfId="0" applyNumberFormat="1" applyFont="1" applyFill="1" applyBorder="1" applyAlignment="1" applyProtection="1">
      <alignment horizontal="center" vertical="center" wrapText="1"/>
      <protection locked="0"/>
    </xf>
    <xf numFmtId="3" fontId="4" fillId="15" borderId="89" xfId="0" applyNumberFormat="1" applyFont="1" applyFill="1" applyBorder="1" applyAlignment="1" applyProtection="1">
      <alignment horizontal="center" vertical="center" wrapText="1"/>
      <protection locked="0"/>
    </xf>
    <xf numFmtId="3" fontId="4" fillId="15" borderId="90" xfId="0" applyNumberFormat="1" applyFont="1" applyFill="1" applyBorder="1" applyAlignment="1" applyProtection="1">
      <alignment horizontal="center" vertical="center" wrapText="1"/>
      <protection locked="0"/>
    </xf>
    <xf numFmtId="3" fontId="4" fillId="15" borderId="93" xfId="0" applyNumberFormat="1" applyFont="1" applyFill="1" applyBorder="1" applyAlignment="1" applyProtection="1">
      <alignment horizontal="center" vertical="center" wrapText="1"/>
      <protection locked="0"/>
    </xf>
    <xf numFmtId="3" fontId="4" fillId="15" borderId="91" xfId="0" applyNumberFormat="1" applyFont="1" applyFill="1" applyBorder="1" applyAlignment="1" applyProtection="1">
      <alignment horizontal="center" vertical="center" wrapText="1"/>
      <protection locked="0"/>
    </xf>
    <xf numFmtId="0" fontId="6" fillId="15" borderId="96" xfId="0" applyFont="1" applyFill="1" applyBorder="1" applyAlignment="1" applyProtection="1">
      <alignment horizontal="center" vertical="center" wrapText="1"/>
      <protection locked="0"/>
    </xf>
    <xf numFmtId="0" fontId="6" fillId="15" borderId="97" xfId="0" applyFont="1" applyFill="1" applyBorder="1" applyAlignment="1" applyProtection="1">
      <alignment horizontal="center" vertical="center" wrapText="1"/>
      <protection locked="0"/>
    </xf>
    <xf numFmtId="0" fontId="6" fillId="15" borderId="98" xfId="0" applyFont="1" applyFill="1" applyBorder="1" applyAlignment="1" applyProtection="1">
      <alignment horizontal="center" vertical="center" wrapText="1"/>
      <protection locked="0"/>
    </xf>
    <xf numFmtId="0" fontId="3" fillId="4" borderId="73" xfId="0" applyFont="1" applyFill="1" applyBorder="1" applyAlignment="1" applyProtection="1">
      <alignment horizontal="left" vertical="center" wrapText="1"/>
    </xf>
    <xf numFmtId="0" fontId="4" fillId="15" borderId="94" xfId="0" applyFont="1" applyFill="1" applyBorder="1" applyAlignment="1" applyProtection="1">
      <alignment horizontal="center" vertical="center" wrapText="1"/>
      <protection locked="0"/>
    </xf>
    <xf numFmtId="0" fontId="4" fillId="15" borderId="95" xfId="0" applyFont="1" applyFill="1" applyBorder="1" applyAlignment="1" applyProtection="1">
      <alignment horizontal="center" vertical="center" wrapText="1"/>
      <protection locked="0"/>
    </xf>
    <xf numFmtId="0" fontId="4" fillId="15" borderId="100" xfId="0" applyFont="1" applyFill="1" applyBorder="1" applyAlignment="1" applyProtection="1">
      <alignment horizontal="center" vertical="center" wrapText="1"/>
      <protection locked="0"/>
    </xf>
    <xf numFmtId="11" fontId="6" fillId="9" borderId="36" xfId="0" quotePrefix="1" applyNumberFormat="1" applyFont="1" applyFill="1" applyBorder="1" applyAlignment="1">
      <alignment horizontal="left" vertical="center" wrapText="1"/>
    </xf>
    <xf numFmtId="11" fontId="6" fillId="9" borderId="34" xfId="0" quotePrefix="1" applyNumberFormat="1" applyFont="1" applyFill="1" applyBorder="1" applyAlignment="1">
      <alignment horizontal="left" vertical="center" wrapText="1"/>
    </xf>
    <xf numFmtId="3" fontId="13" fillId="24" borderId="34" xfId="0" applyNumberFormat="1" applyFont="1" applyFill="1" applyBorder="1" applyAlignment="1" applyProtection="1">
      <alignment horizontal="center" vertical="center" wrapText="1"/>
    </xf>
    <xf numFmtId="3" fontId="13" fillId="24" borderId="39" xfId="0" applyNumberFormat="1" applyFont="1" applyFill="1" applyBorder="1" applyAlignment="1" applyProtection="1">
      <alignment horizontal="center" vertical="center" wrapText="1"/>
    </xf>
    <xf numFmtId="3" fontId="13" fillId="24" borderId="8" xfId="0" applyNumberFormat="1" applyFont="1" applyFill="1" applyBorder="1" applyAlignment="1" applyProtection="1">
      <alignment horizontal="center" vertical="center" wrapText="1"/>
    </xf>
    <xf numFmtId="3" fontId="6" fillId="24" borderId="54" xfId="0" applyNumberFormat="1" applyFont="1" applyFill="1" applyBorder="1" applyAlignment="1" applyProtection="1">
      <alignment horizontal="center" vertical="center" wrapText="1"/>
    </xf>
    <xf numFmtId="3" fontId="6" fillId="24" borderId="34" xfId="0" applyNumberFormat="1" applyFont="1" applyFill="1" applyBorder="1" applyAlignment="1" applyProtection="1">
      <alignment horizontal="center" vertical="center" wrapText="1"/>
    </xf>
    <xf numFmtId="3" fontId="6" fillId="24" borderId="44" xfId="0" applyNumberFormat="1" applyFont="1" applyFill="1" applyBorder="1" applyAlignment="1" applyProtection="1">
      <alignment horizontal="center" vertical="center" wrapText="1"/>
    </xf>
    <xf numFmtId="3" fontId="13" fillId="24" borderId="47" xfId="0" applyNumberFormat="1" applyFont="1" applyFill="1" applyBorder="1" applyAlignment="1" applyProtection="1">
      <alignment horizontal="center" vertical="center" wrapText="1"/>
    </xf>
    <xf numFmtId="10" fontId="6" fillId="24" borderId="33" xfId="0" applyNumberFormat="1" applyFont="1" applyFill="1" applyBorder="1" applyAlignment="1" applyProtection="1">
      <alignment horizontal="center" vertical="center" wrapText="1"/>
    </xf>
    <xf numFmtId="10" fontId="6" fillId="24" borderId="51" xfId="0" applyNumberFormat="1" applyFont="1" applyFill="1" applyBorder="1" applyAlignment="1" applyProtection="1">
      <alignment horizontal="center" vertical="center" wrapText="1"/>
    </xf>
    <xf numFmtId="3" fontId="6" fillId="24" borderId="34" xfId="0" quotePrefix="1" applyNumberFormat="1" applyFont="1" applyFill="1" applyBorder="1" applyAlignment="1" applyProtection="1">
      <alignment horizontal="center" vertical="center" wrapText="1"/>
    </xf>
    <xf numFmtId="3" fontId="6" fillId="24" borderId="34" xfId="0" applyNumberFormat="1" applyFont="1" applyFill="1" applyBorder="1" applyAlignment="1">
      <alignment horizontal="center" vertical="center" wrapText="1"/>
    </xf>
    <xf numFmtId="169" fontId="17" fillId="24" borderId="6" xfId="0" applyNumberFormat="1" applyFont="1" applyFill="1" applyBorder="1" applyAlignment="1" applyProtection="1">
      <alignment horizontal="center" vertical="center" wrapText="1"/>
    </xf>
    <xf numFmtId="3" fontId="6" fillId="24" borderId="36" xfId="0" applyNumberFormat="1" applyFont="1" applyFill="1" applyBorder="1" applyAlignment="1" applyProtection="1">
      <alignment horizontal="center" vertical="center" wrapText="1"/>
    </xf>
    <xf numFmtId="3" fontId="6" fillId="24" borderId="41" xfId="0" applyNumberFormat="1" applyFont="1" applyFill="1" applyBorder="1" applyAlignment="1" applyProtection="1">
      <alignment horizontal="center" vertical="center" wrapText="1"/>
    </xf>
    <xf numFmtId="3" fontId="13" fillId="25" borderId="3" xfId="0" applyNumberFormat="1" applyFont="1" applyFill="1" applyBorder="1" applyAlignment="1" applyProtection="1">
      <alignment horizontal="center" vertical="center" wrapText="1"/>
    </xf>
    <xf numFmtId="3" fontId="13" fillId="24" borderId="3" xfId="0" applyNumberFormat="1" applyFont="1" applyFill="1" applyBorder="1" applyAlignment="1" applyProtection="1">
      <alignment horizontal="center" vertical="center" wrapText="1"/>
    </xf>
    <xf numFmtId="3" fontId="6" fillId="24" borderId="35" xfId="0" applyNumberFormat="1" applyFont="1" applyFill="1" applyBorder="1" applyAlignment="1">
      <alignment horizontal="center" vertical="center" wrapText="1"/>
    </xf>
    <xf numFmtId="3" fontId="6" fillId="24" borderId="38" xfId="0" applyNumberFormat="1" applyFont="1" applyFill="1" applyBorder="1" applyAlignment="1">
      <alignment horizontal="center" vertical="center" wrapText="1"/>
    </xf>
    <xf numFmtId="3" fontId="4" fillId="24" borderId="38" xfId="0" applyNumberFormat="1" applyFont="1" applyFill="1" applyBorder="1" applyAlignment="1">
      <alignment horizontal="center" vertical="center" wrapText="1"/>
    </xf>
    <xf numFmtId="3" fontId="4" fillId="24" borderId="40" xfId="0" applyNumberFormat="1" applyFont="1" applyFill="1" applyBorder="1" applyAlignment="1">
      <alignment horizontal="center" vertical="center" wrapText="1"/>
    </xf>
    <xf numFmtId="3" fontId="6" fillId="24" borderId="40" xfId="0" applyNumberFormat="1" applyFont="1" applyFill="1" applyBorder="1" applyAlignment="1">
      <alignment horizontal="center" vertical="center" wrapText="1"/>
    </xf>
    <xf numFmtId="3" fontId="6" fillId="24" borderId="50" xfId="0" applyNumberFormat="1" applyFont="1" applyFill="1" applyBorder="1" applyAlignment="1">
      <alignment horizontal="center" vertical="center" wrapText="1"/>
    </xf>
    <xf numFmtId="3" fontId="4" fillId="24" borderId="45" xfId="0" applyNumberFormat="1" applyFont="1" applyFill="1" applyBorder="1" applyAlignment="1">
      <alignment horizontal="center" vertical="center" wrapText="1"/>
    </xf>
    <xf numFmtId="3" fontId="6" fillId="24" borderId="41" xfId="0" applyNumberFormat="1" applyFont="1" applyFill="1" applyBorder="1" applyAlignment="1">
      <alignment horizontal="center" vertical="center" wrapText="1"/>
    </xf>
    <xf numFmtId="3" fontId="11" fillId="24" borderId="38" xfId="0" applyNumberFormat="1" applyFont="1" applyFill="1" applyBorder="1" applyAlignment="1">
      <alignment horizontal="center" vertical="center" wrapText="1"/>
    </xf>
    <xf numFmtId="3" fontId="11" fillId="24" borderId="40" xfId="0" applyNumberFormat="1" applyFont="1" applyFill="1" applyBorder="1" applyAlignment="1">
      <alignment horizontal="center" vertical="center" wrapText="1"/>
    </xf>
    <xf numFmtId="3" fontId="6" fillId="24" borderId="36" xfId="0" applyNumberFormat="1" applyFont="1" applyFill="1" applyBorder="1" applyAlignment="1">
      <alignment horizontal="center" vertical="center" wrapText="1"/>
    </xf>
    <xf numFmtId="0" fontId="6" fillId="14" borderId="0" xfId="0" applyFont="1" applyFill="1" applyAlignment="1">
      <alignment horizontal="center" vertical="center" wrapText="1"/>
    </xf>
    <xf numFmtId="0" fontId="6" fillId="13" borderId="43" xfId="0" applyFont="1" applyFill="1" applyBorder="1" applyAlignment="1" applyProtection="1">
      <alignment horizontal="center" vertical="center" wrapText="1"/>
    </xf>
    <xf numFmtId="0" fontId="6" fillId="13" borderId="70" xfId="0" applyFont="1" applyFill="1" applyBorder="1" applyAlignment="1" applyProtection="1">
      <alignment horizontal="center" vertical="center" wrapText="1"/>
    </xf>
    <xf numFmtId="0" fontId="13" fillId="13" borderId="3" xfId="0" applyFont="1" applyFill="1" applyBorder="1" applyAlignment="1" applyProtection="1">
      <alignment horizontal="center" vertical="center" wrapText="1"/>
    </xf>
    <xf numFmtId="0" fontId="13" fillId="13" borderId="4" xfId="0" applyFont="1" applyFill="1" applyBorder="1" applyAlignment="1" applyProtection="1">
      <alignment horizontal="center" vertical="center" wrapText="1"/>
    </xf>
    <xf numFmtId="0" fontId="7" fillId="4" borderId="15" xfId="0" applyFont="1" applyFill="1" applyBorder="1" applyAlignment="1">
      <alignment horizontal="center" vertical="center" wrapText="1"/>
    </xf>
    <xf numFmtId="0" fontId="7" fillId="14" borderId="0" xfId="0" applyFont="1" applyFill="1" applyAlignment="1">
      <alignment horizontal="center" vertical="center" wrapText="1"/>
    </xf>
    <xf numFmtId="177" fontId="6" fillId="12" borderId="82" xfId="0" applyNumberFormat="1" applyFont="1" applyFill="1" applyBorder="1" applyAlignment="1">
      <alignment horizontal="center" vertical="center" wrapText="1"/>
    </xf>
    <xf numFmtId="177" fontId="6" fillId="12" borderId="27" xfId="0" applyNumberFormat="1" applyFont="1" applyFill="1" applyBorder="1" applyAlignment="1">
      <alignment horizontal="center" vertical="center" wrapText="1"/>
    </xf>
    <xf numFmtId="165" fontId="6" fillId="13" borderId="34" xfId="0" applyNumberFormat="1"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18" xfId="0" applyFont="1" applyFill="1" applyBorder="1" applyAlignment="1">
      <alignment horizontal="center" vertical="center" wrapText="1"/>
    </xf>
    <xf numFmtId="3" fontId="3" fillId="4" borderId="51" xfId="0" applyNumberFormat="1" applyFont="1" applyFill="1" applyBorder="1" applyAlignment="1">
      <alignment horizontal="center" vertical="center" wrapText="1"/>
    </xf>
    <xf numFmtId="0" fontId="3" fillId="4" borderId="19" xfId="0" applyFont="1" applyFill="1" applyBorder="1" applyAlignment="1">
      <alignment horizontal="center" vertical="center" wrapText="1"/>
    </xf>
    <xf numFmtId="0" fontId="0" fillId="14" borderId="0" xfId="0" applyFill="1" applyAlignment="1">
      <alignment horizontal="center" vertical="center" wrapText="1"/>
    </xf>
    <xf numFmtId="0" fontId="0" fillId="30" borderId="109" xfId="0" applyFont="1" applyFill="1" applyBorder="1" applyAlignment="1">
      <alignment horizontal="left" wrapText="1"/>
    </xf>
    <xf numFmtId="0" fontId="0" fillId="28" borderId="110" xfId="0" applyFont="1" applyFill="1" applyBorder="1" applyAlignment="1">
      <alignment horizontal="center" wrapText="1"/>
    </xf>
    <xf numFmtId="0" fontId="33" fillId="14" borderId="0" xfId="0" applyFont="1" applyFill="1" applyAlignment="1">
      <alignment horizontal="center" vertical="center" wrapText="1"/>
    </xf>
    <xf numFmtId="3" fontId="3" fillId="4" borderId="53" xfId="0" applyNumberFormat="1" applyFont="1" applyFill="1" applyBorder="1" applyAlignment="1">
      <alignment horizontal="center" vertical="center" wrapText="1"/>
    </xf>
    <xf numFmtId="165" fontId="6" fillId="13" borderId="36" xfId="0" applyNumberFormat="1" applyFont="1" applyFill="1" applyBorder="1" applyAlignment="1">
      <alignment horizontal="center" vertical="center" wrapText="1"/>
    </xf>
    <xf numFmtId="3" fontId="3" fillId="4" borderId="69" xfId="0" applyNumberFormat="1" applyFont="1" applyFill="1" applyBorder="1" applyAlignment="1">
      <alignment horizontal="center" vertical="center" wrapText="1"/>
    </xf>
    <xf numFmtId="165" fontId="6" fillId="13" borderId="41"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7" fillId="3" borderId="34" xfId="0" applyNumberFormat="1" applyFont="1" applyFill="1" applyBorder="1" applyAlignment="1">
      <alignment horizontal="center" vertical="center" wrapText="1"/>
    </xf>
    <xf numFmtId="3" fontId="7" fillId="3" borderId="44" xfId="0" applyNumberFormat="1" applyFont="1" applyFill="1" applyBorder="1" applyAlignment="1">
      <alignment horizontal="center" vertical="center" wrapText="1"/>
    </xf>
    <xf numFmtId="0" fontId="3" fillId="4" borderId="23" xfId="0" applyFont="1" applyFill="1" applyBorder="1" applyAlignment="1">
      <alignment horizontal="center" vertical="center" wrapText="1"/>
    </xf>
    <xf numFmtId="3" fontId="4" fillId="12" borderId="37" xfId="0" applyNumberFormat="1" applyFont="1" applyFill="1" applyBorder="1" applyAlignment="1">
      <alignment horizontal="center" vertical="center" wrapText="1"/>
    </xf>
    <xf numFmtId="3" fontId="4" fillId="12" borderId="39" xfId="0" applyNumberFormat="1" applyFont="1" applyFill="1" applyBorder="1" applyAlignment="1">
      <alignment horizontal="center" vertical="center" wrapText="1"/>
    </xf>
    <xf numFmtId="3" fontId="4" fillId="12" borderId="42" xfId="0" applyNumberFormat="1" applyFont="1" applyFill="1" applyBorder="1" applyAlignment="1">
      <alignment horizontal="center" vertical="center" wrapText="1"/>
    </xf>
    <xf numFmtId="3" fontId="4" fillId="12" borderId="89" xfId="0" applyNumberFormat="1" applyFont="1" applyFill="1" applyBorder="1" applyAlignment="1">
      <alignment horizontal="center" vertical="center" wrapText="1"/>
    </xf>
    <xf numFmtId="3" fontId="3" fillId="4" borderId="33" xfId="0" applyNumberFormat="1" applyFont="1" applyFill="1" applyBorder="1" applyAlignment="1">
      <alignment horizontal="center" vertical="center" wrapText="1"/>
    </xf>
    <xf numFmtId="165" fontId="6" fillId="13" borderId="44" xfId="0" applyNumberFormat="1" applyFont="1" applyFill="1" applyBorder="1" applyAlignment="1">
      <alignment horizontal="center" vertical="center" wrapText="1"/>
    </xf>
    <xf numFmtId="3" fontId="4" fillId="12" borderId="112" xfId="0" applyNumberFormat="1" applyFont="1" applyFill="1" applyBorder="1" applyAlignment="1">
      <alignment horizontal="center" vertical="center" wrapText="1"/>
    </xf>
    <xf numFmtId="3" fontId="4" fillId="12" borderId="55" xfId="0" applyNumberFormat="1" applyFont="1" applyFill="1" applyBorder="1" applyAlignment="1">
      <alignment horizontal="center" vertical="center" wrapText="1"/>
    </xf>
    <xf numFmtId="177" fontId="6" fillId="15" borderId="111" xfId="0" applyNumberFormat="1" applyFont="1" applyFill="1" applyBorder="1" applyAlignment="1" applyProtection="1">
      <alignment horizontal="center" vertical="center" wrapText="1"/>
      <protection locked="0"/>
    </xf>
    <xf numFmtId="0" fontId="6" fillId="15" borderId="36" xfId="0" applyFont="1" applyFill="1" applyBorder="1" applyAlignment="1" applyProtection="1">
      <alignment horizontal="center" vertical="center" wrapText="1"/>
      <protection locked="0"/>
    </xf>
    <xf numFmtId="9" fontId="6" fillId="15" borderId="112" xfId="0" applyNumberFormat="1" applyFont="1" applyFill="1" applyBorder="1" applyAlignment="1" applyProtection="1">
      <alignment horizontal="center" vertical="center" wrapText="1"/>
      <protection locked="0"/>
    </xf>
    <xf numFmtId="177" fontId="6" fillId="15" borderId="88" xfId="0" applyNumberFormat="1" applyFont="1" applyFill="1" applyBorder="1" applyAlignment="1" applyProtection="1">
      <alignment horizontal="center" vertical="center" wrapText="1"/>
      <protection locked="0"/>
    </xf>
    <xf numFmtId="9" fontId="6" fillId="15" borderId="89" xfId="0" applyNumberFormat="1" applyFont="1" applyFill="1" applyBorder="1" applyAlignment="1" applyProtection="1">
      <alignment horizontal="center" vertical="center" wrapText="1"/>
      <protection locked="0"/>
    </xf>
    <xf numFmtId="0" fontId="6" fillId="15" borderId="41" xfId="0" applyFont="1" applyFill="1" applyBorder="1" applyAlignment="1" applyProtection="1">
      <alignment horizontal="center" vertical="center" wrapText="1"/>
      <protection locked="0"/>
    </xf>
    <xf numFmtId="9" fontId="6" fillId="15" borderId="114" xfId="0" applyNumberFormat="1" applyFont="1" applyFill="1" applyBorder="1" applyAlignment="1" applyProtection="1">
      <alignment horizontal="center" vertical="center" wrapText="1"/>
      <protection locked="0"/>
    </xf>
    <xf numFmtId="178" fontId="0" fillId="15" borderId="81" xfId="0" applyNumberFormat="1" applyFont="1" applyFill="1" applyBorder="1" applyAlignment="1">
      <alignment horizontal="center" vertical="center" wrapText="1"/>
    </xf>
    <xf numFmtId="178" fontId="0" fillId="15" borderId="66" xfId="0" applyNumberFormat="1" applyFont="1" applyFill="1" applyBorder="1" applyAlignment="1">
      <alignment horizontal="center" vertical="center" wrapText="1"/>
    </xf>
    <xf numFmtId="178" fontId="0" fillId="15" borderId="9" xfId="0" applyNumberFormat="1" applyFont="1" applyFill="1" applyBorder="1" applyAlignment="1">
      <alignment horizontal="center" vertical="center" wrapText="1"/>
    </xf>
    <xf numFmtId="0" fontId="6" fillId="13" borderId="32" xfId="0" applyFont="1" applyFill="1" applyBorder="1" applyAlignment="1">
      <alignment horizontal="center" vertical="center" wrapText="1"/>
    </xf>
    <xf numFmtId="0" fontId="6" fillId="13" borderId="51" xfId="0" applyFont="1" applyFill="1" applyBorder="1" applyAlignment="1">
      <alignment horizontal="center" vertical="center" wrapText="1"/>
    </xf>
    <xf numFmtId="0" fontId="6" fillId="13" borderId="33" xfId="0" applyFont="1" applyFill="1" applyBorder="1" applyAlignment="1">
      <alignment horizontal="center" vertical="center" wrapText="1"/>
    </xf>
    <xf numFmtId="177" fontId="6" fillId="15" borderId="36" xfId="0" applyNumberFormat="1" applyFont="1" applyFill="1" applyBorder="1" applyAlignment="1" applyProtection="1">
      <alignment horizontal="center" vertical="center" wrapText="1"/>
      <protection locked="0"/>
    </xf>
    <xf numFmtId="177" fontId="6" fillId="15" borderId="34" xfId="0" applyNumberFormat="1" applyFont="1" applyFill="1" applyBorder="1" applyAlignment="1" applyProtection="1">
      <alignment horizontal="center" vertical="center" wrapText="1"/>
      <protection locked="0"/>
    </xf>
    <xf numFmtId="177" fontId="6" fillId="15" borderId="113" xfId="0" applyNumberFormat="1" applyFont="1" applyFill="1" applyBorder="1" applyAlignment="1" applyProtection="1">
      <alignment horizontal="center" vertical="center" wrapText="1"/>
      <protection locked="0"/>
    </xf>
    <xf numFmtId="177" fontId="6" fillId="15" borderId="41" xfId="0" applyNumberFormat="1" applyFont="1" applyFill="1" applyBorder="1" applyAlignment="1" applyProtection="1">
      <alignment horizontal="center" vertical="center" wrapText="1"/>
      <protection locked="0"/>
    </xf>
    <xf numFmtId="0" fontId="0" fillId="14" borderId="0" xfId="0" applyFill="1" applyBorder="1" applyAlignment="1">
      <alignment horizontal="center" vertical="center" wrapText="1"/>
    </xf>
    <xf numFmtId="0" fontId="0" fillId="14" borderId="13" xfId="0" applyFill="1" applyBorder="1" applyAlignment="1">
      <alignment horizontal="center" vertical="center" wrapText="1"/>
    </xf>
    <xf numFmtId="0" fontId="0" fillId="27" borderId="115" xfId="0" applyFont="1" applyFill="1" applyBorder="1" applyAlignment="1">
      <alignment horizontal="center" wrapText="1"/>
    </xf>
    <xf numFmtId="0" fontId="0" fillId="26" borderId="116" xfId="0" applyFont="1" applyFill="1" applyBorder="1" applyAlignment="1">
      <alignment horizontal="left" wrapText="1"/>
    </xf>
    <xf numFmtId="0" fontId="0" fillId="29" borderId="117" xfId="0" applyFont="1" applyFill="1" applyBorder="1" applyAlignment="1">
      <alignment horizontal="left" wrapText="1"/>
    </xf>
    <xf numFmtId="0" fontId="0" fillId="17" borderId="15" xfId="0" applyFill="1" applyBorder="1" applyAlignment="1">
      <alignment horizontal="center" vertical="center" wrapText="1"/>
    </xf>
    <xf numFmtId="0" fontId="4" fillId="31" borderId="14" xfId="2" applyFont="1" applyFill="1" applyBorder="1" applyAlignment="1">
      <alignment horizontal="center" vertical="center" wrapText="1"/>
    </xf>
    <xf numFmtId="11" fontId="4" fillId="9" borderId="34" xfId="0" quotePrefix="1" applyNumberFormat="1" applyFont="1" applyFill="1" applyBorder="1" applyAlignment="1">
      <alignment horizontal="left" vertical="center" wrapText="1"/>
    </xf>
    <xf numFmtId="0" fontId="3" fillId="4" borderId="4" xfId="0"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3" fillId="4" borderId="3" xfId="0"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74"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73" xfId="0" applyFont="1" applyFill="1" applyBorder="1" applyAlignment="1">
      <alignment horizontal="center" vertical="center" wrapText="1"/>
    </xf>
    <xf numFmtId="0" fontId="4" fillId="6" borderId="51" xfId="0" applyFont="1" applyFill="1" applyBorder="1" applyAlignment="1">
      <alignment horizontal="center" vertical="center" wrapText="1"/>
    </xf>
    <xf numFmtId="0" fontId="4" fillId="5" borderId="51" xfId="0" applyFont="1" applyFill="1" applyBorder="1" applyAlignment="1">
      <alignment horizontal="center" vertical="center" wrapText="1"/>
    </xf>
    <xf numFmtId="0" fontId="4" fillId="6" borderId="33" xfId="0" applyFont="1" applyFill="1" applyBorder="1" applyAlignment="1">
      <alignment horizontal="center" vertical="center" wrapText="1"/>
    </xf>
    <xf numFmtId="0" fontId="3" fillId="4" borderId="103" xfId="0" applyFont="1" applyFill="1" applyBorder="1" applyAlignment="1">
      <alignment horizontal="center" vertical="center" wrapText="1"/>
    </xf>
    <xf numFmtId="2" fontId="6" fillId="12" borderId="21" xfId="0" applyNumberFormat="1" applyFont="1" applyFill="1" applyBorder="1" applyAlignment="1">
      <alignment horizontal="center" vertical="center" wrapText="1"/>
    </xf>
    <xf numFmtId="0" fontId="3" fillId="4" borderId="84" xfId="0" applyFont="1" applyFill="1" applyBorder="1" applyAlignment="1">
      <alignment horizontal="center" vertical="center" wrapText="1"/>
    </xf>
    <xf numFmtId="0" fontId="7" fillId="4" borderId="80"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4" fillId="20" borderId="50" xfId="0" applyFont="1" applyFill="1" applyBorder="1" applyAlignment="1">
      <alignment horizontal="center" vertical="center" wrapText="1"/>
    </xf>
    <xf numFmtId="0" fontId="4" fillId="20" borderId="45" xfId="0" applyFont="1" applyFill="1" applyBorder="1" applyAlignment="1">
      <alignment horizontal="center" vertical="center" wrapText="1"/>
    </xf>
    <xf numFmtId="0" fontId="3" fillId="4" borderId="28" xfId="0" quotePrefix="1" applyFont="1" applyFill="1" applyBorder="1" applyAlignment="1" applyProtection="1">
      <alignment horizontal="center" vertical="center" wrapText="1"/>
    </xf>
    <xf numFmtId="0" fontId="3" fillId="4" borderId="18" xfId="0" quotePrefix="1" applyFont="1" applyFill="1" applyBorder="1" applyAlignment="1" applyProtection="1">
      <alignment horizontal="center" vertical="center" wrapText="1"/>
    </xf>
    <xf numFmtId="165" fontId="6" fillId="9" borderId="54" xfId="0" applyNumberFormat="1" applyFont="1" applyFill="1" applyBorder="1" applyAlignment="1" applyProtection="1">
      <alignment horizontal="center" vertical="center" wrapText="1"/>
    </xf>
    <xf numFmtId="167" fontId="6" fillId="12" borderId="54" xfId="0" applyNumberFormat="1" applyFont="1" applyFill="1" applyBorder="1" applyAlignment="1" applyProtection="1">
      <alignment horizontal="center" vertical="center" wrapText="1"/>
    </xf>
    <xf numFmtId="167" fontId="6" fillId="12" borderId="20" xfId="0" applyNumberFormat="1" applyFont="1" applyFill="1" applyBorder="1" applyAlignment="1" applyProtection="1">
      <alignment horizontal="center" vertical="center" wrapText="1"/>
    </xf>
    <xf numFmtId="0" fontId="7" fillId="11" borderId="5" xfId="0" applyFont="1" applyFill="1" applyBorder="1" applyAlignment="1" applyProtection="1">
      <alignment horizontal="center" vertical="center" wrapText="1"/>
    </xf>
    <xf numFmtId="0" fontId="6" fillId="13" borderId="32" xfId="0" applyFont="1" applyFill="1" applyBorder="1" applyAlignment="1" applyProtection="1">
      <alignment horizontal="center" vertical="center" wrapText="1"/>
    </xf>
    <xf numFmtId="0" fontId="6" fillId="13" borderId="54" xfId="0" applyFont="1" applyFill="1" applyBorder="1" applyAlignment="1" applyProtection="1">
      <alignment horizontal="center" vertical="center" wrapText="1"/>
    </xf>
    <xf numFmtId="0" fontId="6" fillId="13" borderId="20" xfId="0" applyFont="1" applyFill="1" applyBorder="1" applyAlignment="1" applyProtection="1">
      <alignment horizontal="center" vertical="center" wrapText="1"/>
    </xf>
    <xf numFmtId="0" fontId="25" fillId="4" borderId="2" xfId="0" applyFont="1" applyFill="1" applyBorder="1" applyAlignment="1">
      <alignment horizontal="center" vertical="center" wrapText="1"/>
    </xf>
    <xf numFmtId="0" fontId="25" fillId="4" borderId="23" xfId="0" applyFont="1" applyFill="1" applyBorder="1" applyAlignment="1">
      <alignment horizontal="center" vertical="center" wrapText="1"/>
    </xf>
    <xf numFmtId="11" fontId="25" fillId="4" borderId="4" xfId="0" applyNumberFormat="1" applyFont="1" applyFill="1" applyBorder="1" applyAlignment="1">
      <alignment horizontal="center" vertical="center" wrapText="1"/>
    </xf>
    <xf numFmtId="11" fontId="25" fillId="4" borderId="5" xfId="0" applyNumberFormat="1" applyFont="1" applyFill="1" applyBorder="1" applyAlignment="1">
      <alignment horizontal="center" vertical="center" wrapText="1"/>
    </xf>
    <xf numFmtId="11" fontId="25" fillId="4" borderId="3" xfId="0" applyNumberFormat="1" applyFont="1" applyFill="1" applyBorder="1" applyAlignment="1">
      <alignment horizontal="center" vertical="center" wrapText="1"/>
    </xf>
    <xf numFmtId="0" fontId="25" fillId="4" borderId="4" xfId="0" applyFont="1" applyFill="1" applyBorder="1" applyAlignment="1">
      <alignment horizontal="center" vertical="center" wrapText="1"/>
    </xf>
    <xf numFmtId="0" fontId="3" fillId="4" borderId="51" xfId="0" applyFont="1" applyFill="1" applyBorder="1" applyAlignment="1">
      <alignment horizontal="center" vertical="center" wrapText="1"/>
    </xf>
    <xf numFmtId="14" fontId="3" fillId="4" borderId="34" xfId="0" applyNumberFormat="1" applyFont="1" applyFill="1" applyBorder="1" applyAlignment="1">
      <alignment horizontal="center" vertical="center" wrapText="1"/>
    </xf>
    <xf numFmtId="11" fontId="3" fillId="4" borderId="34" xfId="0" applyNumberFormat="1" applyFont="1" applyFill="1" applyBorder="1" applyAlignment="1">
      <alignment horizontal="center" vertical="center" wrapText="1"/>
    </xf>
    <xf numFmtId="0" fontId="6" fillId="18" borderId="43" xfId="0" applyFont="1" applyFill="1" applyBorder="1" applyAlignment="1">
      <alignment horizontal="center" vertical="center" wrapText="1"/>
    </xf>
    <xf numFmtId="0" fontId="3" fillId="4" borderId="53" xfId="0" applyFont="1" applyFill="1" applyBorder="1" applyAlignment="1">
      <alignment horizontal="center" vertical="center" wrapText="1"/>
    </xf>
    <xf numFmtId="14" fontId="3" fillId="4" borderId="36" xfId="0" applyNumberFormat="1" applyFont="1" applyFill="1" applyBorder="1" applyAlignment="1">
      <alignment horizontal="center" vertical="center" wrapText="1"/>
    </xf>
    <xf numFmtId="11" fontId="3" fillId="4" borderId="36" xfId="0" applyNumberFormat="1" applyFont="1" applyFill="1" applyBorder="1" applyAlignment="1">
      <alignment horizontal="center" vertical="center" wrapText="1"/>
    </xf>
    <xf numFmtId="0" fontId="3" fillId="4" borderId="33" xfId="0" applyFont="1" applyFill="1" applyBorder="1" applyAlignment="1">
      <alignment horizontal="center" vertical="center" wrapText="1"/>
    </xf>
    <xf numFmtId="14" fontId="3" fillId="4" borderId="44" xfId="0" applyNumberFormat="1" applyFont="1" applyFill="1" applyBorder="1" applyAlignment="1">
      <alignment horizontal="center" vertical="center" wrapText="1"/>
    </xf>
    <xf numFmtId="11" fontId="3" fillId="4" borderId="44" xfId="0" applyNumberFormat="1" applyFont="1" applyFill="1" applyBorder="1" applyAlignment="1">
      <alignment horizontal="center" vertical="center" wrapText="1"/>
    </xf>
    <xf numFmtId="11" fontId="6" fillId="9" borderId="44" xfId="0" quotePrefix="1" applyNumberFormat="1" applyFont="1" applyFill="1" applyBorder="1" applyAlignment="1">
      <alignment horizontal="left" vertical="center" wrapText="1"/>
    </xf>
    <xf numFmtId="11" fontId="6" fillId="14" borderId="0" xfId="0" applyNumberFormat="1" applyFont="1" applyFill="1" applyAlignment="1">
      <alignment horizontal="center" vertical="center" wrapText="1"/>
    </xf>
    <xf numFmtId="0" fontId="12" fillId="4" borderId="14" xfId="0" applyNumberFormat="1" applyFont="1" applyFill="1" applyBorder="1" applyAlignment="1" applyProtection="1">
      <alignment horizontal="center" vertical="center" wrapText="1"/>
    </xf>
    <xf numFmtId="0" fontId="3" fillId="4" borderId="17" xfId="0" applyFont="1" applyFill="1" applyBorder="1" applyAlignment="1" applyProtection="1">
      <alignment horizontal="center" vertical="center" wrapText="1"/>
    </xf>
    <xf numFmtId="0" fontId="3" fillId="4" borderId="31" xfId="0" applyFont="1" applyFill="1" applyBorder="1" applyAlignment="1" applyProtection="1">
      <alignment horizontal="center" vertical="center" wrapText="1"/>
    </xf>
    <xf numFmtId="0" fontId="3" fillId="4" borderId="22" xfId="0" applyFont="1" applyFill="1" applyBorder="1" applyAlignment="1" applyProtection="1">
      <alignment horizontal="center" vertical="center" wrapText="1"/>
    </xf>
    <xf numFmtId="0" fontId="6" fillId="11" borderId="62" xfId="0" applyFont="1" applyFill="1" applyBorder="1" applyAlignment="1" applyProtection="1">
      <alignment horizontal="center" vertical="center" wrapText="1"/>
    </xf>
    <xf numFmtId="0" fontId="6" fillId="11" borderId="27" xfId="0" applyFont="1" applyFill="1" applyBorder="1" applyAlignment="1" applyProtection="1">
      <alignment horizontal="center" vertical="center" wrapText="1"/>
    </xf>
    <xf numFmtId="0" fontId="6" fillId="11" borderId="65" xfId="0" applyFont="1" applyFill="1" applyBorder="1" applyAlignment="1" applyProtection="1">
      <alignment horizontal="center" vertical="center" wrapText="1"/>
    </xf>
    <xf numFmtId="3" fontId="6" fillId="24" borderId="34" xfId="0" applyNumberFormat="1" applyFont="1" applyFill="1" applyBorder="1" applyAlignment="1">
      <alignment horizontal="center" vertical="center" wrapText="1"/>
    </xf>
    <xf numFmtId="177" fontId="6" fillId="15" borderId="118" xfId="0" applyNumberFormat="1" applyFont="1" applyFill="1" applyBorder="1" applyAlignment="1" applyProtection="1">
      <alignment horizontal="center" vertical="center" wrapText="1"/>
      <protection locked="0"/>
    </xf>
    <xf numFmtId="177" fontId="6" fillId="15" borderId="54" xfId="0" applyNumberFormat="1" applyFont="1" applyFill="1" applyBorder="1" applyAlignment="1" applyProtection="1">
      <alignment horizontal="center" vertical="center" wrapText="1"/>
      <protection locked="0"/>
    </xf>
    <xf numFmtId="0" fontId="6" fillId="15" borderId="54" xfId="0" applyFont="1" applyFill="1" applyBorder="1" applyAlignment="1" applyProtection="1">
      <alignment horizontal="center" vertical="center" wrapText="1"/>
      <protection locked="0"/>
    </xf>
    <xf numFmtId="9" fontId="6" fillId="15" borderId="119" xfId="0" applyNumberFormat="1" applyFont="1" applyFill="1" applyBorder="1" applyAlignment="1" applyProtection="1">
      <alignment horizontal="center" vertical="center" wrapText="1"/>
      <protection locked="0"/>
    </xf>
    <xf numFmtId="3" fontId="3" fillId="4" borderId="41" xfId="0" applyNumberFormat="1" applyFont="1" applyFill="1" applyBorder="1" applyAlignment="1">
      <alignment horizontal="center" vertical="center" wrapText="1"/>
    </xf>
    <xf numFmtId="3" fontId="13" fillId="13" borderId="26" xfId="0" applyNumberFormat="1" applyFont="1" applyFill="1" applyBorder="1" applyAlignment="1" applyProtection="1">
      <alignment horizontal="center" vertical="center" wrapText="1"/>
    </xf>
    <xf numFmtId="3" fontId="13" fillId="13" borderId="49" xfId="0" applyNumberFormat="1" applyFont="1" applyFill="1" applyBorder="1" applyAlignment="1" applyProtection="1">
      <alignment horizontal="center" vertical="center" wrapText="1"/>
    </xf>
    <xf numFmtId="3" fontId="6" fillId="10" borderId="69" xfId="0" applyNumberFormat="1" applyFont="1" applyFill="1" applyBorder="1" applyAlignment="1">
      <alignment horizontal="center" vertical="center" wrapText="1"/>
    </xf>
    <xf numFmtId="2" fontId="6" fillId="12" borderId="70" xfId="0" applyNumberFormat="1" applyFont="1" applyFill="1" applyBorder="1" applyAlignment="1">
      <alignment horizontal="center" vertical="center" wrapText="1"/>
    </xf>
    <xf numFmtId="3" fontId="7" fillId="3" borderId="40"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0" fontId="3" fillId="4" borderId="17" xfId="0" applyFont="1" applyFill="1" applyBorder="1" applyAlignment="1" applyProtection="1">
      <alignment horizontal="center" vertical="center" wrapText="1"/>
    </xf>
    <xf numFmtId="3" fontId="7" fillId="3" borderId="38" xfId="0" applyNumberFormat="1" applyFont="1" applyFill="1" applyBorder="1" applyAlignment="1">
      <alignment horizontal="center" vertical="center" wrapText="1"/>
    </xf>
    <xf numFmtId="0" fontId="6" fillId="14" borderId="22" xfId="0" applyFont="1" applyFill="1" applyBorder="1" applyAlignment="1" applyProtection="1">
      <alignment horizontal="center" vertical="center" wrapText="1"/>
    </xf>
    <xf numFmtId="0" fontId="6" fillId="14" borderId="23" xfId="0" applyFont="1" applyFill="1" applyBorder="1" applyAlignment="1" applyProtection="1">
      <alignment horizontal="center" vertical="center" wrapText="1"/>
    </xf>
    <xf numFmtId="0" fontId="6" fillId="14" borderId="24" xfId="0" applyFont="1" applyFill="1" applyBorder="1" applyAlignment="1" applyProtection="1">
      <alignment horizontal="center" vertical="center" wrapText="1"/>
    </xf>
    <xf numFmtId="177" fontId="4" fillId="9" borderId="2" xfId="0" applyNumberFormat="1" applyFont="1" applyFill="1" applyBorder="1" applyAlignment="1">
      <alignment horizontal="center" vertical="center" wrapText="1"/>
    </xf>
    <xf numFmtId="177" fontId="4" fillId="9" borderId="3" xfId="0" applyNumberFormat="1" applyFont="1" applyFill="1" applyBorder="1" applyAlignment="1">
      <alignment horizontal="center" vertical="center" wrapText="1"/>
    </xf>
    <xf numFmtId="177" fontId="4" fillId="9" borderId="4" xfId="0" applyNumberFormat="1" applyFont="1" applyFill="1" applyBorder="1" applyAlignment="1">
      <alignment horizontal="center" vertical="center" wrapText="1"/>
    </xf>
    <xf numFmtId="0" fontId="3" fillId="4" borderId="28" xfId="7" applyFont="1" applyFill="1" applyBorder="1" applyAlignment="1">
      <alignment horizontal="center" vertical="center" wrapText="1"/>
    </xf>
    <xf numFmtId="0" fontId="3" fillId="4" borderId="18" xfId="7" quotePrefix="1" applyFont="1" applyFill="1" applyBorder="1" applyAlignment="1">
      <alignment horizontal="center" vertical="center" wrapText="1"/>
    </xf>
    <xf numFmtId="0" fontId="3" fillId="4" borderId="18" xfId="7" applyFont="1" applyFill="1" applyBorder="1" applyAlignment="1">
      <alignment horizontal="center" vertical="center" wrapText="1"/>
    </xf>
    <xf numFmtId="3" fontId="3" fillId="4" borderId="18" xfId="8" applyFont="1" applyFill="1" applyBorder="1" applyAlignment="1">
      <alignment horizontal="center" vertical="center" wrapText="1"/>
    </xf>
    <xf numFmtId="3" fontId="3" fillId="4" borderId="19" xfId="8"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0" fontId="3" fillId="4" borderId="26" xfId="0" applyFont="1" applyFill="1" applyBorder="1" applyAlignment="1" applyProtection="1">
      <alignment horizontal="center" vertical="center" wrapText="1"/>
    </xf>
    <xf numFmtId="3" fontId="6" fillId="10" borderId="34" xfId="0" applyNumberFormat="1" applyFont="1" applyFill="1" applyBorder="1" applyAlignment="1">
      <alignment horizontal="center" vertical="center" wrapText="1"/>
    </xf>
    <xf numFmtId="3" fontId="6" fillId="10" borderId="77" xfId="0" applyNumberFormat="1" applyFont="1" applyFill="1" applyBorder="1" applyAlignment="1">
      <alignment horizontal="center" vertical="center" wrapText="1"/>
    </xf>
    <xf numFmtId="0" fontId="6" fillId="14" borderId="0" xfId="0" applyFont="1" applyFill="1" applyBorder="1" applyAlignment="1">
      <alignment vertical="center" wrapText="1"/>
    </xf>
    <xf numFmtId="2" fontId="6" fillId="12" borderId="120" xfId="0" applyNumberFormat="1" applyFont="1" applyFill="1" applyBorder="1" applyAlignment="1">
      <alignment horizontal="center" vertical="center" wrapText="1"/>
    </xf>
    <xf numFmtId="0" fontId="3" fillId="4" borderId="3" xfId="0" applyFont="1" applyFill="1" applyBorder="1" applyAlignment="1">
      <alignment horizontal="center" vertical="center" wrapText="1"/>
    </xf>
    <xf numFmtId="3" fontId="7" fillId="3" borderId="50"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3" fillId="4" borderId="58" xfId="0" applyFont="1" applyFill="1" applyBorder="1" applyAlignment="1" applyProtection="1">
      <alignment horizontal="center" vertical="center" wrapText="1"/>
    </xf>
    <xf numFmtId="0" fontId="3" fillId="4" borderId="32" xfId="0" applyFont="1" applyFill="1" applyBorder="1" applyAlignment="1" applyProtection="1">
      <alignment horizontal="center" vertical="center" wrapText="1"/>
    </xf>
    <xf numFmtId="0" fontId="3" fillId="4" borderId="20" xfId="0" applyFont="1" applyFill="1" applyBorder="1" applyAlignment="1" applyProtection="1">
      <alignment horizontal="center" vertical="center" wrapText="1"/>
    </xf>
    <xf numFmtId="0" fontId="6" fillId="11" borderId="54" xfId="0" applyFont="1" applyFill="1" applyBorder="1" applyAlignment="1" applyProtection="1">
      <alignment vertical="center" wrapText="1"/>
    </xf>
    <xf numFmtId="0" fontId="6" fillId="11" borderId="56" xfId="0" applyFont="1" applyFill="1" applyBorder="1" applyAlignment="1" applyProtection="1">
      <alignment vertical="center" wrapText="1"/>
    </xf>
    <xf numFmtId="0" fontId="3" fillId="4" borderId="54" xfId="0" applyFont="1" applyFill="1" applyBorder="1" applyAlignment="1" applyProtection="1">
      <alignment horizontal="center" vertical="center" wrapText="1"/>
    </xf>
    <xf numFmtId="0" fontId="6" fillId="13" borderId="33" xfId="0" applyFont="1" applyFill="1" applyBorder="1" applyAlignment="1" applyProtection="1">
      <alignment horizontal="center" vertical="center" wrapText="1"/>
    </xf>
    <xf numFmtId="0" fontId="6" fillId="13" borderId="21" xfId="0" applyFont="1" applyFill="1" applyBorder="1" applyAlignment="1" applyProtection="1">
      <alignment horizontal="center" vertical="center" wrapText="1"/>
    </xf>
    <xf numFmtId="3" fontId="6" fillId="10" borderId="34" xfId="0" applyNumberFormat="1" applyFont="1" applyFill="1" applyBorder="1" applyAlignment="1" applyProtection="1">
      <alignment horizontal="center" vertical="center" wrapText="1"/>
    </xf>
    <xf numFmtId="0" fontId="6" fillId="13" borderId="69" xfId="0" applyFont="1" applyFill="1" applyBorder="1" applyAlignment="1" applyProtection="1">
      <alignment horizontal="center" vertical="center" wrapText="1"/>
    </xf>
    <xf numFmtId="0" fontId="6" fillId="13" borderId="41" xfId="0" applyFont="1" applyFill="1" applyBorder="1" applyAlignment="1" applyProtection="1">
      <alignment horizontal="center" vertical="center" wrapText="1"/>
    </xf>
    <xf numFmtId="0" fontId="3" fillId="4" borderId="1" xfId="0" quotePrefix="1" applyFont="1" applyFill="1" applyBorder="1" applyAlignment="1" applyProtection="1">
      <alignment horizontal="center" vertical="center" wrapText="1"/>
    </xf>
    <xf numFmtId="0" fontId="7" fillId="11" borderId="3" xfId="0" applyFont="1" applyFill="1" applyBorder="1" applyAlignment="1" applyProtection="1">
      <alignment horizontal="center" vertical="center" wrapText="1"/>
    </xf>
    <xf numFmtId="0" fontId="7" fillId="11" borderId="36" xfId="0" applyFont="1" applyFill="1" applyBorder="1" applyAlignment="1" applyProtection="1">
      <alignment horizontal="center" vertical="center" wrapText="1"/>
    </xf>
    <xf numFmtId="0" fontId="7" fillId="11" borderId="37" xfId="0" applyFont="1" applyFill="1" applyBorder="1" applyAlignment="1" applyProtection="1">
      <alignment horizontal="center" vertical="center" wrapText="1"/>
    </xf>
    <xf numFmtId="167" fontId="6" fillId="12" borderId="43" xfId="0" applyNumberFormat="1" applyFont="1" applyFill="1" applyBorder="1" applyAlignment="1" applyProtection="1">
      <alignment horizontal="center" vertical="center" wrapText="1"/>
    </xf>
    <xf numFmtId="0" fontId="7" fillId="11" borderId="34" xfId="0" applyFont="1" applyFill="1" applyBorder="1" applyAlignment="1" applyProtection="1">
      <alignment horizontal="center" vertical="center" wrapText="1"/>
    </xf>
    <xf numFmtId="0" fontId="7" fillId="11" borderId="39" xfId="0" applyFont="1" applyFill="1" applyBorder="1" applyAlignment="1" applyProtection="1">
      <alignment horizontal="center" vertical="center" wrapText="1"/>
    </xf>
    <xf numFmtId="0" fontId="3" fillId="4" borderId="5" xfId="0" applyFont="1" applyFill="1" applyBorder="1" applyAlignment="1" applyProtection="1">
      <alignment horizontal="center" vertical="center" wrapText="1"/>
    </xf>
    <xf numFmtId="0" fontId="3" fillId="4" borderId="29" xfId="0" applyFont="1" applyFill="1" applyBorder="1" applyAlignment="1" applyProtection="1">
      <alignment horizontal="center" vertical="center" wrapText="1"/>
    </xf>
    <xf numFmtId="0" fontId="6" fillId="15" borderId="35" xfId="0" applyFont="1" applyFill="1" applyBorder="1" applyAlignment="1" applyProtection="1">
      <alignment horizontal="center" vertical="center" wrapText="1"/>
    </xf>
    <xf numFmtId="0" fontId="4" fillId="11" borderId="36" xfId="0" applyFont="1" applyFill="1" applyBorder="1" applyAlignment="1" applyProtection="1">
      <alignment horizontal="center" vertical="center" wrapText="1"/>
    </xf>
    <xf numFmtId="0" fontId="3" fillId="4" borderId="8" xfId="0" applyFont="1" applyFill="1" applyBorder="1" applyAlignment="1" applyProtection="1">
      <alignment horizontal="center" vertical="center" wrapText="1"/>
    </xf>
    <xf numFmtId="0" fontId="0" fillId="14" borderId="0" xfId="0" applyFill="1" applyAlignment="1" applyProtection="1">
      <alignment vertical="center" wrapText="1"/>
    </xf>
    <xf numFmtId="167" fontId="6" fillId="12" borderId="36" xfId="0" applyNumberFormat="1" applyFont="1" applyFill="1" applyBorder="1" applyAlignment="1" applyProtection="1">
      <alignment horizontal="center" vertical="center" wrapText="1"/>
    </xf>
    <xf numFmtId="0" fontId="6" fillId="15" borderId="34" xfId="0" applyFont="1" applyFill="1" applyBorder="1" applyAlignment="1" applyProtection="1">
      <alignment horizontal="center" vertical="center" wrapText="1"/>
      <protection locked="0"/>
    </xf>
    <xf numFmtId="0" fontId="6" fillId="11" borderId="41" xfId="0" applyFont="1" applyFill="1" applyBorder="1" applyAlignment="1" applyProtection="1">
      <alignment vertical="center" wrapText="1"/>
    </xf>
    <xf numFmtId="0" fontId="6" fillId="11" borderId="42" xfId="0" applyFont="1" applyFill="1" applyBorder="1" applyAlignment="1" applyProtection="1">
      <alignment vertical="center" wrapText="1"/>
    </xf>
    <xf numFmtId="166" fontId="6" fillId="13" borderId="70" xfId="0" applyNumberFormat="1" applyFont="1" applyFill="1" applyBorder="1" applyAlignment="1" applyProtection="1">
      <alignment horizontal="center" vertical="center" wrapText="1"/>
    </xf>
    <xf numFmtId="0" fontId="6" fillId="11" borderId="50" xfId="0" applyFont="1" applyFill="1" applyBorder="1" applyAlignment="1" applyProtection="1">
      <alignment horizontal="center" vertical="center" wrapText="1"/>
    </xf>
    <xf numFmtId="0" fontId="6" fillId="11" borderId="40" xfId="0" applyFont="1" applyFill="1" applyBorder="1" applyAlignment="1" applyProtection="1">
      <alignment horizontal="center" vertical="center" wrapText="1"/>
    </xf>
    <xf numFmtId="0" fontId="7" fillId="11" borderId="47" xfId="0" applyFont="1" applyFill="1" applyBorder="1" applyAlignment="1" applyProtection="1">
      <alignment horizontal="center" vertical="center" wrapText="1"/>
    </xf>
    <xf numFmtId="0" fontId="7" fillId="11" borderId="48" xfId="0" applyFont="1" applyFill="1" applyBorder="1" applyAlignment="1" applyProtection="1">
      <alignment horizontal="center" vertical="center" wrapText="1"/>
    </xf>
    <xf numFmtId="166" fontId="6" fillId="9" borderId="53" xfId="0" applyNumberFormat="1" applyFont="1" applyFill="1" applyBorder="1" applyAlignment="1" applyProtection="1">
      <alignment horizontal="center" vertical="center" wrapText="1"/>
    </xf>
    <xf numFmtId="165" fontId="6" fillId="9" borderId="36" xfId="0" applyNumberFormat="1" applyFont="1" applyFill="1" applyBorder="1" applyAlignment="1" applyProtection="1">
      <alignment horizontal="center" vertical="center" wrapText="1"/>
    </xf>
    <xf numFmtId="167" fontId="6" fillId="12" borderId="52" xfId="0" applyNumberFormat="1" applyFont="1" applyFill="1" applyBorder="1" applyAlignment="1" applyProtection="1">
      <alignment horizontal="center" vertical="center" wrapText="1"/>
    </xf>
    <xf numFmtId="3" fontId="6" fillId="10" borderId="36" xfId="0" applyNumberFormat="1" applyFont="1" applyFill="1" applyBorder="1" applyAlignment="1" applyProtection="1">
      <alignment horizontal="center" vertical="center" wrapText="1"/>
    </xf>
    <xf numFmtId="0" fontId="3" fillId="4" borderId="2" xfId="0" quotePrefix="1" applyFont="1" applyFill="1" applyBorder="1" applyAlignment="1" applyProtection="1">
      <alignment horizontal="center" vertical="center" wrapText="1"/>
    </xf>
    <xf numFmtId="0" fontId="3" fillId="4" borderId="3" xfId="0" quotePrefix="1" applyFont="1"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3" fillId="4" borderId="4" xfId="0" applyFont="1" applyFill="1" applyBorder="1" applyAlignment="1" applyProtection="1">
      <alignment horizontal="center" vertical="center" wrapText="1"/>
    </xf>
    <xf numFmtId="167" fontId="13" fillId="12" borderId="57" xfId="0" applyNumberFormat="1" applyFont="1" applyFill="1" applyBorder="1" applyAlignment="1" applyProtection="1">
      <alignment horizontal="center" vertical="center" wrapText="1"/>
    </xf>
    <xf numFmtId="0" fontId="7" fillId="4" borderId="24" xfId="0" applyFont="1" applyFill="1" applyBorder="1" applyAlignment="1">
      <alignment horizontal="center" vertical="center" wrapText="1"/>
    </xf>
    <xf numFmtId="2" fontId="6" fillId="12" borderId="52" xfId="0" applyNumberFormat="1" applyFont="1" applyFill="1" applyBorder="1" applyAlignment="1">
      <alignment horizontal="center" vertical="center" wrapText="1"/>
    </xf>
    <xf numFmtId="3" fontId="6" fillId="10" borderId="45" xfId="0" applyNumberFormat="1" applyFont="1" applyFill="1" applyBorder="1" applyAlignment="1">
      <alignment horizontal="center" vertical="center" wrapText="1"/>
    </xf>
    <xf numFmtId="0" fontId="7" fillId="4" borderId="35" xfId="0" applyFont="1" applyFill="1" applyBorder="1" applyAlignment="1">
      <alignment horizontal="center" vertical="center" wrapText="1"/>
    </xf>
    <xf numFmtId="0" fontId="7" fillId="4" borderId="36" xfId="0" applyFont="1" applyFill="1" applyBorder="1" applyAlignment="1">
      <alignment horizontal="center" vertical="center" wrapText="1"/>
    </xf>
    <xf numFmtId="0" fontId="7" fillId="4" borderId="37" xfId="0" applyFont="1" applyFill="1" applyBorder="1" applyAlignment="1">
      <alignment horizontal="center" vertical="center" wrapText="1"/>
    </xf>
    <xf numFmtId="3" fontId="6" fillId="10" borderId="121" xfId="0" applyNumberFormat="1" applyFont="1" applyFill="1" applyBorder="1" applyAlignment="1">
      <alignment horizontal="center" vertical="center" wrapText="1"/>
    </xf>
    <xf numFmtId="2" fontId="6" fillId="12" borderId="122" xfId="0" applyNumberFormat="1" applyFont="1" applyFill="1" applyBorder="1" applyAlignment="1">
      <alignment horizontal="center" vertical="center" wrapText="1"/>
    </xf>
    <xf numFmtId="11" fontId="6" fillId="9" borderId="34" xfId="0" applyNumberFormat="1" applyFont="1" applyFill="1" applyBorder="1" applyAlignment="1">
      <alignment horizontal="left" vertical="center" wrapText="1"/>
    </xf>
    <xf numFmtId="165" fontId="4" fillId="8" borderId="34" xfId="0" applyNumberFormat="1" applyFont="1" applyFill="1" applyBorder="1" applyAlignment="1">
      <alignment horizontal="center" vertical="center" wrapText="1"/>
    </xf>
    <xf numFmtId="165" fontId="4" fillId="6" borderId="34" xfId="0" applyNumberFormat="1"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3" fillId="4" borderId="37" xfId="0" applyFont="1" applyFill="1" applyBorder="1" applyAlignment="1">
      <alignment horizontal="center" vertical="center" wrapText="1"/>
    </xf>
    <xf numFmtId="0" fontId="3" fillId="4" borderId="43" xfId="0" applyFont="1" applyFill="1" applyBorder="1" applyAlignment="1">
      <alignment horizontal="center" vertical="center" wrapText="1"/>
    </xf>
    <xf numFmtId="0" fontId="3" fillId="4" borderId="52" xfId="0" applyFont="1" applyFill="1" applyBorder="1" applyAlignment="1">
      <alignment horizontal="center" vertical="center" wrapText="1"/>
    </xf>
    <xf numFmtId="0" fontId="4" fillId="14" borderId="0" xfId="0" applyFont="1" applyFill="1" applyBorder="1" applyAlignment="1">
      <alignment vertical="center" wrapText="1"/>
    </xf>
    <xf numFmtId="3" fontId="6" fillId="24" borderId="34" xfId="0" applyNumberFormat="1" applyFont="1" applyFill="1" applyBorder="1" applyAlignment="1">
      <alignment horizontal="center" vertical="center" wrapText="1"/>
    </xf>
    <xf numFmtId="0" fontId="3" fillId="4" borderId="38" xfId="0" applyFont="1" applyFill="1" applyBorder="1" applyAlignment="1">
      <alignment horizontal="center" vertical="center" wrapText="1"/>
    </xf>
    <xf numFmtId="0" fontId="3" fillId="4" borderId="40" xfId="0" applyFont="1" applyFill="1" applyBorder="1" applyAlignment="1">
      <alignment horizontal="center" vertical="center" wrapText="1"/>
    </xf>
    <xf numFmtId="0" fontId="6" fillId="15" borderId="123" xfId="0" applyFont="1" applyFill="1" applyBorder="1" applyAlignment="1" applyProtection="1">
      <alignment horizontal="center" vertical="center" wrapText="1"/>
      <protection locked="0"/>
    </xf>
    <xf numFmtId="0" fontId="6" fillId="15" borderId="124" xfId="0" applyFont="1" applyFill="1" applyBorder="1" applyAlignment="1" applyProtection="1">
      <alignment horizontal="center" vertical="center" wrapText="1"/>
      <protection locked="0"/>
    </xf>
    <xf numFmtId="0" fontId="6" fillId="15" borderId="125" xfId="0" applyFont="1" applyFill="1" applyBorder="1" applyAlignment="1" applyProtection="1">
      <alignment horizontal="center" vertical="center" wrapText="1"/>
      <protection locked="0"/>
    </xf>
    <xf numFmtId="0" fontId="6" fillId="21" borderId="82" xfId="0" applyFont="1" applyFill="1" applyBorder="1" applyAlignment="1">
      <alignment horizontal="center" vertical="center"/>
    </xf>
    <xf numFmtId="0" fontId="6" fillId="21" borderId="27" xfId="0" applyFont="1" applyFill="1" applyBorder="1" applyAlignment="1">
      <alignment horizontal="center" vertical="center"/>
    </xf>
    <xf numFmtId="0" fontId="3" fillId="4" borderId="25" xfId="0" applyFont="1" applyFill="1" applyBorder="1" applyAlignment="1">
      <alignment horizontal="center" vertical="center"/>
    </xf>
    <xf numFmtId="0" fontId="3" fillId="4" borderId="26" xfId="0" applyFont="1" applyFill="1" applyBorder="1" applyAlignment="1">
      <alignment horizontal="center" vertical="center"/>
    </xf>
    <xf numFmtId="0" fontId="3" fillId="4" borderId="81" xfId="0" applyFont="1" applyFill="1" applyBorder="1" applyAlignment="1">
      <alignment horizontal="center" vertical="center"/>
    </xf>
    <xf numFmtId="0" fontId="13" fillId="4" borderId="12" xfId="0" applyFont="1" applyFill="1" applyBorder="1" applyAlignment="1">
      <alignment horizontal="center" vertical="center"/>
    </xf>
    <xf numFmtId="0" fontId="6" fillId="14" borderId="22" xfId="0" applyFont="1" applyFill="1" applyBorder="1" applyAlignment="1" applyProtection="1">
      <alignment horizontal="center" vertical="center" wrapText="1"/>
    </xf>
    <xf numFmtId="46" fontId="6" fillId="12" borderId="37" xfId="0" applyNumberFormat="1" applyFont="1" applyFill="1" applyBorder="1" applyAlignment="1" applyProtection="1">
      <alignment horizontal="center" vertical="center" wrapText="1"/>
    </xf>
    <xf numFmtId="0" fontId="3" fillId="4" borderId="14" xfId="0" applyFont="1" applyFill="1" applyBorder="1" applyAlignment="1" applyProtection="1">
      <alignment horizontal="center" vertical="center" wrapText="1"/>
    </xf>
    <xf numFmtId="0" fontId="0" fillId="0" borderId="0" xfId="0" applyAlignment="1">
      <alignment horizontal="center"/>
    </xf>
    <xf numFmtId="0" fontId="37" fillId="14" borderId="0" xfId="0" applyFont="1" applyFill="1" applyAlignment="1" applyProtection="1">
      <alignment vertical="center" wrapText="1"/>
    </xf>
    <xf numFmtId="11" fontId="3" fillId="9" borderId="34" xfId="0" applyNumberFormat="1" applyFont="1" applyFill="1" applyBorder="1" applyAlignment="1">
      <alignment horizontal="left" vertical="center" wrapText="1"/>
    </xf>
    <xf numFmtId="0" fontId="4" fillId="11" borderId="38" xfId="0" applyFont="1" applyFill="1" applyBorder="1" applyAlignment="1" applyProtection="1">
      <alignment horizontal="center" vertical="center" wrapText="1"/>
    </xf>
    <xf numFmtId="0" fontId="4" fillId="11" borderId="45" xfId="0" applyFont="1" applyFill="1" applyBorder="1" applyAlignment="1" applyProtection="1">
      <alignment horizontal="center" vertical="center" wrapText="1"/>
    </xf>
    <xf numFmtId="0" fontId="7" fillId="11" borderId="18" xfId="0" applyFont="1" applyFill="1" applyBorder="1" applyAlignment="1" applyProtection="1">
      <alignment horizontal="center" vertical="center" wrapText="1"/>
    </xf>
    <xf numFmtId="0" fontId="7" fillId="11" borderId="61" xfId="0" applyFont="1" applyFill="1" applyBorder="1" applyAlignment="1" applyProtection="1">
      <alignment horizontal="center" vertical="center" wrapText="1"/>
    </xf>
    <xf numFmtId="0" fontId="7" fillId="11" borderId="59" xfId="0" applyFont="1" applyFill="1" applyBorder="1" applyAlignment="1" applyProtection="1">
      <alignment horizontal="center" vertical="center" wrapText="1"/>
    </xf>
    <xf numFmtId="177" fontId="6" fillId="15" borderId="126" xfId="0" applyNumberFormat="1" applyFont="1" applyFill="1" applyBorder="1" applyAlignment="1" applyProtection="1">
      <alignment horizontal="center" vertical="center" wrapText="1"/>
      <protection locked="0"/>
    </xf>
    <xf numFmtId="178" fontId="6" fillId="15" borderId="126" xfId="0" applyNumberFormat="1" applyFont="1" applyFill="1" applyBorder="1" applyAlignment="1" applyProtection="1">
      <alignment horizontal="center" vertical="center" wrapText="1"/>
      <protection locked="0"/>
    </xf>
    <xf numFmtId="0" fontId="6" fillId="14" borderId="15" xfId="0" applyFont="1" applyFill="1" applyBorder="1" applyAlignment="1" applyProtection="1">
      <alignment horizontal="center" vertical="center" wrapText="1"/>
    </xf>
    <xf numFmtId="0" fontId="6" fillId="14" borderId="16" xfId="0" applyFont="1" applyFill="1" applyBorder="1" applyAlignment="1" applyProtection="1">
      <alignment horizontal="center" vertical="center" wrapText="1"/>
    </xf>
    <xf numFmtId="0" fontId="3" fillId="4" borderId="17" xfId="0" applyFont="1" applyFill="1" applyBorder="1" applyAlignment="1" applyProtection="1">
      <alignment horizontal="center" vertical="center" wrapText="1"/>
    </xf>
    <xf numFmtId="0" fontId="3" fillId="4" borderId="73" xfId="0" applyFont="1" applyFill="1" applyBorder="1" applyAlignment="1" applyProtection="1">
      <alignment horizontal="center" vertical="center" wrapText="1"/>
    </xf>
    <xf numFmtId="0" fontId="6" fillId="14" borderId="23" xfId="0" applyFont="1" applyFill="1" applyBorder="1" applyAlignment="1" applyProtection="1">
      <alignment horizontal="center" vertical="center" wrapText="1"/>
    </xf>
    <xf numFmtId="0" fontId="6" fillId="14" borderId="15" xfId="0" applyFont="1" applyFill="1" applyBorder="1" applyAlignment="1" applyProtection="1">
      <alignment horizontal="center" vertical="center" wrapText="1"/>
    </xf>
    <xf numFmtId="0" fontId="6" fillId="14" borderId="16" xfId="0" applyFont="1" applyFill="1" applyBorder="1" applyAlignment="1" applyProtection="1">
      <alignment horizontal="center" vertical="center" wrapText="1"/>
    </xf>
    <xf numFmtId="0" fontId="3" fillId="4" borderId="17" xfId="0" applyFont="1" applyFill="1" applyBorder="1" applyAlignment="1" applyProtection="1">
      <alignment horizontal="center" vertical="center" wrapText="1"/>
    </xf>
    <xf numFmtId="0" fontId="3" fillId="4" borderId="73" xfId="0" applyFont="1" applyFill="1" applyBorder="1" applyAlignment="1" applyProtection="1">
      <alignment horizontal="center" vertical="center" wrapText="1"/>
    </xf>
    <xf numFmtId="0" fontId="7" fillId="11" borderId="54" xfId="0" applyFont="1" applyFill="1" applyBorder="1" applyAlignment="1" applyProtection="1">
      <alignment horizontal="center" vertical="center" wrapText="1"/>
    </xf>
    <xf numFmtId="166" fontId="6" fillId="9" borderId="54" xfId="0" applyNumberFormat="1" applyFont="1" applyFill="1" applyBorder="1" applyAlignment="1" applyProtection="1">
      <alignment horizontal="center" vertical="center" wrapText="1"/>
    </xf>
    <xf numFmtId="166" fontId="6" fillId="9" borderId="34" xfId="0" applyNumberFormat="1" applyFont="1" applyFill="1" applyBorder="1" applyAlignment="1" applyProtection="1">
      <alignment horizontal="center" vertical="center" wrapText="1"/>
    </xf>
    <xf numFmtId="166" fontId="6" fillId="9" borderId="44" xfId="0" applyNumberFormat="1" applyFont="1" applyFill="1" applyBorder="1" applyAlignment="1" applyProtection="1">
      <alignment horizontal="center" vertical="center" wrapText="1"/>
    </xf>
    <xf numFmtId="0" fontId="4" fillId="11" borderId="50" xfId="0" applyFont="1" applyFill="1" applyBorder="1" applyAlignment="1" applyProtection="1">
      <alignment horizontal="center" vertical="center" wrapText="1"/>
    </xf>
    <xf numFmtId="0" fontId="3" fillId="4" borderId="53" xfId="0" applyFont="1" applyFill="1" applyBorder="1" applyAlignment="1" applyProtection="1">
      <alignment horizontal="center" vertical="center" wrapText="1"/>
    </xf>
    <xf numFmtId="0" fontId="3" fillId="4" borderId="52" xfId="0" applyFont="1" applyFill="1" applyBorder="1" applyAlignment="1" applyProtection="1">
      <alignment horizontal="center" vertical="center" wrapText="1"/>
    </xf>
    <xf numFmtId="0" fontId="6" fillId="11" borderId="35" xfId="0" applyFont="1" applyFill="1" applyBorder="1" applyAlignment="1" applyProtection="1">
      <alignment horizontal="center" vertical="center" wrapText="1"/>
    </xf>
    <xf numFmtId="0" fontId="6" fillId="11" borderId="37" xfId="0" applyFont="1" applyFill="1" applyBorder="1" applyAlignment="1" applyProtection="1">
      <alignment vertical="center" wrapText="1"/>
    </xf>
    <xf numFmtId="0" fontId="3" fillId="4" borderId="36" xfId="0" applyFont="1" applyFill="1" applyBorder="1" applyAlignment="1" applyProtection="1">
      <alignment horizontal="center" vertical="center" wrapText="1"/>
    </xf>
    <xf numFmtId="0" fontId="6" fillId="15" borderId="103" xfId="0" applyFont="1" applyFill="1" applyBorder="1" applyAlignment="1" applyProtection="1">
      <alignment horizontal="center" vertical="center" wrapText="1"/>
    </xf>
    <xf numFmtId="0" fontId="6" fillId="15" borderId="26" xfId="0" applyFont="1" applyFill="1" applyBorder="1" applyAlignment="1" applyProtection="1">
      <alignment horizontal="center" vertical="center" wrapText="1"/>
    </xf>
    <xf numFmtId="0" fontId="6" fillId="15" borderId="84" xfId="0" applyFont="1" applyFill="1" applyBorder="1" applyAlignment="1" applyProtection="1">
      <alignment horizontal="center" vertical="center" wrapText="1"/>
    </xf>
    <xf numFmtId="0" fontId="7" fillId="11" borderId="80" xfId="0" applyFont="1" applyFill="1" applyBorder="1" applyAlignment="1" applyProtection="1">
      <alignment horizontal="center" vertical="center" wrapText="1"/>
    </xf>
    <xf numFmtId="0" fontId="6" fillId="14" borderId="14" xfId="0" applyFont="1" applyFill="1" applyBorder="1" applyAlignment="1" applyProtection="1">
      <alignment horizontal="center" vertical="center" wrapText="1"/>
    </xf>
    <xf numFmtId="167" fontId="6" fillId="12" borderId="41" xfId="0" applyNumberFormat="1" applyFont="1" applyFill="1" applyBorder="1" applyAlignment="1" applyProtection="1">
      <alignment horizontal="center" vertical="center" wrapText="1"/>
    </xf>
    <xf numFmtId="167" fontId="6" fillId="12" borderId="70" xfId="0" applyNumberFormat="1" applyFont="1" applyFill="1" applyBorder="1" applyAlignment="1" applyProtection="1">
      <alignment horizontal="center" vertical="center" wrapText="1"/>
    </xf>
    <xf numFmtId="167" fontId="6" fillId="12" borderId="61" xfId="0" applyNumberFormat="1" applyFont="1" applyFill="1" applyBorder="1" applyAlignment="1" applyProtection="1">
      <alignment horizontal="center" vertical="center" wrapText="1"/>
    </xf>
    <xf numFmtId="3" fontId="6" fillId="24" borderId="61" xfId="0" applyNumberFormat="1" applyFont="1" applyFill="1" applyBorder="1" applyAlignment="1" applyProtection="1">
      <alignment horizontal="center" vertical="center" wrapText="1"/>
    </xf>
    <xf numFmtId="167" fontId="6" fillId="12" borderId="64" xfId="0" applyNumberFormat="1" applyFont="1" applyFill="1" applyBorder="1" applyAlignment="1" applyProtection="1">
      <alignment horizontal="center" vertical="center" wrapText="1"/>
    </xf>
    <xf numFmtId="167" fontId="13" fillId="12" borderId="4" xfId="0" applyNumberFormat="1" applyFont="1" applyFill="1" applyBorder="1" applyAlignment="1" applyProtection="1">
      <alignment horizontal="center" vertical="center" wrapText="1"/>
    </xf>
    <xf numFmtId="3" fontId="6" fillId="10" borderId="61" xfId="0" applyNumberFormat="1" applyFont="1" applyFill="1" applyBorder="1" applyAlignment="1" applyProtection="1">
      <alignment horizontal="center" vertical="center" wrapText="1"/>
    </xf>
    <xf numFmtId="0" fontId="6" fillId="15" borderId="32" xfId="0" applyFont="1" applyFill="1" applyBorder="1" applyAlignment="1" applyProtection="1">
      <alignment horizontal="center" vertical="center" wrapText="1"/>
    </xf>
    <xf numFmtId="0" fontId="4" fillId="11" borderId="54" xfId="0" applyFont="1" applyFill="1" applyBorder="1" applyAlignment="1" applyProtection="1">
      <alignment horizontal="center" vertical="center" wrapText="1"/>
    </xf>
    <xf numFmtId="0" fontId="6" fillId="15" borderId="51" xfId="0" applyFont="1" applyFill="1" applyBorder="1" applyAlignment="1" applyProtection="1">
      <alignment horizontal="center" vertical="center" wrapText="1"/>
    </xf>
    <xf numFmtId="0" fontId="6" fillId="15" borderId="33" xfId="0" applyFont="1" applyFill="1" applyBorder="1" applyAlignment="1" applyProtection="1">
      <alignment horizontal="center" vertical="center" wrapText="1"/>
    </xf>
    <xf numFmtId="3" fontId="6" fillId="13" borderId="41" xfId="0" applyNumberFormat="1" applyFont="1" applyFill="1" applyBorder="1" applyAlignment="1" applyProtection="1">
      <alignment horizontal="center" vertical="center" wrapText="1"/>
    </xf>
    <xf numFmtId="0" fontId="3" fillId="4" borderId="51" xfId="0" applyFont="1" applyFill="1" applyBorder="1" applyAlignment="1" applyProtection="1">
      <alignment horizontal="left" vertical="center" wrapText="1"/>
    </xf>
    <xf numFmtId="46" fontId="6" fillId="12" borderId="43" xfId="0" applyNumberFormat="1" applyFont="1" applyFill="1" applyBorder="1" applyAlignment="1" applyProtection="1">
      <alignment horizontal="center" vertical="center" wrapText="1"/>
    </xf>
    <xf numFmtId="0" fontId="3" fillId="4" borderId="69" xfId="0" applyFont="1" applyFill="1" applyBorder="1" applyAlignment="1" applyProtection="1">
      <alignment horizontal="left" vertical="center" wrapText="1"/>
    </xf>
    <xf numFmtId="46" fontId="6" fillId="12" borderId="70" xfId="0" applyNumberFormat="1" applyFont="1" applyFill="1" applyBorder="1" applyAlignment="1" applyProtection="1">
      <alignment horizontal="center" vertical="center" wrapText="1"/>
    </xf>
    <xf numFmtId="0" fontId="6" fillId="11" borderId="33" xfId="0" applyFont="1" applyFill="1" applyBorder="1" applyAlignment="1" applyProtection="1">
      <alignment horizontal="center" vertical="center" wrapText="1"/>
    </xf>
    <xf numFmtId="0" fontId="38" fillId="11" borderId="36" xfId="0" applyFont="1" applyFill="1" applyBorder="1" applyAlignment="1" applyProtection="1">
      <alignment horizontal="center" vertical="center" wrapText="1"/>
    </xf>
    <xf numFmtId="0" fontId="38" fillId="11" borderId="37" xfId="0" applyFont="1" applyFill="1" applyBorder="1" applyAlignment="1" applyProtection="1">
      <alignment horizontal="center" vertical="center" wrapText="1"/>
    </xf>
    <xf numFmtId="0" fontId="38" fillId="11" borderId="34" xfId="0" applyFont="1" applyFill="1" applyBorder="1" applyAlignment="1" applyProtection="1">
      <alignment horizontal="center" vertical="center" wrapText="1"/>
    </xf>
    <xf numFmtId="0" fontId="38" fillId="11" borderId="39" xfId="0" applyFont="1" applyFill="1" applyBorder="1" applyAlignment="1" applyProtection="1">
      <alignment horizontal="center" vertical="center" wrapText="1"/>
    </xf>
    <xf numFmtId="0" fontId="12" fillId="4" borderId="63" xfId="0" applyNumberFormat="1" applyFont="1" applyFill="1" applyBorder="1" applyAlignment="1" applyProtection="1">
      <alignment horizontal="center" vertical="center" wrapText="1"/>
    </xf>
    <xf numFmtId="0" fontId="3" fillId="11" borderId="22" xfId="0" applyFont="1" applyFill="1" applyBorder="1" applyAlignment="1" applyProtection="1">
      <alignment horizontal="center" vertical="center" wrapText="1"/>
    </xf>
    <xf numFmtId="3" fontId="6" fillId="10" borderId="4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83" xfId="0" applyFont="1" applyFill="1" applyBorder="1" applyAlignment="1" applyProtection="1">
      <alignment horizontal="center" vertical="center" wrapText="1"/>
    </xf>
    <xf numFmtId="0" fontId="3" fillId="4" borderId="54" xfId="0" quotePrefix="1" applyFont="1" applyFill="1" applyBorder="1" applyAlignment="1" applyProtection="1">
      <alignment horizontal="center" vertical="center" wrapText="1"/>
    </xf>
    <xf numFmtId="0" fontId="3" fillId="4" borderId="7" xfId="0" quotePrefix="1" applyFont="1" applyFill="1" applyBorder="1" applyAlignment="1" applyProtection="1">
      <alignment horizontal="center" vertical="center" wrapText="1"/>
    </xf>
    <xf numFmtId="0" fontId="7" fillId="11" borderId="50" xfId="0" applyFont="1" applyFill="1" applyBorder="1" applyAlignment="1" applyProtection="1">
      <alignment horizontal="center" vertical="center" wrapText="1"/>
    </xf>
    <xf numFmtId="3" fontId="6" fillId="32" borderId="36" xfId="0" applyNumberFormat="1" applyFont="1" applyFill="1" applyBorder="1" applyAlignment="1" applyProtection="1">
      <alignment horizontal="center" vertical="center" wrapText="1"/>
    </xf>
    <xf numFmtId="3" fontId="6" fillId="32" borderId="34" xfId="0" applyNumberFormat="1" applyFont="1" applyFill="1" applyBorder="1" applyAlignment="1" applyProtection="1">
      <alignment horizontal="center" vertical="center" wrapText="1"/>
    </xf>
    <xf numFmtId="3" fontId="6" fillId="32" borderId="44" xfId="0" applyNumberFormat="1" applyFont="1" applyFill="1" applyBorder="1" applyAlignment="1" applyProtection="1">
      <alignment horizontal="center" vertical="center" wrapText="1"/>
    </xf>
    <xf numFmtId="0" fontId="7" fillId="4" borderId="2" xfId="0" applyFont="1" applyFill="1" applyBorder="1" applyAlignment="1">
      <alignment horizontal="center" vertical="center" wrapText="1"/>
    </xf>
    <xf numFmtId="3" fontId="6" fillId="24" borderId="53" xfId="0" applyNumberFormat="1" applyFont="1" applyFill="1" applyBorder="1" applyAlignment="1">
      <alignment horizontal="center" vertical="center" wrapText="1"/>
    </xf>
    <xf numFmtId="3" fontId="6" fillId="24" borderId="51" xfId="0" applyNumberFormat="1" applyFont="1" applyFill="1" applyBorder="1" applyAlignment="1">
      <alignment horizontal="center" vertical="center" wrapText="1"/>
    </xf>
    <xf numFmtId="3" fontId="4" fillId="24" borderId="51" xfId="0" applyNumberFormat="1" applyFont="1" applyFill="1" applyBorder="1" applyAlignment="1">
      <alignment horizontal="center" vertical="center" wrapText="1"/>
    </xf>
    <xf numFmtId="3" fontId="4" fillId="24" borderId="33" xfId="0" applyNumberFormat="1" applyFont="1" applyFill="1" applyBorder="1" applyAlignment="1">
      <alignment horizontal="center" vertical="center" wrapText="1"/>
    </xf>
    <xf numFmtId="3" fontId="6" fillId="10" borderId="53" xfId="0" applyNumberFormat="1" applyFont="1" applyFill="1" applyBorder="1" applyAlignment="1">
      <alignment horizontal="center" vertical="center" wrapText="1"/>
    </xf>
    <xf numFmtId="3" fontId="6" fillId="10" borderId="51" xfId="0" applyNumberFormat="1" applyFont="1" applyFill="1" applyBorder="1" applyAlignment="1">
      <alignment horizontal="center" vertical="center" wrapText="1"/>
    </xf>
    <xf numFmtId="3" fontId="4" fillId="10" borderId="51" xfId="0" applyNumberFormat="1" applyFont="1" applyFill="1" applyBorder="1" applyAlignment="1">
      <alignment horizontal="center" vertical="center" wrapText="1"/>
    </xf>
    <xf numFmtId="3" fontId="4" fillId="10" borderId="33" xfId="0" applyNumberFormat="1" applyFont="1" applyFill="1" applyBorder="1" applyAlignment="1">
      <alignment horizontal="center" vertical="center" wrapText="1"/>
    </xf>
    <xf numFmtId="3" fontId="6" fillId="24" borderId="45" xfId="0" applyNumberFormat="1" applyFont="1" applyFill="1" applyBorder="1" applyAlignment="1">
      <alignment horizontal="center" vertical="center" wrapText="1"/>
    </xf>
    <xf numFmtId="3" fontId="4" fillId="21" borderId="43" xfId="0" applyNumberFormat="1" applyFont="1" applyFill="1" applyBorder="1" applyAlignment="1">
      <alignment horizontal="center" vertical="center" wrapText="1"/>
    </xf>
    <xf numFmtId="3" fontId="6" fillId="21" borderId="21" xfId="0" applyNumberFormat="1" applyFont="1" applyFill="1" applyBorder="1" applyAlignment="1">
      <alignment horizontal="center" vertical="center" wrapText="1"/>
    </xf>
    <xf numFmtId="0" fontId="3" fillId="4" borderId="32" xfId="0" applyFont="1" applyFill="1" applyBorder="1" applyAlignment="1">
      <alignment horizontal="center" vertical="center"/>
    </xf>
    <xf numFmtId="0" fontId="6" fillId="21" borderId="20" xfId="0" applyFont="1" applyFill="1" applyBorder="1" applyAlignment="1">
      <alignment horizontal="center" vertical="center"/>
    </xf>
    <xf numFmtId="0" fontId="3" fillId="4" borderId="51" xfId="0" applyFont="1" applyFill="1" applyBorder="1" applyAlignment="1">
      <alignment horizontal="center" vertical="center"/>
    </xf>
    <xf numFmtId="0" fontId="6" fillId="21" borderId="43" xfId="0" applyFont="1" applyFill="1" applyBorder="1" applyAlignment="1">
      <alignment horizontal="center" vertical="center"/>
    </xf>
    <xf numFmtId="0" fontId="3" fillId="4" borderId="33" xfId="0" applyFont="1" applyFill="1" applyBorder="1" applyAlignment="1">
      <alignment horizontal="center" vertical="center"/>
    </xf>
    <xf numFmtId="0" fontId="6" fillId="21" borderId="21" xfId="0" applyFont="1" applyFill="1" applyBorder="1" applyAlignment="1">
      <alignment horizontal="center" vertical="center"/>
    </xf>
    <xf numFmtId="0" fontId="4" fillId="20" borderId="34" xfId="0" applyFont="1" applyFill="1" applyBorder="1" applyAlignment="1">
      <alignment horizontal="center" vertical="center" wrapText="1"/>
    </xf>
    <xf numFmtId="0" fontId="4" fillId="20" borderId="54" xfId="0" applyFont="1" applyFill="1" applyBorder="1" applyAlignment="1">
      <alignment horizontal="center" vertical="center" wrapText="1"/>
    </xf>
    <xf numFmtId="0" fontId="4" fillId="20" borderId="44" xfId="0" applyFont="1" applyFill="1" applyBorder="1" applyAlignment="1">
      <alignment horizontal="center" vertical="center" wrapText="1"/>
    </xf>
    <xf numFmtId="2" fontId="6" fillId="12" borderId="56" xfId="0" applyNumberFormat="1" applyFont="1" applyFill="1" applyBorder="1" applyAlignment="1">
      <alignment horizontal="center" vertical="center" wrapText="1"/>
    </xf>
    <xf numFmtId="2" fontId="6" fillId="12" borderId="55" xfId="0" applyNumberFormat="1" applyFont="1" applyFill="1" applyBorder="1" applyAlignment="1">
      <alignment horizontal="center" vertical="center" wrapText="1"/>
    </xf>
    <xf numFmtId="3" fontId="7" fillId="3" borderId="54" xfId="0" applyNumberFormat="1" applyFont="1" applyFill="1" applyBorder="1" applyAlignment="1">
      <alignment horizontal="center" vertical="center" wrapText="1"/>
    </xf>
    <xf numFmtId="0" fontId="4" fillId="20" borderId="83" xfId="0" applyFont="1" applyFill="1" applyBorder="1" applyAlignment="1">
      <alignment horizontal="center" vertical="center" wrapText="1"/>
    </xf>
    <xf numFmtId="3" fontId="7" fillId="3" borderId="83" xfId="0" applyNumberFormat="1" applyFont="1" applyFill="1" applyBorder="1" applyAlignment="1">
      <alignment horizontal="center" vertical="center" wrapText="1"/>
    </xf>
    <xf numFmtId="2" fontId="6" fillId="12" borderId="83" xfId="0" applyNumberFormat="1" applyFont="1" applyFill="1" applyBorder="1" applyAlignment="1">
      <alignment horizontal="center" vertical="center" wrapText="1"/>
    </xf>
    <xf numFmtId="3" fontId="4" fillId="32" borderId="38" xfId="0" applyNumberFormat="1" applyFont="1" applyFill="1" applyBorder="1" applyAlignment="1">
      <alignment horizontal="center" vertical="center" wrapText="1"/>
    </xf>
    <xf numFmtId="3" fontId="4" fillId="32" borderId="40" xfId="0" applyNumberFormat="1" applyFont="1" applyFill="1" applyBorder="1" applyAlignment="1">
      <alignment horizontal="center" vertical="center" wrapText="1"/>
    </xf>
    <xf numFmtId="0" fontId="15" fillId="13" borderId="28" xfId="0" applyFont="1" applyFill="1" applyBorder="1" applyAlignment="1">
      <alignment horizontal="center" vertical="center" wrapText="1"/>
    </xf>
    <xf numFmtId="0" fontId="15" fillId="13" borderId="12" xfId="0" applyFont="1" applyFill="1" applyBorder="1" applyAlignment="1">
      <alignment horizontal="center" vertical="center" wrapText="1"/>
    </xf>
    <xf numFmtId="0" fontId="6" fillId="15" borderId="32" xfId="0" applyFont="1" applyFill="1" applyBorder="1" applyAlignment="1">
      <alignment horizontal="center" vertical="center" wrapText="1"/>
    </xf>
    <xf numFmtId="0" fontId="6" fillId="15" borderId="51" xfId="0" applyFont="1" applyFill="1" applyBorder="1" applyAlignment="1">
      <alignment horizontal="center" vertical="center" wrapText="1"/>
    </xf>
    <xf numFmtId="0" fontId="5" fillId="6" borderId="38" xfId="0" applyFont="1" applyFill="1" applyBorder="1" applyAlignment="1">
      <alignment horizontal="center" vertical="center" wrapText="1"/>
    </xf>
    <xf numFmtId="0" fontId="5" fillId="5" borderId="38" xfId="0" applyFont="1" applyFill="1" applyBorder="1" applyAlignment="1">
      <alignment horizontal="center" vertical="center" wrapText="1"/>
    </xf>
    <xf numFmtId="0" fontId="5" fillId="6" borderId="40" xfId="0" applyFont="1" applyFill="1" applyBorder="1" applyAlignment="1">
      <alignment horizontal="center" vertical="center" wrapText="1"/>
    </xf>
    <xf numFmtId="165" fontId="4" fillId="5" borderId="32" xfId="0" applyNumberFormat="1" applyFont="1" applyFill="1" applyBorder="1" applyAlignment="1">
      <alignment horizontal="center" vertical="center" wrapText="1"/>
    </xf>
    <xf numFmtId="165" fontId="5" fillId="5" borderId="54" xfId="0" applyNumberFormat="1" applyFont="1" applyFill="1" applyBorder="1" applyAlignment="1">
      <alignment horizontal="center" vertical="center" wrapText="1"/>
    </xf>
    <xf numFmtId="165" fontId="4" fillId="7" borderId="54" xfId="0" applyNumberFormat="1" applyFont="1" applyFill="1" applyBorder="1" applyAlignment="1">
      <alignment horizontal="center" vertical="center" wrapText="1"/>
    </xf>
    <xf numFmtId="165" fontId="5" fillId="7" borderId="54" xfId="0" applyNumberFormat="1" applyFont="1" applyFill="1" applyBorder="1" applyAlignment="1">
      <alignment horizontal="center" vertical="center" wrapText="1"/>
    </xf>
    <xf numFmtId="165" fontId="4" fillId="5" borderId="54" xfId="0" applyNumberFormat="1" applyFont="1" applyFill="1" applyBorder="1" applyAlignment="1">
      <alignment horizontal="center" vertical="center" wrapText="1"/>
    </xf>
    <xf numFmtId="165" fontId="5" fillId="7" borderId="20" xfId="0" applyNumberFormat="1" applyFont="1" applyFill="1" applyBorder="1" applyAlignment="1">
      <alignment horizontal="center" vertical="center" wrapText="1"/>
    </xf>
    <xf numFmtId="0" fontId="14" fillId="14" borderId="0" xfId="0" applyFont="1" applyFill="1" applyAlignment="1" applyProtection="1">
      <alignment horizontal="center" vertical="center" wrapText="1"/>
    </xf>
    <xf numFmtId="0" fontId="14" fillId="0" borderId="0" xfId="0" applyFont="1"/>
    <xf numFmtId="3" fontId="6" fillId="24" borderId="34" xfId="0" applyNumberFormat="1" applyFont="1" applyFill="1" applyBorder="1" applyAlignment="1">
      <alignment horizontal="center" vertical="center" wrapText="1"/>
    </xf>
    <xf numFmtId="0" fontId="3" fillId="4" borderId="58" xfId="0" applyFont="1" applyFill="1" applyBorder="1" applyAlignment="1">
      <alignment horizontal="center" vertical="center" wrapText="1"/>
    </xf>
    <xf numFmtId="165" fontId="4" fillId="6" borderId="51" xfId="0" applyNumberFormat="1" applyFont="1" applyFill="1" applyBorder="1" applyAlignment="1">
      <alignment horizontal="center" vertical="center" wrapText="1"/>
    </xf>
    <xf numFmtId="165" fontId="5" fillId="6" borderId="43" xfId="0" applyNumberFormat="1" applyFont="1" applyFill="1" applyBorder="1" applyAlignment="1">
      <alignment horizontal="center" vertical="center" wrapText="1"/>
    </xf>
    <xf numFmtId="165" fontId="4" fillId="5" borderId="53" xfId="0" applyNumberFormat="1" applyFont="1" applyFill="1" applyBorder="1" applyAlignment="1">
      <alignment horizontal="center" vertical="center" wrapText="1"/>
    </xf>
    <xf numFmtId="165" fontId="5" fillId="5" borderId="52" xfId="0" applyNumberFormat="1" applyFont="1" applyFill="1" applyBorder="1" applyAlignment="1">
      <alignment horizontal="center" vertical="center" wrapText="1"/>
    </xf>
    <xf numFmtId="165" fontId="4" fillId="5" borderId="58" xfId="0" applyNumberFormat="1" applyFont="1" applyFill="1" applyBorder="1" applyAlignment="1">
      <alignment horizontal="center" vertical="center" wrapText="1"/>
    </xf>
    <xf numFmtId="165" fontId="5" fillId="5" borderId="47" xfId="0" applyNumberFormat="1" applyFont="1" applyFill="1" applyBorder="1" applyAlignment="1">
      <alignment horizontal="center" vertical="center" wrapText="1"/>
    </xf>
    <xf numFmtId="165" fontId="4" fillId="5" borderId="46" xfId="0" applyNumberFormat="1" applyFont="1" applyFill="1" applyBorder="1" applyAlignment="1">
      <alignment horizontal="center" vertical="center" wrapText="1"/>
    </xf>
    <xf numFmtId="165" fontId="4" fillId="7" borderId="46" xfId="0" applyNumberFormat="1" applyFont="1" applyFill="1" applyBorder="1" applyAlignment="1">
      <alignment horizontal="center" vertical="center" wrapText="1"/>
    </xf>
    <xf numFmtId="165" fontId="5" fillId="7" borderId="47" xfId="0" applyNumberFormat="1" applyFont="1" applyFill="1" applyBorder="1" applyAlignment="1">
      <alignment horizontal="center" vertical="center" wrapText="1"/>
    </xf>
    <xf numFmtId="165" fontId="5" fillId="5" borderId="57" xfId="0" applyNumberFormat="1" applyFont="1" applyFill="1" applyBorder="1" applyAlignment="1">
      <alignment horizontal="center" vertical="center" wrapText="1"/>
    </xf>
    <xf numFmtId="0" fontId="5" fillId="8" borderId="56" xfId="0" applyFont="1" applyFill="1" applyBorder="1" applyAlignment="1">
      <alignment horizontal="center" vertical="center" wrapText="1"/>
    </xf>
    <xf numFmtId="0" fontId="5" fillId="8" borderId="55" xfId="0" applyFont="1" applyFill="1" applyBorder="1" applyAlignment="1">
      <alignment horizontal="center" vertical="center" wrapText="1"/>
    </xf>
    <xf numFmtId="0" fontId="4" fillId="6" borderId="32" xfId="0" applyFont="1" applyFill="1" applyBorder="1" applyAlignment="1">
      <alignment horizontal="center" vertical="center" wrapText="1"/>
    </xf>
    <xf numFmtId="0" fontId="5" fillId="8" borderId="20" xfId="0" applyFont="1" applyFill="1" applyBorder="1" applyAlignment="1">
      <alignment horizontal="center" vertical="center" wrapText="1"/>
    </xf>
    <xf numFmtId="0" fontId="5" fillId="7" borderId="43" xfId="0" applyFont="1" applyFill="1" applyBorder="1" applyAlignment="1">
      <alignment horizontal="center" vertical="center" wrapText="1"/>
    </xf>
    <xf numFmtId="0" fontId="5" fillId="8" borderId="43" xfId="0" applyFont="1" applyFill="1" applyBorder="1" applyAlignment="1">
      <alignment horizontal="center" vertical="center" wrapText="1"/>
    </xf>
    <xf numFmtId="0" fontId="5" fillId="8" borderId="21" xfId="0" applyFont="1" applyFill="1" applyBorder="1" applyAlignment="1">
      <alignment horizontal="center" vertical="center" wrapText="1"/>
    </xf>
    <xf numFmtId="165" fontId="5" fillId="8" borderId="43" xfId="0" applyNumberFormat="1" applyFont="1" applyFill="1" applyBorder="1" applyAlignment="1">
      <alignment horizontal="center" vertical="center" wrapText="1"/>
    </xf>
    <xf numFmtId="165" fontId="5" fillId="7" borderId="52" xfId="0" applyNumberFormat="1" applyFont="1" applyFill="1" applyBorder="1" applyAlignment="1">
      <alignment horizontal="center" vertical="center" wrapText="1"/>
    </xf>
    <xf numFmtId="165" fontId="5" fillId="7" borderId="57" xfId="0" applyNumberFormat="1" applyFont="1" applyFill="1" applyBorder="1" applyAlignment="1">
      <alignment horizontal="center" vertical="center" wrapText="1"/>
    </xf>
    <xf numFmtId="0" fontId="5" fillId="7" borderId="52" xfId="0" applyFont="1" applyFill="1" applyBorder="1" applyAlignment="1">
      <alignment horizontal="center" vertical="center" wrapText="1"/>
    </xf>
    <xf numFmtId="0" fontId="3" fillId="4" borderId="3" xfId="0"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1" fontId="4" fillId="15" borderId="85" xfId="0" applyNumberFormat="1" applyFont="1" applyFill="1" applyBorder="1" applyAlignment="1" applyProtection="1">
      <alignment horizontal="center" vertical="center" wrapText="1"/>
      <protection locked="0"/>
    </xf>
    <xf numFmtId="3" fontId="4" fillId="15" borderId="85" xfId="0" applyNumberFormat="1" applyFont="1" applyFill="1" applyBorder="1" applyAlignment="1" applyProtection="1">
      <alignment horizontal="center" vertical="center" wrapText="1"/>
      <protection locked="0"/>
    </xf>
    <xf numFmtId="0" fontId="4" fillId="13" borderId="66" xfId="0" applyFont="1" applyFill="1" applyBorder="1" applyAlignment="1" applyProtection="1">
      <alignment horizontal="center" vertical="center" wrapText="1"/>
    </xf>
    <xf numFmtId="3" fontId="6" fillId="10" borderId="34" xfId="0" applyNumberFormat="1" applyFont="1" applyFill="1" applyBorder="1" applyAlignment="1">
      <alignment horizontal="center" vertical="center" wrapText="1"/>
    </xf>
    <xf numFmtId="0" fontId="13" fillId="13" borderId="19" xfId="0" applyFont="1" applyFill="1" applyBorder="1" applyAlignment="1" applyProtection="1">
      <alignment horizontal="center" vertical="center" wrapText="1"/>
    </xf>
    <xf numFmtId="0" fontId="41" fillId="18" borderId="43" xfId="9" applyFill="1" applyBorder="1" applyAlignment="1" applyProtection="1">
      <alignment horizontal="center" vertical="center" wrapText="1"/>
    </xf>
    <xf numFmtId="0" fontId="40" fillId="11" borderId="0" xfId="0" applyFont="1" applyFill="1" applyBorder="1" applyAlignment="1" applyProtection="1">
      <alignment horizontal="center" vertical="center" wrapText="1"/>
    </xf>
    <xf numFmtId="0" fontId="39" fillId="4" borderId="133" xfId="0" applyFont="1" applyFill="1" applyBorder="1" applyAlignment="1" applyProtection="1">
      <alignment horizontal="center" vertical="center" textRotation="90" wrapText="1"/>
    </xf>
    <xf numFmtId="0" fontId="39" fillId="4" borderId="41" xfId="0" applyFont="1" applyFill="1" applyBorder="1" applyAlignment="1" applyProtection="1">
      <alignment horizontal="center" vertical="center" textRotation="90" wrapText="1"/>
    </xf>
    <xf numFmtId="0" fontId="39" fillId="4" borderId="134" xfId="0" applyFont="1" applyFill="1" applyBorder="1" applyAlignment="1" applyProtection="1">
      <alignment horizontal="center" vertical="center" textRotation="90" wrapText="1"/>
    </xf>
    <xf numFmtId="0" fontId="30" fillId="11" borderId="135" xfId="0" applyFont="1" applyFill="1" applyBorder="1" applyAlignment="1" applyProtection="1">
      <alignment horizontal="center" vertical="center" wrapText="1"/>
    </xf>
    <xf numFmtId="0" fontId="7" fillId="4" borderId="34" xfId="0" applyFont="1" applyFill="1" applyBorder="1" applyAlignment="1" applyProtection="1">
      <alignment horizontal="center" vertical="center" wrapText="1"/>
    </xf>
    <xf numFmtId="0" fontId="4" fillId="13" borderId="34" xfId="0" applyFont="1" applyFill="1" applyBorder="1" applyAlignment="1" applyProtection="1">
      <alignment horizontal="center" vertical="center" wrapText="1"/>
    </xf>
    <xf numFmtId="0" fontId="4" fillId="13" borderId="41" xfId="0" applyFont="1" applyFill="1" applyBorder="1" applyAlignment="1" applyProtection="1">
      <alignment horizontal="center" vertical="center" wrapText="1"/>
    </xf>
    <xf numFmtId="0" fontId="3" fillId="4" borderId="138" xfId="0" applyFont="1" applyFill="1" applyBorder="1" applyAlignment="1" applyProtection="1">
      <alignment horizontal="center" vertical="center" wrapText="1"/>
    </xf>
    <xf numFmtId="0" fontId="3" fillId="4" borderId="132" xfId="0" applyFont="1" applyFill="1" applyBorder="1" applyAlignment="1" applyProtection="1">
      <alignment horizontal="center" vertical="center" wrapText="1"/>
    </xf>
    <xf numFmtId="0" fontId="7" fillId="4" borderId="139" xfId="0" applyFont="1" applyFill="1" applyBorder="1" applyAlignment="1" applyProtection="1">
      <alignment horizontal="center" vertical="center" wrapText="1"/>
    </xf>
    <xf numFmtId="0" fontId="7" fillId="4" borderId="140" xfId="0" applyFont="1" applyFill="1" applyBorder="1" applyAlignment="1" applyProtection="1">
      <alignment horizontal="center" vertical="center" wrapText="1"/>
    </xf>
    <xf numFmtId="0" fontId="4" fillId="13" borderId="139" xfId="0" applyFont="1" applyFill="1" applyBorder="1" applyAlignment="1" applyProtection="1">
      <alignment horizontal="center" vertical="center" wrapText="1"/>
    </xf>
    <xf numFmtId="0" fontId="4" fillId="13" borderId="140" xfId="0" applyFont="1" applyFill="1" applyBorder="1" applyAlignment="1" applyProtection="1">
      <alignment horizontal="center" vertical="center" wrapText="1"/>
    </xf>
    <xf numFmtId="0" fontId="4" fillId="13" borderId="133" xfId="0" applyFont="1" applyFill="1" applyBorder="1" applyAlignment="1" applyProtection="1">
      <alignment horizontal="center" vertical="center" wrapText="1"/>
    </xf>
    <xf numFmtId="0" fontId="4" fillId="13" borderId="134" xfId="0" applyFont="1" applyFill="1" applyBorder="1" applyAlignment="1" applyProtection="1">
      <alignment horizontal="center" vertical="center" wrapText="1"/>
    </xf>
    <xf numFmtId="0" fontId="7" fillId="11" borderId="27" xfId="0" applyFont="1" applyFill="1" applyBorder="1" applyAlignment="1" applyProtection="1">
      <alignment horizontal="center" vertical="center" wrapText="1"/>
    </xf>
    <xf numFmtId="0" fontId="4" fillId="11" borderId="65" xfId="0" applyFont="1" applyFill="1" applyBorder="1" applyAlignment="1" applyProtection="1">
      <alignment horizontal="center" vertical="center" wrapText="1"/>
    </xf>
    <xf numFmtId="0" fontId="6" fillId="11" borderId="141" xfId="0" applyFont="1" applyFill="1" applyBorder="1" applyAlignment="1" applyProtection="1">
      <alignment horizontal="center" vertical="center" wrapText="1"/>
      <protection locked="0"/>
    </xf>
    <xf numFmtId="0" fontId="6" fillId="11" borderId="141" xfId="0" applyFont="1" applyFill="1" applyBorder="1" applyAlignment="1" applyProtection="1">
      <alignment horizontal="center" vertical="center" wrapText="1"/>
    </xf>
    <xf numFmtId="165" fontId="3" fillId="4" borderId="142" xfId="0" applyNumberFormat="1" applyFont="1" applyFill="1" applyBorder="1" applyAlignment="1" applyProtection="1">
      <alignment horizontal="center" vertical="center" wrapText="1"/>
    </xf>
    <xf numFmtId="165" fontId="3" fillId="4" borderId="143" xfId="0" applyNumberFormat="1" applyFont="1" applyFill="1" applyBorder="1" applyAlignment="1" applyProtection="1">
      <alignment horizontal="center" vertical="center" wrapText="1"/>
    </xf>
    <xf numFmtId="0" fontId="13" fillId="13" borderId="144" xfId="0" applyFont="1" applyFill="1" applyBorder="1" applyAlignment="1" applyProtection="1">
      <alignment horizontal="center" vertical="center" wrapText="1"/>
    </xf>
    <xf numFmtId="0" fontId="13" fillId="13" borderId="145" xfId="0" applyFont="1" applyFill="1" applyBorder="1" applyAlignment="1" applyProtection="1">
      <alignment horizontal="center" vertical="center" wrapText="1"/>
    </xf>
    <xf numFmtId="0" fontId="13" fillId="13" borderId="146" xfId="0" applyFont="1" applyFill="1" applyBorder="1" applyAlignment="1" applyProtection="1">
      <alignment horizontal="center" vertical="center" wrapText="1"/>
    </xf>
    <xf numFmtId="0" fontId="13" fillId="11" borderId="136" xfId="0" applyFont="1" applyFill="1" applyBorder="1" applyAlignment="1" applyProtection="1">
      <alignment horizontal="center" vertical="center" wrapText="1"/>
    </xf>
    <xf numFmtId="0" fontId="6" fillId="11" borderId="147" xfId="0" applyFont="1" applyFill="1" applyBorder="1" applyAlignment="1" applyProtection="1">
      <alignment horizontal="center" vertical="center" wrapText="1"/>
      <protection locked="0"/>
    </xf>
    <xf numFmtId="0" fontId="6" fillId="11" borderId="148" xfId="0" applyFont="1" applyFill="1" applyBorder="1" applyAlignment="1" applyProtection="1">
      <alignment horizontal="center" vertical="center" wrapText="1"/>
    </xf>
    <xf numFmtId="0" fontId="6" fillId="11" borderId="0" xfId="0" applyFont="1" applyFill="1" applyBorder="1" applyAlignment="1" applyProtection="1">
      <alignment vertical="center" wrapText="1"/>
    </xf>
    <xf numFmtId="0" fontId="6" fillId="11" borderId="60" xfId="0" applyFont="1" applyFill="1" applyBorder="1" applyAlignment="1" applyProtection="1">
      <alignment vertical="center" wrapText="1"/>
    </xf>
    <xf numFmtId="0" fontId="6" fillId="11" borderId="82" xfId="0" applyFont="1" applyFill="1" applyBorder="1" applyAlignment="1" applyProtection="1">
      <alignment vertical="center" wrapText="1"/>
    </xf>
    <xf numFmtId="0" fontId="6" fillId="11" borderId="74" xfId="0" applyFont="1" applyFill="1" applyBorder="1" applyAlignment="1" applyProtection="1">
      <alignment vertical="center" wrapText="1"/>
    </xf>
    <xf numFmtId="0" fontId="30" fillId="0" borderId="0" xfId="0" applyFont="1" applyFill="1" applyBorder="1" applyAlignment="1" applyProtection="1">
      <alignment horizontal="right" vertical="center" wrapText="1"/>
    </xf>
    <xf numFmtId="0" fontId="6" fillId="0" borderId="0" xfId="0" applyFont="1" applyFill="1" applyBorder="1" applyAlignment="1" applyProtection="1">
      <alignment horizontal="left" vertical="center" wrapText="1"/>
    </xf>
    <xf numFmtId="0" fontId="12" fillId="13" borderId="1" xfId="0" applyNumberFormat="1" applyFont="1" applyFill="1" applyBorder="1" applyAlignment="1" applyProtection="1">
      <alignment horizontal="center" vertical="center" wrapText="1"/>
    </xf>
    <xf numFmtId="0" fontId="43" fillId="13" borderId="66" xfId="0" applyFont="1" applyFill="1" applyBorder="1" applyAlignment="1" applyProtection="1">
      <alignment horizontal="center" vertical="center" wrapText="1"/>
    </xf>
    <xf numFmtId="0" fontId="3" fillId="4" borderId="10" xfId="0" applyNumberFormat="1" applyFont="1" applyFill="1" applyBorder="1" applyAlignment="1" applyProtection="1">
      <alignment vertical="center" wrapText="1"/>
    </xf>
    <xf numFmtId="0" fontId="44" fillId="14" borderId="0" xfId="0" applyFont="1" applyFill="1" applyAlignment="1" applyProtection="1">
      <alignment vertical="center" wrapText="1"/>
    </xf>
    <xf numFmtId="3" fontId="44" fillId="14" borderId="0" xfId="0" applyNumberFormat="1" applyFont="1" applyFill="1" applyAlignment="1" applyProtection="1">
      <alignment vertical="center" wrapText="1"/>
    </xf>
    <xf numFmtId="0" fontId="45" fillId="14" borderId="0" xfId="0" applyFont="1" applyFill="1" applyAlignment="1" applyProtection="1">
      <alignment vertical="center" wrapText="1"/>
    </xf>
    <xf numFmtId="0" fontId="3" fillId="4" borderId="81" xfId="0" applyNumberFormat="1" applyFont="1" applyFill="1" applyBorder="1" applyAlignment="1" applyProtection="1">
      <alignment horizontal="center" vertical="center" wrapText="1"/>
    </xf>
    <xf numFmtId="3" fontId="4" fillId="15" borderId="155" xfId="0" applyNumberFormat="1" applyFont="1" applyFill="1" applyBorder="1" applyAlignment="1" applyProtection="1">
      <alignment horizontal="center" vertical="center" wrapText="1"/>
      <protection locked="0"/>
    </xf>
    <xf numFmtId="3" fontId="4" fillId="15" borderId="156" xfId="0" applyNumberFormat="1" applyFont="1" applyFill="1" applyBorder="1" applyAlignment="1" applyProtection="1">
      <alignment horizontal="center" vertical="center" wrapText="1"/>
      <protection locked="0"/>
    </xf>
    <xf numFmtId="0" fontId="44" fillId="14" borderId="0" xfId="0" applyFont="1" applyFill="1" applyAlignment="1" applyProtection="1">
      <alignment horizontal="center" vertical="center" wrapText="1"/>
    </xf>
    <xf numFmtId="0" fontId="3" fillId="4" borderId="23" xfId="0" applyFont="1" applyFill="1" applyBorder="1" applyAlignment="1" applyProtection="1">
      <alignment horizontal="center" vertical="center" wrapText="1"/>
    </xf>
    <xf numFmtId="3" fontId="6" fillId="32" borderId="3" xfId="0" applyNumberFormat="1" applyFont="1" applyFill="1" applyBorder="1" applyAlignment="1" applyProtection="1">
      <alignment horizontal="center" vertical="center" wrapText="1"/>
    </xf>
    <xf numFmtId="0" fontId="6" fillId="15" borderId="69" xfId="0" applyFont="1" applyFill="1" applyBorder="1" applyAlignment="1">
      <alignment horizontal="center" vertical="center" wrapText="1"/>
    </xf>
    <xf numFmtId="0" fontId="6" fillId="15" borderId="41" xfId="0" applyFont="1" applyFill="1" applyBorder="1" applyAlignment="1">
      <alignment horizontal="center" vertical="center" wrapText="1"/>
    </xf>
    <xf numFmtId="0" fontId="6" fillId="15" borderId="70" xfId="0" applyFont="1" applyFill="1" applyBorder="1" applyAlignment="1">
      <alignment horizontal="center" vertical="center" wrapText="1"/>
    </xf>
    <xf numFmtId="0" fontId="15" fillId="12" borderId="46" xfId="0" applyFont="1" applyFill="1" applyBorder="1" applyAlignment="1">
      <alignment horizontal="center" vertical="center" wrapText="1"/>
    </xf>
    <xf numFmtId="0" fontId="15" fillId="12" borderId="16" xfId="0" applyFont="1" applyFill="1" applyBorder="1" applyAlignment="1">
      <alignment horizontal="center" vertical="center" wrapText="1"/>
    </xf>
    <xf numFmtId="3" fontId="13" fillId="10" borderId="32" xfId="0" applyNumberFormat="1" applyFont="1" applyFill="1" applyBorder="1" applyAlignment="1">
      <alignment horizontal="center" vertical="center" wrapText="1"/>
    </xf>
    <xf numFmtId="3" fontId="13" fillId="24" borderId="54" xfId="0" applyNumberFormat="1" applyFont="1" applyFill="1" applyBorder="1" applyAlignment="1">
      <alignment horizontal="center" vertical="center" wrapText="1"/>
    </xf>
    <xf numFmtId="3" fontId="3" fillId="3" borderId="20" xfId="0" applyNumberFormat="1" applyFont="1" applyFill="1" applyBorder="1" applyAlignment="1">
      <alignment horizontal="center" vertical="center" wrapText="1"/>
    </xf>
    <xf numFmtId="3" fontId="13" fillId="10" borderId="33" xfId="0" applyNumberFormat="1" applyFont="1" applyFill="1" applyBorder="1" applyAlignment="1" applyProtection="1">
      <alignment horizontal="center" vertical="center" wrapText="1"/>
    </xf>
    <xf numFmtId="3" fontId="13" fillId="24" borderId="44" xfId="0" applyNumberFormat="1" applyFont="1" applyFill="1" applyBorder="1" applyAlignment="1">
      <alignment horizontal="center" vertical="center" wrapText="1"/>
    </xf>
    <xf numFmtId="3" fontId="3" fillId="3" borderId="21" xfId="0" applyNumberFormat="1" applyFont="1" applyFill="1" applyBorder="1" applyAlignment="1">
      <alignment horizontal="center" vertical="center" wrapText="1"/>
    </xf>
    <xf numFmtId="0" fontId="0" fillId="4" borderId="0" xfId="0" applyFill="1" applyAlignment="1" applyProtection="1">
      <alignment vertical="center" wrapText="1"/>
    </xf>
    <xf numFmtId="0" fontId="14" fillId="14" borderId="0" xfId="0" applyFont="1" applyFill="1" applyAlignment="1">
      <alignment horizontal="center" vertical="center" wrapText="1"/>
    </xf>
    <xf numFmtId="0" fontId="38" fillId="14" borderId="0" xfId="2" applyFont="1" applyFill="1" applyBorder="1" applyAlignment="1">
      <alignment horizontal="center" vertical="center" wrapText="1"/>
    </xf>
    <xf numFmtId="0" fontId="38" fillId="23" borderId="11" xfId="2" applyFont="1" applyFill="1" applyBorder="1" applyAlignment="1">
      <alignment horizontal="center" vertical="center" wrapText="1"/>
    </xf>
    <xf numFmtId="0" fontId="38" fillId="23" borderId="0" xfId="2" applyFont="1" applyFill="1" applyBorder="1" applyAlignment="1">
      <alignment horizontal="center" vertical="center" wrapText="1"/>
    </xf>
    <xf numFmtId="0" fontId="4" fillId="0" borderId="0" xfId="0" applyFont="1" applyFill="1" applyAlignment="1">
      <alignment horizontal="center" vertical="center" wrapText="1"/>
    </xf>
    <xf numFmtId="0" fontId="3" fillId="4" borderId="32" xfId="0" applyFont="1" applyFill="1" applyBorder="1" applyAlignment="1">
      <alignment horizontal="center" vertical="center" wrapText="1"/>
    </xf>
    <xf numFmtId="0" fontId="3" fillId="4" borderId="20" xfId="0" applyFont="1" applyFill="1" applyBorder="1" applyAlignment="1">
      <alignment horizontal="center" vertical="center" wrapText="1"/>
    </xf>
    <xf numFmtId="3" fontId="6" fillId="10" borderId="75" xfId="0" applyNumberFormat="1"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3" fillId="4" borderId="50" xfId="0" applyFont="1" applyFill="1" applyBorder="1" applyAlignment="1">
      <alignment horizontal="center" vertical="center" wrapText="1"/>
    </xf>
    <xf numFmtId="0" fontId="3" fillId="4" borderId="45" xfId="0" applyFont="1" applyFill="1" applyBorder="1" applyAlignment="1">
      <alignment horizontal="center" vertical="center" wrapText="1"/>
    </xf>
    <xf numFmtId="0" fontId="7" fillId="4" borderId="161" xfId="0" applyFont="1" applyFill="1" applyBorder="1" applyAlignment="1">
      <alignment horizontal="center" vertical="center" wrapText="1"/>
    </xf>
    <xf numFmtId="0" fontId="0" fillId="14" borderId="0" xfId="0" applyFill="1"/>
    <xf numFmtId="0" fontId="6" fillId="12" borderId="34" xfId="10" applyNumberFormat="1" applyFont="1" applyFill="1" applyBorder="1" applyAlignment="1">
      <alignment horizontal="center" vertical="center" wrapText="1"/>
    </xf>
    <xf numFmtId="0" fontId="6" fillId="12" borderId="54" xfId="10" applyNumberFormat="1" applyFont="1" applyFill="1" applyBorder="1" applyAlignment="1">
      <alignment horizontal="center" vertical="center" wrapText="1"/>
    </xf>
    <xf numFmtId="0" fontId="6" fillId="12" borderId="44" xfId="10" applyNumberFormat="1" applyFont="1" applyFill="1" applyBorder="1" applyAlignment="1">
      <alignment horizontal="center" vertical="center" wrapText="1"/>
    </xf>
    <xf numFmtId="0" fontId="4" fillId="20" borderId="54" xfId="0" applyNumberFormat="1" applyFont="1" applyFill="1" applyBorder="1" applyAlignment="1">
      <alignment horizontal="center" vertical="center" wrapText="1"/>
    </xf>
    <xf numFmtId="0" fontId="4" fillId="20" borderId="34" xfId="0" applyNumberFormat="1" applyFont="1" applyFill="1" applyBorder="1" applyAlignment="1">
      <alignment horizontal="center" vertical="center" wrapText="1"/>
    </xf>
    <xf numFmtId="0" fontId="4" fillId="20" borderId="44"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0" fontId="7" fillId="4" borderId="68" xfId="0" applyFont="1" applyFill="1" applyBorder="1" applyAlignment="1">
      <alignment horizontal="center" vertical="center" wrapText="1"/>
    </xf>
    <xf numFmtId="0" fontId="0" fillId="0" borderId="0" xfId="0" applyFill="1" applyBorder="1"/>
    <xf numFmtId="0" fontId="3" fillId="4" borderId="3"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27" fillId="10" borderId="81" xfId="0" applyFont="1" applyFill="1" applyBorder="1" applyAlignment="1" applyProtection="1">
      <alignment horizontal="center" vertical="center" wrapText="1"/>
    </xf>
    <xf numFmtId="0" fontId="27" fillId="24" borderId="81" xfId="0"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0" fontId="3" fillId="4" borderId="17" xfId="0" applyFont="1" applyFill="1" applyBorder="1" applyAlignment="1" applyProtection="1">
      <alignment horizontal="center" vertical="center" wrapText="1"/>
    </xf>
    <xf numFmtId="0" fontId="3" fillId="4" borderId="22"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4" borderId="24" xfId="0" applyFont="1" applyFill="1" applyBorder="1" applyAlignment="1">
      <alignment horizontal="center" vertical="center"/>
    </xf>
    <xf numFmtId="0" fontId="6" fillId="12" borderId="56" xfId="10" applyNumberFormat="1" applyFont="1" applyFill="1" applyBorder="1" applyAlignment="1">
      <alignment horizontal="center" vertical="center" wrapText="1"/>
    </xf>
    <xf numFmtId="0" fontId="6" fillId="12" borderId="39" xfId="10" applyNumberFormat="1" applyFont="1" applyFill="1" applyBorder="1" applyAlignment="1">
      <alignment horizontal="center" vertical="center" wrapText="1"/>
    </xf>
    <xf numFmtId="0" fontId="6" fillId="12" borderId="55" xfId="10" applyNumberFormat="1" applyFont="1" applyFill="1" applyBorder="1" applyAlignment="1">
      <alignment horizontal="center" vertical="center" wrapText="1"/>
    </xf>
    <xf numFmtId="2" fontId="6" fillId="12" borderId="32" xfId="0" applyNumberFormat="1" applyFont="1" applyFill="1" applyBorder="1" applyAlignment="1">
      <alignment horizontal="center" vertical="center" wrapText="1"/>
    </xf>
    <xf numFmtId="2" fontId="6" fillId="12" borderId="51" xfId="0" applyNumberFormat="1" applyFont="1" applyFill="1" applyBorder="1" applyAlignment="1">
      <alignment horizontal="center" vertical="center" wrapText="1"/>
    </xf>
    <xf numFmtId="0" fontId="3" fillId="4" borderId="34" xfId="0" applyFont="1" applyFill="1" applyBorder="1" applyAlignment="1">
      <alignment horizontal="center" vertical="center" wrapText="1"/>
    </xf>
    <xf numFmtId="2" fontId="6" fillId="12" borderId="33" xfId="0" applyNumberFormat="1" applyFont="1" applyFill="1" applyBorder="1" applyAlignment="1">
      <alignment horizontal="center" vertical="center" wrapText="1"/>
    </xf>
    <xf numFmtId="0" fontId="3" fillId="4" borderId="44" xfId="0" applyFont="1" applyFill="1" applyBorder="1" applyAlignment="1">
      <alignment horizontal="center" vertical="center" wrapText="1"/>
    </xf>
    <xf numFmtId="0" fontId="0" fillId="14" borderId="0" xfId="0" applyFill="1" applyBorder="1"/>
    <xf numFmtId="0" fontId="0" fillId="0" borderId="0" xfId="0" applyBorder="1"/>
    <xf numFmtId="0" fontId="3" fillId="4" borderId="1" xfId="0" applyFont="1" applyFill="1" applyBorder="1" applyAlignment="1">
      <alignment horizontal="center" vertical="center" wrapText="1"/>
    </xf>
    <xf numFmtId="0" fontId="4" fillId="20" borderId="3" xfId="0" applyNumberFormat="1" applyFont="1" applyFill="1" applyBorder="1" applyAlignment="1">
      <alignment horizontal="center" vertical="center" wrapText="1"/>
    </xf>
    <xf numFmtId="0" fontId="6" fillId="12" borderId="3" xfId="10" applyNumberFormat="1" applyFont="1" applyFill="1" applyBorder="1" applyAlignment="1">
      <alignment horizontal="center" vertical="center" wrapText="1"/>
    </xf>
    <xf numFmtId="2" fontId="6" fillId="12" borderId="4" xfId="0" applyNumberFormat="1" applyFont="1" applyFill="1" applyBorder="1" applyAlignment="1">
      <alignment horizontal="center" vertical="center" wrapText="1"/>
    </xf>
    <xf numFmtId="0" fontId="4" fillId="20" borderId="36" xfId="0" applyNumberFormat="1" applyFont="1" applyFill="1" applyBorder="1" applyAlignment="1">
      <alignment horizontal="center" vertical="center" wrapText="1"/>
    </xf>
    <xf numFmtId="0" fontId="6" fillId="12" borderId="36" xfId="10" applyNumberFormat="1" applyFont="1" applyFill="1" applyBorder="1" applyAlignment="1">
      <alignment horizontal="center" vertical="center" wrapText="1"/>
    </xf>
    <xf numFmtId="0" fontId="7" fillId="4" borderId="30" xfId="0" applyFont="1" applyFill="1" applyBorder="1" applyAlignment="1">
      <alignment horizontal="center" vertical="center" wrapText="1"/>
    </xf>
    <xf numFmtId="0" fontId="0" fillId="14" borderId="0" xfId="0" applyFill="1" applyAlignment="1">
      <alignment vertical="center"/>
    </xf>
    <xf numFmtId="3" fontId="6" fillId="24" borderId="34" xfId="0" applyNumberFormat="1"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7" fillId="14" borderId="0" xfId="0" applyFont="1" applyFill="1" applyAlignment="1" applyProtection="1">
      <alignment horizontal="center" vertical="center" wrapText="1"/>
    </xf>
    <xf numFmtId="0" fontId="6" fillId="14" borderId="23" xfId="0" applyFont="1" applyFill="1" applyBorder="1" applyAlignment="1" applyProtection="1">
      <alignment horizontal="center" vertical="center" wrapText="1"/>
    </xf>
    <xf numFmtId="0" fontId="6" fillId="14" borderId="24" xfId="0" applyFont="1" applyFill="1" applyBorder="1" applyAlignment="1" applyProtection="1">
      <alignment horizontal="center" vertical="center" wrapText="1"/>
    </xf>
    <xf numFmtId="0" fontId="6" fillId="14" borderId="22" xfId="0" applyFont="1" applyFill="1" applyBorder="1" applyAlignment="1" applyProtection="1">
      <alignment horizontal="center" vertical="center" wrapText="1"/>
    </xf>
    <xf numFmtId="0" fontId="3" fillId="4" borderId="26" xfId="0" applyFont="1" applyFill="1" applyBorder="1" applyAlignment="1" applyProtection="1">
      <alignment horizontal="center" vertical="center" wrapText="1"/>
    </xf>
    <xf numFmtId="0" fontId="3" fillId="4" borderId="32" xfId="0" applyFont="1" applyFill="1" applyBorder="1" applyAlignment="1">
      <alignment horizontal="center" vertical="center" wrapText="1"/>
    </xf>
    <xf numFmtId="0" fontId="3" fillId="4" borderId="24" xfId="0" applyFont="1" applyFill="1" applyBorder="1" applyAlignment="1">
      <alignment horizontal="center" vertical="center"/>
    </xf>
    <xf numFmtId="0" fontId="3" fillId="4" borderId="1" xfId="0" applyFont="1" applyFill="1" applyBorder="1" applyAlignment="1">
      <alignment horizontal="center" vertical="center" wrapText="1"/>
    </xf>
    <xf numFmtId="3" fontId="15" fillId="10" borderId="51" xfId="0" applyNumberFormat="1" applyFont="1" applyFill="1" applyBorder="1" applyAlignment="1">
      <alignment horizontal="center" vertical="center" wrapText="1"/>
    </xf>
    <xf numFmtId="3" fontId="15" fillId="33" borderId="51" xfId="0" applyNumberFormat="1" applyFont="1" applyFill="1" applyBorder="1" applyAlignment="1">
      <alignment horizontal="center" vertical="center" wrapText="1"/>
    </xf>
    <xf numFmtId="3" fontId="15" fillId="19" borderId="51" xfId="0" applyNumberFormat="1" applyFont="1" applyFill="1" applyBorder="1" applyAlignment="1">
      <alignment horizontal="center" vertical="center" wrapText="1"/>
    </xf>
    <xf numFmtId="3" fontId="15" fillId="24" borderId="51" xfId="0" applyNumberFormat="1" applyFont="1" applyFill="1" applyBorder="1" applyAlignment="1">
      <alignment horizontal="center" vertical="center" wrapText="1"/>
    </xf>
    <xf numFmtId="3" fontId="15" fillId="34" borderId="51" xfId="0" applyNumberFormat="1" applyFont="1" applyFill="1" applyBorder="1" applyAlignment="1">
      <alignment horizontal="center" vertical="center" wrapText="1"/>
    </xf>
    <xf numFmtId="3" fontId="3" fillId="3" borderId="51" xfId="0" applyNumberFormat="1" applyFont="1" applyFill="1" applyBorder="1" applyAlignment="1">
      <alignment horizontal="center" vertical="center" wrapText="1"/>
    </xf>
    <xf numFmtId="3" fontId="3" fillId="4" borderId="39" xfId="0" applyNumberFormat="1" applyFont="1" applyFill="1" applyBorder="1" applyAlignment="1">
      <alignment horizontal="center" vertical="center" wrapText="1"/>
    </xf>
    <xf numFmtId="3" fontId="6" fillId="10" borderId="51" xfId="0" quotePrefix="1" applyNumberFormat="1" applyFont="1" applyFill="1" applyBorder="1" applyAlignment="1">
      <alignment horizontal="center" vertical="center" wrapText="1"/>
    </xf>
    <xf numFmtId="3" fontId="7" fillId="3" borderId="39" xfId="0" quotePrefix="1" applyNumberFormat="1" applyFont="1" applyFill="1" applyBorder="1" applyAlignment="1">
      <alignment horizontal="center" vertical="center" wrapText="1"/>
    </xf>
    <xf numFmtId="0" fontId="4" fillId="6" borderId="36" xfId="0" applyNumberFormat="1" applyFont="1" applyFill="1" applyBorder="1" applyAlignment="1">
      <alignment horizontal="center" vertical="center" wrapText="1"/>
    </xf>
    <xf numFmtId="0" fontId="5" fillId="5" borderId="36" xfId="0" applyNumberFormat="1" applyFont="1" applyFill="1" applyBorder="1" applyAlignment="1">
      <alignment horizontal="center" vertical="center" wrapText="1"/>
    </xf>
    <xf numFmtId="0" fontId="4" fillId="8" borderId="36" xfId="0" applyNumberFormat="1" applyFont="1" applyFill="1" applyBorder="1" applyAlignment="1">
      <alignment horizontal="center" vertical="center" wrapText="1"/>
    </xf>
    <xf numFmtId="0" fontId="5" fillId="7" borderId="36" xfId="0" applyNumberFormat="1" applyFont="1" applyFill="1" applyBorder="1" applyAlignment="1">
      <alignment horizontal="center" vertical="center" wrapText="1"/>
    </xf>
    <xf numFmtId="0" fontId="4" fillId="11" borderId="80" xfId="0" applyFont="1" applyFill="1" applyBorder="1" applyAlignment="1" applyProtection="1">
      <alignment horizontal="center" vertical="center" wrapText="1"/>
    </xf>
    <xf numFmtId="0" fontId="4" fillId="11" borderId="18" xfId="0" applyFont="1" applyFill="1" applyBorder="1" applyAlignment="1" applyProtection="1">
      <alignment horizontal="center" vertical="center" wrapText="1"/>
    </xf>
    <xf numFmtId="0" fontId="4" fillId="11" borderId="68" xfId="0" applyFont="1" applyFill="1" applyBorder="1" applyAlignment="1" applyProtection="1">
      <alignment horizontal="center" vertical="center" wrapText="1"/>
    </xf>
    <xf numFmtId="0" fontId="4" fillId="11" borderId="34" xfId="0" applyFont="1" applyFill="1" applyBorder="1" applyAlignment="1" applyProtection="1">
      <alignment horizontal="center" vertical="center" wrapText="1"/>
    </xf>
    <xf numFmtId="0" fontId="4" fillId="11" borderId="44" xfId="0" applyFont="1" applyFill="1" applyBorder="1" applyAlignment="1" applyProtection="1">
      <alignment horizontal="center" vertical="center" wrapText="1"/>
    </xf>
    <xf numFmtId="166" fontId="13" fillId="13" borderId="47" xfId="0" applyNumberFormat="1" applyFont="1" applyFill="1" applyBorder="1" applyAlignment="1" applyProtection="1">
      <alignment horizontal="center" vertical="center" wrapText="1"/>
    </xf>
    <xf numFmtId="2" fontId="13" fillId="12" borderId="47" xfId="0" applyNumberFormat="1" applyFont="1" applyFill="1" applyBorder="1" applyAlignment="1" applyProtection="1">
      <alignment horizontal="center" vertical="center" wrapText="1"/>
    </xf>
    <xf numFmtId="46" fontId="6" fillId="12" borderId="57" xfId="0" applyNumberFormat="1" applyFont="1" applyFill="1" applyBorder="1" applyAlignment="1" applyProtection="1">
      <alignment horizontal="center" vertical="center" wrapText="1"/>
    </xf>
    <xf numFmtId="166" fontId="6" fillId="13" borderId="54" xfId="0" applyNumberFormat="1" applyFont="1" applyFill="1" applyBorder="1" applyAlignment="1" applyProtection="1">
      <alignment horizontal="center" vertical="center" wrapText="1"/>
    </xf>
    <xf numFmtId="2" fontId="6" fillId="12" borderId="54" xfId="0" applyNumberFormat="1" applyFont="1" applyFill="1" applyBorder="1" applyAlignment="1" applyProtection="1">
      <alignment horizontal="center" vertical="center" wrapText="1"/>
    </xf>
    <xf numFmtId="46" fontId="6" fillId="12" borderId="20" xfId="0" applyNumberFormat="1" applyFont="1" applyFill="1" applyBorder="1" applyAlignment="1" applyProtection="1">
      <alignment horizontal="center" vertical="center" wrapText="1"/>
    </xf>
    <xf numFmtId="2" fontId="6" fillId="12" borderId="44" xfId="0" applyNumberFormat="1" applyFont="1" applyFill="1" applyBorder="1" applyAlignment="1" applyProtection="1">
      <alignment horizontal="center" vertical="center" wrapText="1"/>
    </xf>
    <xf numFmtId="46" fontId="6" fillId="12" borderId="21" xfId="0" applyNumberFormat="1" applyFont="1" applyFill="1" applyBorder="1" applyAlignment="1" applyProtection="1">
      <alignment horizontal="center" vertical="center" wrapText="1"/>
    </xf>
    <xf numFmtId="0" fontId="13" fillId="13" borderId="46"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166" fontId="6" fillId="13" borderId="44" xfId="0" applyNumberFormat="1" applyFont="1" applyFill="1" applyBorder="1" applyAlignment="1" applyProtection="1">
      <alignment horizontal="center" vertical="center" wrapText="1"/>
    </xf>
    <xf numFmtId="2" fontId="44" fillId="14" borderId="0" xfId="0" applyNumberFormat="1" applyFont="1" applyFill="1" applyAlignment="1" applyProtection="1">
      <alignment horizontal="center" vertical="center" wrapText="1"/>
    </xf>
    <xf numFmtId="3" fontId="6" fillId="20" borderId="54" xfId="0" applyNumberFormat="1" applyFont="1" applyFill="1" applyBorder="1" applyAlignment="1" applyProtection="1">
      <alignment horizontal="center" vertical="center" wrapText="1"/>
    </xf>
    <xf numFmtId="2" fontId="6" fillId="12" borderId="56" xfId="0" applyNumberFormat="1" applyFont="1" applyFill="1" applyBorder="1" applyAlignment="1" applyProtection="1">
      <alignment horizontal="center" vertical="center" wrapText="1"/>
    </xf>
    <xf numFmtId="3" fontId="13" fillId="3" borderId="54" xfId="0" applyNumberFormat="1" applyFont="1" applyFill="1" applyBorder="1" applyAlignment="1" applyProtection="1">
      <alignment horizontal="center" vertical="center" wrapText="1"/>
    </xf>
    <xf numFmtId="3" fontId="13" fillId="3" borderId="34" xfId="0" applyNumberFormat="1" applyFont="1" applyFill="1" applyBorder="1" applyAlignment="1" applyProtection="1">
      <alignment horizontal="center" vertical="center" wrapText="1"/>
    </xf>
    <xf numFmtId="3" fontId="13" fillId="3" borderId="44" xfId="0" applyNumberFormat="1" applyFont="1" applyFill="1" applyBorder="1" applyAlignment="1" applyProtection="1">
      <alignment horizontal="center" vertical="center" wrapText="1"/>
    </xf>
    <xf numFmtId="3" fontId="4" fillId="24" borderId="34" xfId="0" applyNumberFormat="1" applyFont="1" applyFill="1" applyBorder="1" applyAlignment="1" applyProtection="1">
      <alignment horizontal="center" vertical="center" wrapText="1"/>
    </xf>
    <xf numFmtId="0" fontId="6" fillId="15" borderId="89" xfId="0" applyFont="1" applyFill="1" applyBorder="1" applyAlignment="1" applyProtection="1">
      <alignment horizontal="center" vertical="center" wrapText="1"/>
    </xf>
    <xf numFmtId="0" fontId="6" fillId="15" borderId="91" xfId="0" applyFont="1" applyFill="1" applyBorder="1" applyAlignment="1" applyProtection="1">
      <alignment horizontal="center" vertical="center" wrapText="1"/>
    </xf>
    <xf numFmtId="0" fontId="6" fillId="11" borderId="82" xfId="0" applyFont="1" applyFill="1" applyBorder="1" applyAlignment="1" applyProtection="1">
      <alignment horizontal="center" vertical="center" wrapText="1"/>
      <protection locked="0"/>
    </xf>
    <xf numFmtId="0" fontId="6" fillId="11" borderId="27" xfId="0" applyFont="1" applyFill="1" applyBorder="1" applyAlignment="1" applyProtection="1">
      <alignment horizontal="center" vertical="center" wrapText="1"/>
      <protection locked="0"/>
    </xf>
    <xf numFmtId="0" fontId="6" fillId="15" borderId="163" xfId="0" applyFont="1" applyFill="1" applyBorder="1" applyAlignment="1" applyProtection="1">
      <alignment horizontal="center" vertical="center" wrapText="1"/>
      <protection locked="0"/>
    </xf>
    <xf numFmtId="0" fontId="6" fillId="15" borderId="38" xfId="0" applyFont="1" applyFill="1" applyBorder="1" applyAlignment="1" applyProtection="1">
      <alignment horizontal="center" vertical="center" wrapText="1"/>
      <protection locked="0"/>
    </xf>
    <xf numFmtId="0" fontId="6" fillId="15" borderId="164" xfId="0" applyFont="1" applyFill="1" applyBorder="1" applyAlignment="1" applyProtection="1">
      <alignment horizontal="center" vertical="center" wrapText="1"/>
      <protection locked="0"/>
    </xf>
    <xf numFmtId="0" fontId="6" fillId="15" borderId="87" xfId="0" applyFont="1" applyFill="1" applyBorder="1" applyAlignment="1" applyProtection="1">
      <alignment horizontal="center" vertical="center" wrapText="1"/>
    </xf>
    <xf numFmtId="0" fontId="6" fillId="14" borderId="15" xfId="0" applyFont="1" applyFill="1" applyBorder="1" applyAlignment="1" applyProtection="1">
      <alignment horizontal="center" vertical="center" wrapText="1"/>
    </xf>
    <xf numFmtId="0" fontId="6" fillId="14" borderId="16" xfId="0"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0" fontId="3" fillId="4" borderId="17" xfId="0" applyFont="1" applyFill="1" applyBorder="1" applyAlignment="1" applyProtection="1">
      <alignment horizontal="center" vertical="center" wrapText="1"/>
    </xf>
    <xf numFmtId="0" fontId="3" fillId="4" borderId="73" xfId="0" applyFont="1" applyFill="1" applyBorder="1" applyAlignment="1" applyProtection="1">
      <alignment horizontal="center" vertical="center" wrapText="1"/>
    </xf>
    <xf numFmtId="3" fontId="12" fillId="4" borderId="2" xfId="0" applyNumberFormat="1"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3" fillId="4" borderId="5" xfId="2" applyFont="1" applyFill="1" applyBorder="1" applyAlignment="1">
      <alignment horizontal="center" vertical="center" wrapText="1"/>
    </xf>
    <xf numFmtId="0" fontId="3" fillId="4" borderId="3" xfId="0" applyFont="1" applyFill="1" applyBorder="1" applyAlignment="1">
      <alignment horizontal="center" vertical="center" wrapText="1"/>
    </xf>
    <xf numFmtId="179" fontId="3" fillId="4" borderId="32" xfId="0" applyNumberFormat="1" applyFont="1" applyFill="1" applyBorder="1" applyAlignment="1">
      <alignment horizontal="center" vertical="center" wrapText="1"/>
    </xf>
    <xf numFmtId="179" fontId="3" fillId="4" borderId="56" xfId="0" applyNumberFormat="1" applyFont="1" applyFill="1" applyBorder="1" applyAlignment="1">
      <alignment horizontal="center" vertical="center" wrapText="1"/>
    </xf>
    <xf numFmtId="179" fontId="3" fillId="4" borderId="51" xfId="0" applyNumberFormat="1" applyFont="1" applyFill="1" applyBorder="1" applyAlignment="1">
      <alignment horizontal="center" vertical="center" wrapText="1"/>
    </xf>
    <xf numFmtId="179" fontId="3" fillId="4" borderId="39" xfId="0" applyNumberFormat="1"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63"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3" fillId="4" borderId="3" xfId="2" applyFont="1" applyFill="1" applyBorder="1" applyAlignment="1">
      <alignment horizontal="center" vertical="center" wrapText="1"/>
    </xf>
    <xf numFmtId="3" fontId="6" fillId="10" borderId="54"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20"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3" xfId="0" applyNumberFormat="1" applyFont="1" applyFill="1" applyBorder="1" applyAlignment="1">
      <alignment horizontal="center" vertical="center" wrapText="1"/>
    </xf>
    <xf numFmtId="0" fontId="1" fillId="4" borderId="22"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0" fillId="0" borderId="12" xfId="0" applyBorder="1" applyAlignment="1">
      <alignment horizontal="center" vertical="center" wrapText="1"/>
    </xf>
    <xf numFmtId="0" fontId="12" fillId="4" borderId="63" xfId="0" applyFont="1" applyFill="1" applyBorder="1" applyAlignment="1">
      <alignment horizontal="center" vertical="center" wrapText="1"/>
    </xf>
    <xf numFmtId="0" fontId="0" fillId="0" borderId="0" xfId="0" applyBorder="1" applyAlignment="1">
      <alignment horizontal="center" vertical="center" wrapText="1"/>
    </xf>
    <xf numFmtId="179" fontId="3" fillId="4" borderId="33" xfId="0" applyNumberFormat="1" applyFont="1" applyFill="1" applyBorder="1" applyAlignment="1">
      <alignment horizontal="center" vertical="center" wrapText="1"/>
    </xf>
    <xf numFmtId="179" fontId="3" fillId="4" borderId="55" xfId="0" applyNumberFormat="1" applyFont="1" applyFill="1" applyBorder="1" applyAlignment="1">
      <alignment horizontal="center" vertical="center" wrapText="1"/>
    </xf>
    <xf numFmtId="3" fontId="6" fillId="10" borderId="4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3" fontId="6" fillId="24" borderId="21" xfId="0" applyNumberFormat="1" applyFont="1" applyFill="1" applyBorder="1" applyAlignment="1">
      <alignment horizontal="center" vertical="center" wrapText="1"/>
    </xf>
    <xf numFmtId="0" fontId="3" fillId="4" borderId="4" xfId="0" applyFont="1" applyFill="1" applyBorder="1" applyAlignment="1">
      <alignment horizontal="center" vertical="center" wrapText="1"/>
    </xf>
    <xf numFmtId="3" fontId="7" fillId="3" borderId="50" xfId="0" applyNumberFormat="1" applyFont="1" applyFill="1" applyBorder="1" applyAlignment="1">
      <alignment horizontal="center" vertical="center" wrapText="1"/>
    </xf>
    <xf numFmtId="3" fontId="7" fillId="3" borderId="20"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3" fontId="7" fillId="3" borderId="43" xfId="0" applyNumberFormat="1" applyFont="1" applyFill="1" applyBorder="1" applyAlignment="1">
      <alignment horizontal="center" vertical="center" wrapText="1"/>
    </xf>
    <xf numFmtId="0" fontId="3" fillId="4" borderId="2" xfId="0" applyFont="1" applyFill="1" applyBorder="1" applyAlignment="1">
      <alignment horizontal="center" vertical="center" wrapText="1"/>
    </xf>
    <xf numFmtId="0" fontId="4" fillId="14" borderId="11" xfId="4" applyFont="1" applyFill="1" applyBorder="1" applyAlignment="1">
      <alignment horizontal="left" vertical="center" wrapText="1"/>
    </xf>
    <xf numFmtId="0" fontId="0" fillId="0" borderId="11" xfId="0" applyBorder="1" applyAlignment="1">
      <alignment vertical="center" wrapText="1"/>
    </xf>
    <xf numFmtId="0" fontId="0" fillId="0" borderId="12" xfId="0" applyBorder="1" applyAlignment="1">
      <alignment vertical="center" wrapText="1"/>
    </xf>
    <xf numFmtId="0" fontId="34" fillId="14" borderId="0" xfId="4" applyFont="1" applyFill="1" applyBorder="1" applyAlignment="1">
      <alignment horizontal="left" vertical="center" wrapText="1"/>
    </xf>
    <xf numFmtId="0" fontId="35" fillId="0" borderId="0" xfId="0" applyFont="1" applyBorder="1" applyAlignment="1">
      <alignment vertical="center" wrapText="1"/>
    </xf>
    <xf numFmtId="0" fontId="35" fillId="0" borderId="13" xfId="0" applyFont="1" applyBorder="1" applyAlignment="1">
      <alignment vertical="center" wrapText="1"/>
    </xf>
    <xf numFmtId="0" fontId="34" fillId="14" borderId="15" xfId="2" applyFont="1" applyFill="1" applyBorder="1" applyAlignment="1">
      <alignment horizontal="left" vertical="center" wrapText="1"/>
    </xf>
    <xf numFmtId="0" fontId="35" fillId="0" borderId="15" xfId="0" applyFont="1" applyBorder="1" applyAlignment="1">
      <alignment vertical="center" wrapText="1"/>
    </xf>
    <xf numFmtId="0" fontId="4" fillId="14" borderId="0" xfId="4" applyFont="1" applyFill="1" applyBorder="1" applyAlignment="1">
      <alignment horizontal="left" vertical="center" wrapText="1"/>
    </xf>
    <xf numFmtId="0" fontId="0" fillId="0" borderId="0" xfId="0" applyBorder="1" applyAlignment="1">
      <alignment vertical="center" wrapText="1"/>
    </xf>
    <xf numFmtId="0" fontId="6" fillId="0" borderId="0" xfId="0" applyFont="1" applyBorder="1" applyAlignment="1">
      <alignment vertical="center" wrapText="1"/>
    </xf>
    <xf numFmtId="0" fontId="35" fillId="0" borderId="16" xfId="0" applyFont="1" applyBorder="1" applyAlignment="1">
      <alignment vertical="center" wrapText="1"/>
    </xf>
    <xf numFmtId="3" fontId="7" fillId="3" borderId="45" xfId="0" applyNumberFormat="1"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0" fontId="7" fillId="14" borderId="0" xfId="0" applyFont="1" applyFill="1" applyAlignment="1" applyProtection="1">
      <alignment horizontal="center" vertical="center" wrapText="1"/>
    </xf>
    <xf numFmtId="171" fontId="16" fillId="12" borderId="6" xfId="0" applyNumberFormat="1" applyFont="1" applyFill="1" applyBorder="1" applyAlignment="1" applyProtection="1">
      <alignment horizontal="center" vertical="center" wrapText="1"/>
    </xf>
    <xf numFmtId="171" fontId="16" fillId="12" borderId="81" xfId="0" applyNumberFormat="1" applyFont="1" applyFill="1" applyBorder="1" applyAlignment="1" applyProtection="1">
      <alignment horizontal="center" vertical="center" wrapText="1"/>
    </xf>
    <xf numFmtId="0" fontId="2" fillId="4" borderId="22" xfId="0" applyFont="1" applyFill="1" applyBorder="1" applyAlignment="1" applyProtection="1">
      <alignment horizontal="center" vertical="center" wrapText="1"/>
    </xf>
    <xf numFmtId="0" fontId="2" fillId="4" borderId="23" xfId="0" applyFont="1" applyFill="1" applyBorder="1" applyAlignment="1" applyProtection="1">
      <alignment horizontal="center" vertical="center" wrapText="1"/>
    </xf>
    <xf numFmtId="0" fontId="2" fillId="4" borderId="24" xfId="0" applyFont="1" applyFill="1" applyBorder="1" applyAlignment="1" applyProtection="1">
      <alignment horizontal="center" vertical="center" wrapText="1"/>
    </xf>
    <xf numFmtId="0" fontId="27" fillId="10" borderId="81" xfId="0" applyFont="1" applyFill="1" applyBorder="1" applyAlignment="1" applyProtection="1">
      <alignment horizontal="center" vertical="center" wrapText="1"/>
    </xf>
    <xf numFmtId="168" fontId="27" fillId="10" borderId="6" xfId="0" applyNumberFormat="1" applyFont="1" applyFill="1" applyBorder="1" applyAlignment="1" applyProtection="1">
      <alignment horizontal="center" vertical="center" wrapText="1"/>
    </xf>
    <xf numFmtId="0" fontId="0" fillId="15" borderId="104" xfId="0" applyNumberFormat="1" applyFill="1" applyBorder="1" applyAlignment="1" applyProtection="1">
      <alignment horizontal="center" vertical="center" wrapText="1"/>
      <protection locked="0"/>
    </xf>
    <xf numFmtId="0" fontId="0" fillId="15" borderId="157" xfId="0" applyNumberFormat="1" applyFill="1" applyBorder="1" applyAlignment="1" applyProtection="1">
      <alignment horizontal="center" vertical="center" wrapText="1"/>
      <protection locked="0"/>
    </xf>
    <xf numFmtId="0" fontId="3" fillId="4" borderId="101" xfId="0" applyFont="1" applyFill="1" applyBorder="1" applyAlignment="1" applyProtection="1">
      <alignment horizontal="center" vertical="center" wrapText="1"/>
    </xf>
    <xf numFmtId="0" fontId="3" fillId="4" borderId="102" xfId="0" applyFont="1" applyFill="1" applyBorder="1" applyAlignment="1" applyProtection="1">
      <alignment horizontal="center" vertical="center" wrapText="1"/>
    </xf>
    <xf numFmtId="0" fontId="27" fillId="24" borderId="81" xfId="0" applyFont="1" applyFill="1" applyBorder="1" applyAlignment="1" applyProtection="1">
      <alignment horizontal="center" vertical="center" wrapText="1"/>
    </xf>
    <xf numFmtId="169" fontId="27" fillId="24" borderId="6" xfId="0" applyNumberFormat="1" applyFont="1" applyFill="1" applyBorder="1" applyAlignment="1" applyProtection="1">
      <alignment horizontal="center" vertical="center" wrapText="1"/>
    </xf>
    <xf numFmtId="170" fontId="1" fillId="3" borderId="81" xfId="0" applyNumberFormat="1" applyFont="1" applyFill="1" applyBorder="1" applyAlignment="1" applyProtection="1">
      <alignment horizontal="center" vertical="center" wrapText="1"/>
    </xf>
    <xf numFmtId="0" fontId="2" fillId="4" borderId="63" xfId="0" applyFont="1" applyFill="1" applyBorder="1" applyAlignment="1" applyProtection="1">
      <alignment horizontal="center" vertical="center" wrapText="1"/>
    </xf>
    <xf numFmtId="0" fontId="2" fillId="4" borderId="0" xfId="0" applyFont="1" applyFill="1" applyBorder="1" applyAlignment="1" applyProtection="1">
      <alignment horizontal="center" vertical="center" wrapText="1"/>
    </xf>
    <xf numFmtId="0" fontId="2" fillId="4" borderId="14" xfId="0" applyFont="1" applyFill="1" applyBorder="1" applyAlignment="1" applyProtection="1">
      <alignment horizontal="center" vertical="center" wrapText="1"/>
    </xf>
    <xf numFmtId="0" fontId="2" fillId="4" borderId="15" xfId="0" applyFont="1" applyFill="1" applyBorder="1" applyAlignment="1" applyProtection="1">
      <alignment horizontal="center" vertical="center" wrapText="1"/>
    </xf>
    <xf numFmtId="170" fontId="8" fillId="3" borderId="6" xfId="0" applyNumberFormat="1" applyFont="1" applyFill="1" applyBorder="1" applyAlignment="1" applyProtection="1">
      <alignment horizontal="center" vertical="center" wrapText="1"/>
    </xf>
    <xf numFmtId="173" fontId="32" fillId="12" borderId="81" xfId="0" applyNumberFormat="1" applyFont="1" applyFill="1" applyBorder="1" applyAlignment="1" applyProtection="1">
      <alignment horizontal="center" vertical="center" wrapText="1"/>
    </xf>
    <xf numFmtId="173" fontId="16" fillId="12" borderId="6" xfId="0" applyNumberFormat="1" applyFont="1" applyFill="1" applyBorder="1" applyAlignment="1" applyProtection="1">
      <alignment horizontal="center" vertical="center" wrapText="1"/>
    </xf>
    <xf numFmtId="172" fontId="16" fillId="12" borderId="81" xfId="0" applyNumberFormat="1" applyFont="1" applyFill="1" applyBorder="1" applyAlignment="1" applyProtection="1">
      <alignment horizontal="center" vertical="center" wrapText="1"/>
    </xf>
    <xf numFmtId="174" fontId="16" fillId="12" borderId="6" xfId="0" applyNumberFormat="1" applyFont="1" applyFill="1" applyBorder="1" applyAlignment="1" applyProtection="1">
      <alignment horizontal="center" vertical="center" wrapText="1"/>
    </xf>
    <xf numFmtId="164" fontId="2" fillId="4" borderId="22" xfId="0" applyNumberFormat="1" applyFont="1" applyFill="1" applyBorder="1" applyAlignment="1" applyProtection="1">
      <alignment horizontal="center" vertical="center" wrapText="1"/>
    </xf>
    <xf numFmtId="164" fontId="2" fillId="4" borderId="23" xfId="0" applyNumberFormat="1" applyFont="1" applyFill="1" applyBorder="1" applyAlignment="1" applyProtection="1">
      <alignment horizontal="center" vertical="center" wrapText="1"/>
    </xf>
    <xf numFmtId="164" fontId="2" fillId="4" borderId="24" xfId="0" applyNumberFormat="1" applyFont="1" applyFill="1" applyBorder="1" applyAlignment="1" applyProtection="1">
      <alignment horizontal="center" vertical="center" wrapText="1"/>
    </xf>
    <xf numFmtId="164" fontId="12" fillId="3" borderId="22" xfId="0" applyNumberFormat="1" applyFont="1" applyFill="1" applyBorder="1" applyAlignment="1" applyProtection="1">
      <alignment horizontal="center" vertical="center" wrapText="1"/>
    </xf>
    <xf numFmtId="164" fontId="12" fillId="3" borderId="23" xfId="0" applyNumberFormat="1" applyFont="1" applyFill="1" applyBorder="1" applyAlignment="1" applyProtection="1">
      <alignment horizontal="center" vertical="center" wrapText="1"/>
    </xf>
    <xf numFmtId="164" fontId="12" fillId="3" borderId="24" xfId="0" applyNumberFormat="1" applyFont="1" applyFill="1" applyBorder="1" applyAlignment="1" applyProtection="1">
      <alignment horizontal="center" vertical="center" wrapText="1"/>
    </xf>
    <xf numFmtId="0" fontId="12" fillId="4" borderId="10" xfId="0" applyFont="1" applyFill="1" applyBorder="1" applyAlignment="1" applyProtection="1">
      <alignment horizontal="center" vertical="center" wrapText="1"/>
    </xf>
    <xf numFmtId="0" fontId="12" fillId="4" borderId="11" xfId="0" applyFont="1" applyFill="1" applyBorder="1" applyAlignment="1" applyProtection="1">
      <alignment horizontal="center" vertical="center" wrapText="1"/>
    </xf>
    <xf numFmtId="0" fontId="12" fillId="4" borderId="12" xfId="0" applyFont="1" applyFill="1" applyBorder="1" applyAlignment="1" applyProtection="1">
      <alignment horizontal="center" vertical="center" wrapText="1"/>
    </xf>
    <xf numFmtId="0" fontId="12" fillId="4" borderId="14" xfId="0" applyFont="1" applyFill="1" applyBorder="1" applyAlignment="1" applyProtection="1">
      <alignment horizontal="center" vertical="center" wrapText="1"/>
    </xf>
    <xf numFmtId="0" fontId="12" fillId="4" borderId="15" xfId="0" applyFont="1" applyFill="1" applyBorder="1" applyAlignment="1" applyProtection="1">
      <alignment horizontal="center" vertical="center" wrapText="1"/>
    </xf>
    <xf numFmtId="0" fontId="12" fillId="4" borderId="16" xfId="0" applyFont="1" applyFill="1" applyBorder="1" applyAlignment="1" applyProtection="1">
      <alignment horizontal="center" vertical="center" wrapText="1"/>
    </xf>
    <xf numFmtId="0" fontId="6" fillId="14" borderId="22" xfId="0" applyFont="1" applyFill="1" applyBorder="1" applyAlignment="1" applyProtection="1">
      <alignment horizontal="center" vertical="center" wrapText="1"/>
    </xf>
    <xf numFmtId="0" fontId="6" fillId="14" borderId="15" xfId="0" applyFont="1" applyFill="1" applyBorder="1" applyAlignment="1" applyProtection="1">
      <alignment horizontal="center" vertical="center" wrapText="1"/>
    </xf>
    <xf numFmtId="0" fontId="6" fillId="14" borderId="16" xfId="0" applyFont="1" applyFill="1" applyBorder="1" applyAlignment="1" applyProtection="1">
      <alignment horizontal="center" vertical="center" wrapText="1"/>
    </xf>
    <xf numFmtId="0" fontId="12" fillId="4" borderId="14" xfId="0" applyNumberFormat="1" applyFont="1" applyFill="1" applyBorder="1" applyAlignment="1" applyProtection="1">
      <alignment horizontal="center" vertical="center" wrapText="1"/>
    </xf>
    <xf numFmtId="0" fontId="12" fillId="4" borderId="16" xfId="0" applyNumberFormat="1" applyFont="1" applyFill="1" applyBorder="1" applyAlignment="1" applyProtection="1">
      <alignment horizontal="center" vertical="center" wrapText="1"/>
    </xf>
    <xf numFmtId="0" fontId="12" fillId="4" borderId="10" xfId="0" applyNumberFormat="1" applyFont="1" applyFill="1" applyBorder="1" applyAlignment="1" applyProtection="1">
      <alignment horizontal="center" vertical="center" wrapText="1"/>
    </xf>
    <xf numFmtId="0" fontId="12" fillId="4" borderId="12" xfId="0" applyNumberFormat="1" applyFont="1" applyFill="1" applyBorder="1" applyAlignment="1" applyProtection="1">
      <alignment horizontal="center" vertical="center" wrapText="1"/>
    </xf>
    <xf numFmtId="168" fontId="27" fillId="10" borderId="14" xfId="0" applyNumberFormat="1" applyFont="1" applyFill="1" applyBorder="1" applyAlignment="1" applyProtection="1">
      <alignment horizontal="center" vertical="center" wrapText="1"/>
    </xf>
    <xf numFmtId="168" fontId="27" fillId="10" borderId="15" xfId="0" applyNumberFormat="1" applyFont="1" applyFill="1" applyBorder="1" applyAlignment="1" applyProtection="1">
      <alignment horizontal="center" vertical="center" wrapText="1"/>
    </xf>
    <xf numFmtId="168" fontId="27" fillId="10" borderId="16" xfId="0" applyNumberFormat="1" applyFont="1" applyFill="1" applyBorder="1" applyAlignment="1" applyProtection="1">
      <alignment horizontal="center" vertical="center" wrapText="1"/>
    </xf>
    <xf numFmtId="169" fontId="8" fillId="24" borderId="14" xfId="0" applyNumberFormat="1" applyFont="1" applyFill="1" applyBorder="1" applyAlignment="1" applyProtection="1">
      <alignment horizontal="center" vertical="center" wrapText="1"/>
    </xf>
    <xf numFmtId="169" fontId="8" fillId="24" borderId="15" xfId="0" applyNumberFormat="1" applyFont="1" applyFill="1" applyBorder="1" applyAlignment="1" applyProtection="1">
      <alignment horizontal="center" vertical="center" wrapText="1"/>
    </xf>
    <xf numFmtId="169" fontId="8" fillId="24" borderId="16" xfId="0" applyNumberFormat="1" applyFont="1" applyFill="1" applyBorder="1" applyAlignment="1" applyProtection="1">
      <alignment horizontal="center" vertical="center" wrapText="1"/>
    </xf>
    <xf numFmtId="170" fontId="8" fillId="3" borderId="14" xfId="0" applyNumberFormat="1" applyFont="1" applyFill="1" applyBorder="1" applyAlignment="1" applyProtection="1">
      <alignment horizontal="center" vertical="center" wrapText="1"/>
    </xf>
    <xf numFmtId="170" fontId="8" fillId="3" borderId="16" xfId="0" applyNumberFormat="1" applyFont="1" applyFill="1" applyBorder="1" applyAlignment="1" applyProtection="1">
      <alignment horizontal="center" vertical="center" wrapText="1"/>
    </xf>
    <xf numFmtId="171" fontId="16" fillId="12" borderId="14" xfId="0" applyNumberFormat="1" applyFont="1" applyFill="1" applyBorder="1" applyAlignment="1" applyProtection="1">
      <alignment horizontal="center" vertical="center" wrapText="1"/>
    </xf>
    <xf numFmtId="171" fontId="16" fillId="12" borderId="15" xfId="0" applyNumberFormat="1" applyFont="1" applyFill="1" applyBorder="1" applyAlignment="1" applyProtection="1">
      <alignment horizontal="center" vertical="center" wrapText="1"/>
    </xf>
    <xf numFmtId="171" fontId="16" fillId="12" borderId="16" xfId="0" applyNumberFormat="1" applyFont="1" applyFill="1" applyBorder="1" applyAlignment="1" applyProtection="1">
      <alignment horizontal="center" vertical="center" wrapText="1"/>
    </xf>
    <xf numFmtId="173" fontId="16" fillId="12" borderId="14" xfId="0" applyNumberFormat="1" applyFont="1" applyFill="1" applyBorder="1" applyAlignment="1" applyProtection="1">
      <alignment horizontal="center" vertical="center" wrapText="1"/>
    </xf>
    <xf numFmtId="173" fontId="16" fillId="12" borderId="16" xfId="0" applyNumberFormat="1" applyFont="1" applyFill="1" applyBorder="1" applyAlignment="1" applyProtection="1">
      <alignment horizontal="center" vertical="center" wrapText="1"/>
    </xf>
    <xf numFmtId="0" fontId="27" fillId="10" borderId="10" xfId="0" applyFont="1" applyFill="1" applyBorder="1" applyAlignment="1" applyProtection="1">
      <alignment horizontal="center" vertical="center" wrapText="1"/>
    </xf>
    <xf numFmtId="0" fontId="27" fillId="10" borderId="11" xfId="0" applyFont="1" applyFill="1" applyBorder="1" applyAlignment="1" applyProtection="1">
      <alignment horizontal="center" vertical="center" wrapText="1"/>
    </xf>
    <xf numFmtId="0" fontId="27" fillId="10" borderId="12" xfId="0" applyFont="1" applyFill="1" applyBorder="1" applyAlignment="1" applyProtection="1">
      <alignment horizontal="center" vertical="center" wrapText="1"/>
    </xf>
    <xf numFmtId="0" fontId="8" fillId="24" borderId="10" xfId="0" applyFont="1" applyFill="1" applyBorder="1" applyAlignment="1" applyProtection="1">
      <alignment horizontal="center" vertical="center" wrapText="1"/>
    </xf>
    <xf numFmtId="0" fontId="8" fillId="24" borderId="11" xfId="0" applyFont="1" applyFill="1" applyBorder="1" applyAlignment="1" applyProtection="1">
      <alignment horizontal="center" vertical="center" wrapText="1"/>
    </xf>
    <xf numFmtId="0" fontId="8" fillId="24" borderId="12" xfId="0" applyFont="1" applyFill="1" applyBorder="1" applyAlignment="1" applyProtection="1">
      <alignment horizontal="center" vertical="center" wrapText="1"/>
    </xf>
    <xf numFmtId="171" fontId="16" fillId="12" borderId="10" xfId="0" applyNumberFormat="1" applyFont="1" applyFill="1" applyBorder="1" applyAlignment="1" applyProtection="1">
      <alignment horizontal="center" vertical="center" wrapText="1"/>
    </xf>
    <xf numFmtId="171" fontId="16" fillId="12" borderId="11" xfId="0" quotePrefix="1" applyNumberFormat="1" applyFont="1" applyFill="1" applyBorder="1" applyAlignment="1" applyProtection="1">
      <alignment horizontal="center" vertical="center" wrapText="1"/>
    </xf>
    <xf numFmtId="171" fontId="16" fillId="12" borderId="12" xfId="0" quotePrefix="1" applyNumberFormat="1" applyFont="1" applyFill="1" applyBorder="1" applyAlignment="1" applyProtection="1">
      <alignment horizontal="center" vertical="center" wrapText="1"/>
    </xf>
    <xf numFmtId="170" fontId="8" fillId="3" borderId="10" xfId="0" applyNumberFormat="1" applyFont="1" applyFill="1" applyBorder="1" applyAlignment="1" applyProtection="1">
      <alignment horizontal="center" vertical="center" wrapText="1"/>
    </xf>
    <xf numFmtId="170" fontId="8" fillId="3" borderId="12" xfId="0" applyNumberFormat="1" applyFont="1" applyFill="1" applyBorder="1" applyAlignment="1" applyProtection="1">
      <alignment horizontal="center" vertical="center" wrapText="1"/>
    </xf>
    <xf numFmtId="171" fontId="16" fillId="12" borderId="11" xfId="0" applyNumberFormat="1" applyFont="1" applyFill="1" applyBorder="1" applyAlignment="1" applyProtection="1">
      <alignment horizontal="center" vertical="center" wrapText="1"/>
    </xf>
    <xf numFmtId="171" fontId="16" fillId="12" borderId="12" xfId="0" applyNumberFormat="1" applyFont="1" applyFill="1" applyBorder="1" applyAlignment="1" applyProtection="1">
      <alignment horizontal="center" vertical="center" wrapText="1"/>
    </xf>
    <xf numFmtId="173" fontId="15" fillId="12" borderId="10" xfId="0" applyNumberFormat="1" applyFont="1" applyFill="1" applyBorder="1" applyAlignment="1" applyProtection="1">
      <alignment horizontal="center" vertical="center" wrapText="1"/>
    </xf>
    <xf numFmtId="173" fontId="15" fillId="12" borderId="12" xfId="0" applyNumberFormat="1" applyFont="1" applyFill="1" applyBorder="1" applyAlignment="1" applyProtection="1">
      <alignment horizontal="center" vertical="center" wrapText="1"/>
    </xf>
    <xf numFmtId="172" fontId="16" fillId="12" borderId="31" xfId="0" applyNumberFormat="1" applyFont="1" applyFill="1" applyBorder="1" applyAlignment="1" applyProtection="1">
      <alignment horizontal="center" vertical="center" wrapText="1"/>
    </xf>
    <xf numFmtId="172" fontId="16" fillId="12" borderId="62" xfId="0" applyNumberFormat="1" applyFont="1" applyFill="1" applyBorder="1" applyAlignment="1" applyProtection="1">
      <alignment horizontal="center" vertical="center" wrapText="1"/>
    </xf>
    <xf numFmtId="172" fontId="16" fillId="12" borderId="103" xfId="0" applyNumberFormat="1" applyFont="1" applyFill="1" applyBorder="1" applyAlignment="1" applyProtection="1">
      <alignment horizontal="center" vertical="center" wrapText="1"/>
    </xf>
    <xf numFmtId="174" fontId="16" fillId="12" borderId="73" xfId="0" applyNumberFormat="1" applyFont="1" applyFill="1" applyBorder="1" applyAlignment="1" applyProtection="1">
      <alignment horizontal="center" vertical="center" wrapText="1"/>
    </xf>
    <xf numFmtId="174" fontId="16" fillId="12" borderId="83" xfId="0" applyNumberFormat="1" applyFont="1" applyFill="1" applyBorder="1" applyAlignment="1" applyProtection="1">
      <alignment horizontal="center" vertical="center" wrapText="1"/>
    </xf>
    <xf numFmtId="174" fontId="16" fillId="12" borderId="84" xfId="0" applyNumberFormat="1" applyFont="1" applyFill="1" applyBorder="1" applyAlignment="1" applyProtection="1">
      <alignment horizontal="center" vertical="center" wrapText="1"/>
    </xf>
    <xf numFmtId="0" fontId="6" fillId="14" borderId="14" xfId="0" applyFont="1" applyFill="1" applyBorder="1" applyAlignment="1" applyProtection="1">
      <alignment horizontal="center" vertical="center" wrapText="1"/>
    </xf>
    <xf numFmtId="0" fontId="6" fillId="14" borderId="23" xfId="0" applyFont="1" applyFill="1" applyBorder="1" applyAlignment="1" applyProtection="1">
      <alignment horizontal="center" vertical="center" wrapText="1"/>
    </xf>
    <xf numFmtId="0" fontId="6" fillId="14" borderId="24" xfId="0" applyFont="1" applyFill="1" applyBorder="1" applyAlignment="1" applyProtection="1">
      <alignment horizontal="center" vertical="center" wrapText="1"/>
    </xf>
    <xf numFmtId="0" fontId="12" fillId="4" borderId="63" xfId="0" applyFont="1" applyFill="1" applyBorder="1" applyAlignment="1" applyProtection="1">
      <alignment horizontal="center" vertical="center" wrapText="1"/>
    </xf>
    <xf numFmtId="0" fontId="12" fillId="4" borderId="0" xfId="0" applyFont="1" applyFill="1" applyBorder="1" applyAlignment="1" applyProtection="1">
      <alignment horizontal="center" vertical="center" wrapText="1"/>
    </xf>
    <xf numFmtId="0" fontId="12" fillId="4" borderId="13" xfId="0" applyFont="1" applyFill="1" applyBorder="1" applyAlignment="1" applyProtection="1">
      <alignment horizontal="center" vertical="center" wrapText="1"/>
    </xf>
    <xf numFmtId="164" fontId="42" fillId="10" borderId="22" xfId="0" applyNumberFormat="1" applyFont="1" applyFill="1" applyBorder="1" applyAlignment="1" applyProtection="1">
      <alignment horizontal="center" vertical="center" wrapText="1"/>
    </xf>
    <xf numFmtId="164" fontId="42" fillId="10" borderId="23" xfId="0" applyNumberFormat="1" applyFont="1" applyFill="1" applyBorder="1" applyAlignment="1" applyProtection="1">
      <alignment horizontal="center" vertical="center" wrapText="1"/>
    </xf>
    <xf numFmtId="164" fontId="42" fillId="10" borderId="24" xfId="0" applyNumberFormat="1" applyFont="1" applyFill="1" applyBorder="1" applyAlignment="1" applyProtection="1">
      <alignment horizontal="center" vertical="center" wrapText="1"/>
    </xf>
    <xf numFmtId="164" fontId="12" fillId="24" borderId="22" xfId="0" applyNumberFormat="1" applyFont="1" applyFill="1" applyBorder="1" applyAlignment="1" applyProtection="1">
      <alignment horizontal="center" vertical="center" wrapText="1"/>
    </xf>
    <xf numFmtId="164" fontId="12" fillId="24" borderId="23" xfId="0" applyNumberFormat="1" applyFont="1" applyFill="1" applyBorder="1" applyAlignment="1" applyProtection="1">
      <alignment horizontal="center" vertical="center" wrapText="1"/>
    </xf>
    <xf numFmtId="164" fontId="12" fillId="24" borderId="24" xfId="0" applyNumberFormat="1" applyFont="1" applyFill="1" applyBorder="1" applyAlignment="1" applyProtection="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6" fillId="14" borderId="58" xfId="0" applyFont="1" applyFill="1" applyBorder="1" applyAlignment="1" applyProtection="1">
      <alignment horizontal="center" vertical="center" wrapText="1"/>
    </xf>
    <xf numFmtId="0" fontId="6" fillId="14" borderId="47" xfId="0" applyFont="1" applyFill="1" applyBorder="1" applyAlignment="1" applyProtection="1">
      <alignment horizontal="center" vertical="center" wrapText="1"/>
    </xf>
    <xf numFmtId="0" fontId="6" fillId="14" borderId="44" xfId="0" applyFont="1" applyFill="1" applyBorder="1" applyAlignment="1" applyProtection="1">
      <alignment horizontal="center" vertical="center" wrapText="1"/>
    </xf>
    <xf numFmtId="0" fontId="6" fillId="14" borderId="55" xfId="0" applyFont="1" applyFill="1" applyBorder="1" applyAlignment="1" applyProtection="1">
      <alignment horizontal="center" vertical="center" wrapText="1"/>
    </xf>
    <xf numFmtId="0" fontId="3" fillId="4" borderId="10" xfId="0"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0" fontId="12" fillId="13" borderId="23" xfId="0" applyNumberFormat="1" applyFont="1" applyFill="1" applyBorder="1" applyAlignment="1" applyProtection="1">
      <alignment horizontal="center" vertical="center" wrapText="1"/>
    </xf>
    <xf numFmtId="0" fontId="12" fillId="13" borderId="24" xfId="0" applyNumberFormat="1" applyFont="1" applyFill="1" applyBorder="1" applyAlignment="1" applyProtection="1">
      <alignment horizontal="center" vertical="center" wrapText="1"/>
    </xf>
    <xf numFmtId="0" fontId="3" fillId="4" borderId="101" xfId="0" applyNumberFormat="1" applyFont="1" applyFill="1" applyBorder="1" applyAlignment="1" applyProtection="1">
      <alignment horizontal="center" vertical="center" wrapText="1"/>
    </xf>
    <xf numFmtId="0" fontId="3" fillId="4" borderId="102" xfId="0" applyNumberFormat="1" applyFont="1" applyFill="1" applyBorder="1" applyAlignment="1" applyProtection="1">
      <alignment horizontal="center" vertical="center" wrapText="1"/>
    </xf>
    <xf numFmtId="0" fontId="30" fillId="23" borderId="22" xfId="0" applyFont="1" applyFill="1" applyBorder="1" applyAlignment="1" applyProtection="1">
      <alignment horizontal="right" vertical="center" wrapText="1"/>
    </xf>
    <xf numFmtId="0" fontId="30" fillId="23" borderId="23" xfId="0" applyFont="1" applyFill="1" applyBorder="1" applyAlignment="1" applyProtection="1">
      <alignment horizontal="right" vertical="center" wrapText="1"/>
    </xf>
    <xf numFmtId="0" fontId="6" fillId="23" borderId="23" xfId="0" applyFont="1" applyFill="1" applyBorder="1" applyAlignment="1" applyProtection="1">
      <alignment horizontal="left" vertical="center" wrapText="1"/>
    </xf>
    <xf numFmtId="0" fontId="6" fillId="23" borderId="24" xfId="0" applyFont="1" applyFill="1" applyBorder="1" applyAlignment="1" applyProtection="1">
      <alignment horizontal="left" vertical="center" wrapText="1"/>
    </xf>
    <xf numFmtId="0" fontId="3" fillId="4" borderId="22" xfId="0" applyNumberFormat="1" applyFont="1" applyFill="1" applyBorder="1" applyAlignment="1" applyProtection="1">
      <alignment horizontal="center" vertical="center" wrapText="1"/>
    </xf>
    <xf numFmtId="0" fontId="3" fillId="4" borderId="24" xfId="0" applyNumberFormat="1" applyFont="1" applyFill="1" applyBorder="1" applyAlignment="1" applyProtection="1">
      <alignment horizontal="center" vertical="center" wrapText="1"/>
    </xf>
    <xf numFmtId="3" fontId="6" fillId="10" borderId="31" xfId="0" applyNumberFormat="1" applyFont="1" applyFill="1" applyBorder="1" applyAlignment="1" applyProtection="1">
      <alignment horizontal="center" vertical="center" wrapText="1"/>
    </xf>
    <xf numFmtId="3" fontId="6" fillId="10" borderId="103" xfId="0" applyNumberFormat="1" applyFont="1" applyFill="1" applyBorder="1" applyAlignment="1" applyProtection="1">
      <alignment horizontal="center" vertical="center" wrapText="1"/>
    </xf>
    <xf numFmtId="3" fontId="4" fillId="15" borderId="106" xfId="0" applyNumberFormat="1" applyFont="1" applyFill="1" applyBorder="1" applyAlignment="1" applyProtection="1">
      <alignment horizontal="center" vertical="center" wrapText="1"/>
      <protection locked="0"/>
    </xf>
    <xf numFmtId="3" fontId="4" fillId="15" borderId="99" xfId="0" applyNumberFormat="1" applyFont="1" applyFill="1" applyBorder="1" applyAlignment="1" applyProtection="1">
      <alignment horizontal="center" vertical="center" wrapText="1"/>
      <protection locked="0"/>
    </xf>
    <xf numFmtId="3" fontId="6" fillId="10" borderId="151" xfId="0" applyNumberFormat="1" applyFont="1" applyFill="1" applyBorder="1" applyAlignment="1" applyProtection="1">
      <alignment horizontal="center" vertical="center" wrapText="1"/>
    </xf>
    <xf numFmtId="3" fontId="6" fillId="10" borderId="154" xfId="0" applyNumberFormat="1" applyFont="1" applyFill="1" applyBorder="1" applyAlignment="1" applyProtection="1">
      <alignment horizontal="center" vertical="center" wrapText="1"/>
    </xf>
    <xf numFmtId="3" fontId="4" fillId="15" borderId="107" xfId="0" applyNumberFormat="1" applyFont="1" applyFill="1" applyBorder="1" applyAlignment="1" applyProtection="1">
      <alignment horizontal="center" vertical="center" wrapText="1"/>
      <protection locked="0"/>
    </xf>
    <xf numFmtId="3" fontId="4" fillId="15" borderId="108" xfId="0" applyNumberFormat="1" applyFont="1" applyFill="1" applyBorder="1" applyAlignment="1" applyProtection="1">
      <alignment horizontal="center" vertical="center" wrapText="1"/>
      <protection locked="0"/>
    </xf>
    <xf numFmtId="3" fontId="6" fillId="24" borderId="107" xfId="0" applyNumberFormat="1" applyFont="1" applyFill="1" applyBorder="1" applyAlignment="1" applyProtection="1">
      <alignment horizontal="center" vertical="center" wrapText="1"/>
    </xf>
    <xf numFmtId="3" fontId="6" fillId="24" borderId="152" xfId="0" applyNumberFormat="1" applyFont="1" applyFill="1" applyBorder="1" applyAlignment="1" applyProtection="1">
      <alignment horizontal="center" vertical="center" wrapText="1"/>
    </xf>
    <xf numFmtId="3" fontId="4" fillId="15" borderId="149" xfId="0" applyNumberFormat="1" applyFont="1" applyFill="1" applyBorder="1" applyAlignment="1" applyProtection="1">
      <alignment horizontal="center" vertical="center" wrapText="1"/>
      <protection locked="0"/>
    </xf>
    <xf numFmtId="3" fontId="4" fillId="15" borderId="150" xfId="0" applyNumberFormat="1" applyFont="1" applyFill="1" applyBorder="1" applyAlignment="1" applyProtection="1">
      <alignment horizontal="center" vertical="center" wrapText="1"/>
      <protection locked="0"/>
    </xf>
    <xf numFmtId="0" fontId="3" fillId="4" borderId="17" xfId="0" applyFont="1" applyFill="1" applyBorder="1" applyAlignment="1" applyProtection="1">
      <alignment horizontal="right" vertical="center" wrapText="1"/>
    </xf>
    <xf numFmtId="0" fontId="3" fillId="4" borderId="26" xfId="0" applyFont="1" applyFill="1" applyBorder="1" applyAlignment="1" applyProtection="1">
      <alignment horizontal="right" vertical="center" wrapText="1"/>
    </xf>
    <xf numFmtId="0" fontId="3" fillId="4" borderId="31" xfId="0" applyFont="1" applyFill="1" applyBorder="1" applyAlignment="1" applyProtection="1">
      <alignment horizontal="right" vertical="center" wrapText="1"/>
    </xf>
    <xf numFmtId="0" fontId="3" fillId="4" borderId="103" xfId="0" applyFont="1" applyFill="1" applyBorder="1" applyAlignment="1" applyProtection="1">
      <alignment horizontal="right" vertical="center" wrapText="1"/>
    </xf>
    <xf numFmtId="3" fontId="7" fillId="3" borderId="130" xfId="0" applyNumberFormat="1" applyFont="1" applyFill="1" applyBorder="1" applyAlignment="1" applyProtection="1">
      <alignment horizontal="center" vertical="center" wrapText="1"/>
    </xf>
    <xf numFmtId="3" fontId="7" fillId="3" borderId="153" xfId="0" applyNumberFormat="1" applyFont="1" applyFill="1" applyBorder="1" applyAlignment="1" applyProtection="1">
      <alignment horizontal="center" vertical="center" wrapText="1"/>
    </xf>
    <xf numFmtId="0" fontId="3" fillId="4" borderId="27" xfId="0" applyFont="1" applyFill="1" applyBorder="1" applyAlignment="1" applyProtection="1">
      <alignment horizontal="right" vertical="center" wrapText="1"/>
    </xf>
    <xf numFmtId="0" fontId="30" fillId="17" borderId="22" xfId="0" applyFont="1" applyFill="1" applyBorder="1" applyAlignment="1" applyProtection="1">
      <alignment horizontal="right" vertical="center" wrapText="1"/>
    </xf>
    <xf numFmtId="0" fontId="30" fillId="17" borderId="23" xfId="0" applyFont="1" applyFill="1" applyBorder="1" applyAlignment="1" applyProtection="1">
      <alignment horizontal="right" vertical="center" wrapText="1"/>
    </xf>
    <xf numFmtId="3" fontId="6" fillId="24" borderId="17" xfId="0" applyNumberFormat="1" applyFont="1" applyFill="1" applyBorder="1" applyAlignment="1" applyProtection="1">
      <alignment horizontal="center" vertical="center" wrapText="1"/>
    </xf>
    <xf numFmtId="3" fontId="6" fillId="24" borderId="26" xfId="0" applyNumberFormat="1" applyFont="1" applyFill="1" applyBorder="1" applyAlignment="1" applyProtection="1">
      <alignment horizontal="center" vertical="center" wrapText="1"/>
    </xf>
    <xf numFmtId="3" fontId="7" fillId="3" borderId="73" xfId="0" applyNumberFormat="1" applyFont="1" applyFill="1" applyBorder="1" applyAlignment="1" applyProtection="1">
      <alignment horizontal="center" vertical="center" wrapText="1"/>
    </xf>
    <xf numFmtId="3" fontId="7" fillId="3" borderId="84" xfId="0" applyNumberFormat="1" applyFont="1" applyFill="1" applyBorder="1" applyAlignment="1" applyProtection="1">
      <alignment horizontal="center" vertical="center" wrapText="1"/>
    </xf>
    <xf numFmtId="0" fontId="6" fillId="17" borderId="23" xfId="0" applyFont="1" applyFill="1" applyBorder="1" applyAlignment="1" applyProtection="1">
      <alignment horizontal="left" vertical="center" wrapText="1"/>
    </xf>
    <xf numFmtId="0" fontId="6" fillId="17" borderId="24" xfId="0" applyFont="1" applyFill="1" applyBorder="1" applyAlignment="1" applyProtection="1">
      <alignment horizontal="left" vertical="center" wrapText="1"/>
    </xf>
    <xf numFmtId="0" fontId="3" fillId="4" borderId="17" xfId="0" applyFont="1" applyFill="1" applyBorder="1" applyAlignment="1" applyProtection="1">
      <alignment horizontal="center" vertical="center" wrapText="1"/>
    </xf>
    <xf numFmtId="0" fontId="3" fillId="4" borderId="26" xfId="0" applyFont="1" applyFill="1" applyBorder="1" applyAlignment="1" applyProtection="1">
      <alignment horizontal="center" vertical="center" wrapText="1"/>
    </xf>
    <xf numFmtId="0" fontId="3" fillId="4" borderId="73" xfId="0" applyFont="1" applyFill="1" applyBorder="1" applyAlignment="1" applyProtection="1">
      <alignment horizontal="center" vertical="center" wrapText="1"/>
    </xf>
    <xf numFmtId="0" fontId="3" fillId="4" borderId="84" xfId="0" applyFont="1" applyFill="1" applyBorder="1" applyAlignment="1" applyProtection="1">
      <alignment horizontal="center" vertical="center" wrapText="1"/>
    </xf>
    <xf numFmtId="0" fontId="2" fillId="4" borderId="16" xfId="0" applyFont="1" applyFill="1" applyBorder="1" applyAlignment="1" applyProtection="1">
      <alignment horizontal="center" vertical="center" wrapText="1"/>
    </xf>
    <xf numFmtId="0" fontId="6" fillId="11" borderId="22" xfId="0" applyFont="1" applyFill="1" applyBorder="1" applyAlignment="1" applyProtection="1">
      <alignment horizontal="center" vertical="center" wrapText="1"/>
    </xf>
    <xf numFmtId="0" fontId="6" fillId="11" borderId="24" xfId="0" applyFont="1" applyFill="1" applyBorder="1" applyAlignment="1" applyProtection="1">
      <alignment horizontal="center" vertical="center" wrapText="1"/>
    </xf>
    <xf numFmtId="0" fontId="3" fillId="4" borderId="31" xfId="0" applyFont="1" applyFill="1" applyBorder="1" applyAlignment="1" applyProtection="1">
      <alignment horizontal="center" vertical="center" wrapText="1"/>
    </xf>
    <xf numFmtId="0" fontId="3" fillId="4" borderId="103" xfId="0" applyFont="1" applyFill="1" applyBorder="1" applyAlignment="1" applyProtection="1">
      <alignment horizontal="center" vertical="center" wrapText="1"/>
    </xf>
    <xf numFmtId="0" fontId="28" fillId="17" borderId="10" xfId="0" applyFont="1" applyFill="1" applyBorder="1" applyAlignment="1" applyProtection="1">
      <alignment horizontal="right" vertical="center" wrapText="1"/>
    </xf>
    <xf numFmtId="0" fontId="28" fillId="17" borderId="14" xfId="0" applyFont="1" applyFill="1" applyBorder="1" applyAlignment="1" applyProtection="1">
      <alignment horizontal="right" vertical="center" wrapText="1"/>
    </xf>
    <xf numFmtId="0" fontId="29" fillId="17" borderId="11" xfId="0" applyFont="1" applyFill="1" applyBorder="1" applyAlignment="1" applyProtection="1">
      <alignment horizontal="left" vertical="center" wrapText="1"/>
    </xf>
    <xf numFmtId="0" fontId="29" fillId="17" borderId="12" xfId="0" applyFont="1" applyFill="1" applyBorder="1" applyAlignment="1" applyProtection="1">
      <alignment horizontal="left" vertical="center" wrapText="1"/>
    </xf>
    <xf numFmtId="0" fontId="29" fillId="17" borderId="15" xfId="0" applyFont="1" applyFill="1" applyBorder="1" applyAlignment="1" applyProtection="1">
      <alignment horizontal="left" vertical="center" wrapText="1"/>
    </xf>
    <xf numFmtId="0" fontId="29" fillId="17" borderId="16" xfId="0" applyFont="1" applyFill="1" applyBorder="1" applyAlignment="1" applyProtection="1">
      <alignment horizontal="left" vertical="center" wrapText="1"/>
    </xf>
    <xf numFmtId="0" fontId="28" fillId="19" borderId="10" xfId="0" applyFont="1" applyFill="1" applyBorder="1" applyAlignment="1" applyProtection="1">
      <alignment horizontal="right" vertical="center" wrapText="1"/>
    </xf>
    <xf numFmtId="0" fontId="28" fillId="19" borderId="14" xfId="0" applyFont="1" applyFill="1" applyBorder="1" applyAlignment="1" applyProtection="1">
      <alignment horizontal="right" vertical="center" wrapText="1"/>
    </xf>
    <xf numFmtId="0" fontId="29" fillId="19" borderId="11" xfId="0" applyFont="1" applyFill="1" applyBorder="1" applyAlignment="1" applyProtection="1">
      <alignment horizontal="left" vertical="center" wrapText="1"/>
    </xf>
    <xf numFmtId="0" fontId="29" fillId="19" borderId="12" xfId="0" applyFont="1" applyFill="1" applyBorder="1" applyAlignment="1" applyProtection="1">
      <alignment horizontal="left" vertical="center" wrapText="1"/>
    </xf>
    <xf numFmtId="0" fontId="29" fillId="19" borderId="15" xfId="0" applyFont="1" applyFill="1" applyBorder="1" applyAlignment="1" applyProtection="1">
      <alignment horizontal="left" vertical="center" wrapText="1"/>
    </xf>
    <xf numFmtId="0" fontId="29" fillId="19" borderId="16" xfId="0" applyFont="1" applyFill="1" applyBorder="1" applyAlignment="1" applyProtection="1">
      <alignment horizontal="left" vertical="center" wrapText="1"/>
    </xf>
    <xf numFmtId="0" fontId="3" fillId="4" borderId="63" xfId="0" applyFont="1" applyFill="1" applyBorder="1" applyAlignment="1" applyProtection="1">
      <alignment horizontal="center" vertical="center" wrapText="1"/>
    </xf>
    <xf numFmtId="0" fontId="3" fillId="4" borderId="0" xfId="0" applyFont="1" applyFill="1" applyBorder="1" applyAlignment="1" applyProtection="1">
      <alignment horizontal="center" vertical="center" wrapText="1"/>
    </xf>
    <xf numFmtId="0" fontId="4" fillId="13" borderId="14" xfId="0" applyFont="1" applyFill="1" applyBorder="1" applyAlignment="1" applyProtection="1">
      <alignment horizontal="center" vertical="center" wrapText="1"/>
    </xf>
    <xf numFmtId="0" fontId="4" fillId="13" borderId="15" xfId="0" applyFont="1" applyFill="1" applyBorder="1" applyAlignment="1" applyProtection="1">
      <alignment horizontal="center" vertical="center" wrapText="1"/>
    </xf>
    <xf numFmtId="0" fontId="3" fillId="4" borderId="73" xfId="0" applyFont="1" applyFill="1" applyBorder="1" applyAlignment="1" applyProtection="1">
      <alignment horizontal="right" vertical="center" wrapText="1"/>
    </xf>
    <xf numFmtId="0" fontId="3" fillId="4" borderId="84" xfId="0" applyFont="1" applyFill="1" applyBorder="1" applyAlignment="1" applyProtection="1">
      <alignment horizontal="right" vertical="center" wrapText="1"/>
    </xf>
    <xf numFmtId="0" fontId="3" fillId="4" borderId="13" xfId="0" applyFont="1" applyFill="1" applyBorder="1" applyAlignment="1" applyProtection="1">
      <alignment horizontal="center" vertical="center" wrapText="1"/>
    </xf>
    <xf numFmtId="0" fontId="4" fillId="13" borderId="162" xfId="0" applyFont="1" applyFill="1" applyBorder="1" applyAlignment="1" applyProtection="1">
      <alignment horizontal="center" vertical="center" wrapText="1"/>
    </xf>
    <xf numFmtId="0" fontId="4" fillId="13" borderId="16" xfId="0" applyFont="1" applyFill="1" applyBorder="1" applyAlignment="1" applyProtection="1">
      <alignment horizontal="center" vertical="center" wrapText="1"/>
    </xf>
    <xf numFmtId="0" fontId="3" fillId="4" borderId="131" xfId="0" applyFont="1" applyFill="1" applyBorder="1" applyAlignment="1" applyProtection="1">
      <alignment horizontal="center" vertical="center" wrapText="1"/>
    </xf>
    <xf numFmtId="0" fontId="0" fillId="15" borderId="105" xfId="0" applyNumberFormat="1" applyFill="1" applyBorder="1" applyAlignment="1" applyProtection="1">
      <alignment horizontal="center" vertical="center" wrapText="1"/>
      <protection locked="0"/>
    </xf>
    <xf numFmtId="0" fontId="3" fillId="4" borderId="22" xfId="0" applyFont="1" applyFill="1" applyBorder="1" applyAlignment="1" applyProtection="1">
      <alignment horizontal="right" vertical="center" wrapText="1"/>
    </xf>
    <xf numFmtId="0" fontId="3" fillId="4" borderId="24" xfId="0" applyFont="1" applyFill="1" applyBorder="1" applyAlignment="1" applyProtection="1">
      <alignment horizontal="right" vertical="center" wrapText="1"/>
    </xf>
    <xf numFmtId="0" fontId="28" fillId="23" borderId="10" xfId="0" applyFont="1" applyFill="1" applyBorder="1" applyAlignment="1" applyProtection="1">
      <alignment horizontal="right" vertical="center" wrapText="1"/>
    </xf>
    <xf numFmtId="0" fontId="28" fillId="23" borderId="14" xfId="0" applyFont="1" applyFill="1" applyBorder="1" applyAlignment="1" applyProtection="1">
      <alignment horizontal="right" vertical="center" wrapText="1"/>
    </xf>
    <xf numFmtId="0" fontId="29" fillId="23" borderId="12" xfId="0" applyFont="1" applyFill="1" applyBorder="1" applyAlignment="1" applyProtection="1">
      <alignment horizontal="left" vertical="center" wrapText="1"/>
    </xf>
    <xf numFmtId="0" fontId="29" fillId="23" borderId="16" xfId="0" applyFont="1" applyFill="1" applyBorder="1" applyAlignment="1" applyProtection="1">
      <alignment horizontal="left" vertical="center" wrapText="1"/>
    </xf>
    <xf numFmtId="0" fontId="29" fillId="19" borderId="11" xfId="0" applyFont="1" applyFill="1" applyBorder="1" applyAlignment="1" applyProtection="1">
      <alignment horizontal="center" vertical="center" wrapText="1"/>
    </xf>
    <xf numFmtId="0" fontId="29" fillId="19" borderId="12" xfId="0" applyFont="1" applyFill="1" applyBorder="1" applyAlignment="1" applyProtection="1">
      <alignment horizontal="center" vertical="center" wrapText="1"/>
    </xf>
    <xf numFmtId="0" fontId="29" fillId="19" borderId="15" xfId="0" applyFont="1" applyFill="1" applyBorder="1" applyAlignment="1" applyProtection="1">
      <alignment horizontal="center" vertical="center" wrapText="1"/>
    </xf>
    <xf numFmtId="0" fontId="29" fillId="19" borderId="16" xfId="0" applyFont="1" applyFill="1" applyBorder="1" applyAlignment="1" applyProtection="1">
      <alignment horizontal="center" vertical="center" wrapText="1"/>
    </xf>
    <xf numFmtId="0" fontId="28" fillId="22" borderId="10" xfId="0" applyFont="1" applyFill="1" applyBorder="1" applyAlignment="1" applyProtection="1">
      <alignment horizontal="right" vertical="center" wrapText="1"/>
    </xf>
    <xf numFmtId="0" fontId="28" fillId="22" borderId="14" xfId="0" applyFont="1" applyFill="1" applyBorder="1" applyAlignment="1" applyProtection="1">
      <alignment horizontal="right" vertical="center" wrapText="1"/>
    </xf>
    <xf numFmtId="0" fontId="3" fillId="4" borderId="28" xfId="0" applyFont="1" applyFill="1" applyBorder="1" applyAlignment="1" applyProtection="1">
      <alignment horizontal="right" vertical="center" wrapText="1"/>
    </xf>
    <xf numFmtId="0" fontId="3" fillId="4" borderId="58" xfId="0" applyFont="1" applyFill="1" applyBorder="1" applyAlignment="1" applyProtection="1">
      <alignment horizontal="right" vertical="center" wrapText="1"/>
    </xf>
    <xf numFmtId="0" fontId="13" fillId="13" borderId="19" xfId="0" applyFont="1" applyFill="1" applyBorder="1" applyAlignment="1" applyProtection="1">
      <alignment horizontal="center" vertical="center" wrapText="1"/>
    </xf>
    <xf numFmtId="0" fontId="13" fillId="13" borderId="57" xfId="0" applyFont="1" applyFill="1" applyBorder="1" applyAlignment="1" applyProtection="1">
      <alignment horizontal="center" vertical="center" wrapText="1"/>
    </xf>
    <xf numFmtId="0" fontId="29" fillId="17" borderId="11" xfId="0" applyFont="1" applyFill="1" applyBorder="1" applyAlignment="1" applyProtection="1">
      <alignment horizontal="center" vertical="center" wrapText="1"/>
    </xf>
    <xf numFmtId="0" fontId="29" fillId="17" borderId="12" xfId="0" applyFont="1" applyFill="1" applyBorder="1" applyAlignment="1" applyProtection="1">
      <alignment horizontal="center" vertical="center" wrapText="1"/>
    </xf>
    <xf numFmtId="0" fontId="29" fillId="17" borderId="15" xfId="0" applyFont="1" applyFill="1" applyBorder="1" applyAlignment="1" applyProtection="1">
      <alignment horizontal="center" vertical="center" wrapText="1"/>
    </xf>
    <xf numFmtId="0" fontId="29" fillId="17" borderId="16" xfId="0" applyFont="1" applyFill="1" applyBorder="1" applyAlignment="1" applyProtection="1">
      <alignment horizontal="center" vertical="center" wrapText="1"/>
    </xf>
    <xf numFmtId="0" fontId="29" fillId="22" borderId="11" xfId="0" applyFont="1" applyFill="1" applyBorder="1" applyAlignment="1" applyProtection="1">
      <alignment horizontal="center" vertical="center" wrapText="1"/>
    </xf>
    <xf numFmtId="0" fontId="29" fillId="22" borderId="12" xfId="0" applyFont="1" applyFill="1" applyBorder="1" applyAlignment="1" applyProtection="1">
      <alignment horizontal="center" vertical="center" wrapText="1"/>
    </xf>
    <xf numFmtId="0" fontId="29" fillId="22" borderId="15" xfId="0" applyFont="1" applyFill="1" applyBorder="1" applyAlignment="1" applyProtection="1">
      <alignment horizontal="center" vertical="center" wrapText="1"/>
    </xf>
    <xf numFmtId="0" fontId="29" fillId="22" borderId="16" xfId="0" applyFont="1" applyFill="1" applyBorder="1" applyAlignment="1" applyProtection="1">
      <alignment horizontal="center" vertical="center" wrapText="1"/>
    </xf>
    <xf numFmtId="0" fontId="2" fillId="4" borderId="2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8" fillId="4" borderId="63" xfId="0" applyFont="1" applyFill="1" applyBorder="1" applyAlignment="1">
      <alignment horizontal="center" vertical="center" wrapText="1"/>
    </xf>
    <xf numFmtId="0" fontId="8" fillId="4" borderId="0" xfId="0" applyFont="1" applyFill="1" applyBorder="1" applyAlignment="1">
      <alignment horizontal="center" vertical="center" wrapText="1"/>
    </xf>
    <xf numFmtId="0" fontId="3" fillId="4" borderId="137" xfId="0" quotePrefix="1" applyFont="1" applyFill="1" applyBorder="1" applyAlignment="1" applyProtection="1">
      <alignment horizontal="center" vertical="center" wrapText="1"/>
    </xf>
    <xf numFmtId="0" fontId="3" fillId="4" borderId="138" xfId="0" quotePrefix="1" applyFont="1" applyFill="1" applyBorder="1" applyAlignment="1" applyProtection="1">
      <alignment horizontal="center" vertical="center" wrapText="1"/>
    </xf>
    <xf numFmtId="0" fontId="26" fillId="4" borderId="127" xfId="0" applyFont="1" applyFill="1" applyBorder="1" applyAlignment="1" applyProtection="1">
      <alignment horizontal="center" vertical="center" wrapText="1"/>
    </xf>
    <xf numFmtId="0" fontId="26" fillId="4" borderId="128" xfId="0" applyFont="1" applyFill="1" applyBorder="1" applyAlignment="1" applyProtection="1">
      <alignment horizontal="center" vertical="center" wrapText="1"/>
    </xf>
    <xf numFmtId="0" fontId="26" fillId="4" borderId="129" xfId="0" applyFont="1" applyFill="1" applyBorder="1" applyAlignment="1" applyProtection="1">
      <alignment horizontal="center" vertical="center" wrapText="1"/>
    </xf>
    <xf numFmtId="0" fontId="3" fillId="4" borderId="127" xfId="0" applyFont="1" applyFill="1" applyBorder="1" applyAlignment="1" applyProtection="1">
      <alignment horizontal="center" vertical="center" wrapText="1"/>
    </xf>
    <xf numFmtId="0" fontId="3" fillId="4" borderId="129" xfId="0" applyFont="1" applyFill="1" applyBorder="1" applyAlignment="1" applyProtection="1">
      <alignment horizontal="center" vertical="center" wrapText="1"/>
    </xf>
    <xf numFmtId="0" fontId="26" fillId="4" borderId="158" xfId="0" applyFont="1" applyFill="1" applyBorder="1" applyAlignment="1" applyProtection="1">
      <alignment horizontal="center" vertical="center" wrapText="1"/>
    </xf>
    <xf numFmtId="0" fontId="26" fillId="4" borderId="159" xfId="0" applyFont="1" applyFill="1" applyBorder="1" applyAlignment="1" applyProtection="1">
      <alignment horizontal="center" vertical="center" wrapText="1"/>
    </xf>
    <xf numFmtId="0" fontId="26" fillId="4" borderId="160" xfId="0" applyFont="1" applyFill="1" applyBorder="1" applyAlignment="1" applyProtection="1">
      <alignment horizontal="center" vertical="center" wrapText="1"/>
    </xf>
    <xf numFmtId="0" fontId="6" fillId="9" borderId="63" xfId="0" applyFont="1" applyFill="1" applyBorder="1" applyAlignment="1">
      <alignment vertical="center" wrapText="1"/>
    </xf>
    <xf numFmtId="0" fontId="6" fillId="9" borderId="13" xfId="0" applyFont="1" applyFill="1" applyBorder="1" applyAlignment="1">
      <alignment vertical="center" wrapText="1"/>
    </xf>
    <xf numFmtId="0" fontId="6" fillId="9" borderId="14" xfId="0" applyFont="1" applyFill="1" applyBorder="1" applyAlignment="1">
      <alignment vertical="center" wrapText="1"/>
    </xf>
    <xf numFmtId="0" fontId="6" fillId="9" borderId="16" xfId="0" applyFont="1" applyFill="1" applyBorder="1" applyAlignment="1">
      <alignment vertical="center" wrapText="1"/>
    </xf>
    <xf numFmtId="0" fontId="6" fillId="9" borderId="10" xfId="0" applyFont="1" applyFill="1" applyBorder="1" applyAlignment="1" applyProtection="1">
      <alignment horizontal="left" vertical="center" wrapText="1"/>
    </xf>
    <xf numFmtId="0" fontId="6" fillId="9" borderId="12" xfId="0" applyFont="1" applyFill="1" applyBorder="1" applyAlignment="1" applyProtection="1">
      <alignment horizontal="left" vertical="center" wrapText="1"/>
    </xf>
    <xf numFmtId="0" fontId="6" fillId="9" borderId="63" xfId="0" applyFont="1" applyFill="1" applyBorder="1" applyAlignment="1" applyProtection="1">
      <alignment horizontal="left" vertical="center" wrapText="1"/>
    </xf>
    <xf numFmtId="0" fontId="6" fillId="9" borderId="13" xfId="0" applyFont="1" applyFill="1" applyBorder="1" applyAlignment="1" applyProtection="1">
      <alignment horizontal="left" vertical="center" wrapText="1"/>
    </xf>
    <xf numFmtId="0" fontId="28" fillId="19" borderId="63" xfId="0" applyFont="1" applyFill="1" applyBorder="1" applyAlignment="1" applyProtection="1">
      <alignment horizontal="right" vertical="center" wrapText="1"/>
    </xf>
    <xf numFmtId="0" fontId="29" fillId="19" borderId="13" xfId="0" applyFont="1" applyFill="1" applyBorder="1" applyAlignment="1" applyProtection="1">
      <alignment horizontal="left" vertical="center" wrapText="1"/>
    </xf>
    <xf numFmtId="0" fontId="28" fillId="17" borderId="63" xfId="0" applyFont="1" applyFill="1" applyBorder="1" applyAlignment="1" applyProtection="1">
      <alignment horizontal="right" vertical="center" wrapText="1"/>
    </xf>
    <xf numFmtId="0" fontId="29" fillId="17" borderId="13" xfId="0" applyFont="1" applyFill="1" applyBorder="1" applyAlignment="1" applyProtection="1">
      <alignment horizontal="left" vertical="center" wrapText="1"/>
    </xf>
    <xf numFmtId="0" fontId="28" fillId="26" borderId="10" xfId="0" applyFont="1" applyFill="1" applyBorder="1" applyAlignment="1" applyProtection="1">
      <alignment horizontal="right" vertical="center" wrapText="1"/>
    </xf>
    <xf numFmtId="0" fontId="28" fillId="26" borderId="63" xfId="0" applyFont="1" applyFill="1" applyBorder="1" applyAlignment="1" applyProtection="1">
      <alignment horizontal="right" vertical="center" wrapText="1"/>
    </xf>
    <xf numFmtId="0" fontId="28" fillId="26" borderId="14" xfId="0" applyFont="1" applyFill="1" applyBorder="1" applyAlignment="1" applyProtection="1">
      <alignment horizontal="right" vertical="center" wrapText="1"/>
    </xf>
    <xf numFmtId="0" fontId="29" fillId="26" borderId="12" xfId="0" applyFont="1" applyFill="1" applyBorder="1" applyAlignment="1" applyProtection="1">
      <alignment horizontal="left" vertical="center" wrapText="1"/>
    </xf>
    <xf numFmtId="0" fontId="29" fillId="26" borderId="13" xfId="0" applyFont="1" applyFill="1" applyBorder="1" applyAlignment="1" applyProtection="1">
      <alignment horizontal="left" vertical="center" wrapText="1"/>
    </xf>
    <xf numFmtId="0" fontId="29" fillId="26" borderId="16" xfId="0" applyFont="1" applyFill="1" applyBorder="1" applyAlignment="1" applyProtection="1">
      <alignment horizontal="left"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3" xfId="0" applyBorder="1" applyAlignment="1">
      <alignment wrapText="1"/>
    </xf>
    <xf numFmtId="0" fontId="0" fillId="0" borderId="24" xfId="0" applyBorder="1" applyAlignment="1">
      <alignment wrapText="1"/>
    </xf>
    <xf numFmtId="0" fontId="12" fillId="24" borderId="14" xfId="0" applyFont="1" applyFill="1" applyBorder="1" applyAlignment="1">
      <alignment horizontal="center" vertical="center" wrapText="1"/>
    </xf>
    <xf numFmtId="0" fontId="12" fillId="24" borderId="15" xfId="0" applyFont="1" applyFill="1" applyBorder="1" applyAlignment="1">
      <alignment horizontal="center" vertical="center" wrapText="1"/>
    </xf>
    <xf numFmtId="0" fontId="12" fillId="24" borderId="22" xfId="0" applyFont="1" applyFill="1" applyBorder="1" applyAlignment="1">
      <alignment horizontal="center" vertical="center" wrapText="1"/>
    </xf>
    <xf numFmtId="0" fontId="12" fillId="24" borderId="23" xfId="0" applyFont="1" applyFill="1" applyBorder="1" applyAlignment="1">
      <alignment horizontal="center" vertical="center" wrapText="1"/>
    </xf>
    <xf numFmtId="0" fontId="12" fillId="24" borderId="24" xfId="0" applyFont="1" applyFill="1" applyBorder="1" applyAlignment="1">
      <alignment horizontal="center" vertical="center" wrapText="1"/>
    </xf>
    <xf numFmtId="0" fontId="12" fillId="10" borderId="14" xfId="0" applyFont="1" applyFill="1" applyBorder="1" applyAlignment="1">
      <alignment horizontal="center" vertical="center" wrapText="1"/>
    </xf>
    <xf numFmtId="0" fontId="12" fillId="10" borderId="15"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12" fillId="10" borderId="22" xfId="0" applyFont="1" applyFill="1" applyBorder="1" applyAlignment="1">
      <alignment horizontal="center" vertical="center" wrapText="1"/>
    </xf>
    <xf numFmtId="0" fontId="12" fillId="10" borderId="23" xfId="0" applyFont="1" applyFill="1" applyBorder="1" applyAlignment="1">
      <alignment horizontal="center" vertical="center" wrapText="1"/>
    </xf>
    <xf numFmtId="0" fontId="12" fillId="10" borderId="24"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23" xfId="0" applyFont="1" applyFill="1" applyBorder="1" applyAlignment="1">
      <alignment horizontal="center" vertical="center" wrapText="1"/>
    </xf>
    <xf numFmtId="0" fontId="12" fillId="3" borderId="24"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4" borderId="63"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2" xfId="0" applyFont="1" applyFill="1" applyBorder="1" applyAlignment="1">
      <alignment horizontal="center" vertical="center"/>
    </xf>
    <xf numFmtId="0" fontId="3" fillId="4" borderId="24" xfId="0" applyFont="1" applyFill="1" applyBorder="1" applyAlignment="1">
      <alignment horizontal="center" vertical="center"/>
    </xf>
    <xf numFmtId="0" fontId="0" fillId="0" borderId="23" xfId="0" applyBorder="1" applyAlignment="1">
      <alignment vertical="center" wrapText="1"/>
    </xf>
    <xf numFmtId="0" fontId="0" fillId="0" borderId="24" xfId="0" applyBorder="1" applyAlignment="1">
      <alignment vertical="center" wrapText="1"/>
    </xf>
    <xf numFmtId="0" fontId="31" fillId="4" borderId="22" xfId="0" applyFont="1" applyFill="1" applyBorder="1" applyAlignment="1">
      <alignment horizontal="center" vertical="center" wrapText="1"/>
    </xf>
    <xf numFmtId="0" fontId="31" fillId="4" borderId="24"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2" fontId="6" fillId="12" borderId="14" xfId="0" applyNumberFormat="1" applyFont="1" applyFill="1" applyBorder="1" applyAlignment="1">
      <alignment horizontal="center" vertical="center" wrapText="1"/>
    </xf>
    <xf numFmtId="2" fontId="6" fillId="12" borderId="16" xfId="0" applyNumberFormat="1" applyFont="1" applyFill="1" applyBorder="1" applyAlignment="1">
      <alignment horizontal="center" vertical="center" wrapText="1"/>
    </xf>
    <xf numFmtId="0" fontId="3" fillId="4" borderId="0" xfId="0" applyFont="1" applyFill="1" applyBorder="1" applyAlignment="1">
      <alignment horizontal="left" vertical="center" wrapText="1"/>
    </xf>
    <xf numFmtId="0" fontId="3" fillId="4" borderId="60" xfId="0" applyFont="1" applyFill="1" applyBorder="1" applyAlignment="1">
      <alignment horizontal="left" vertical="center" wrapText="1"/>
    </xf>
  </cellXfs>
  <cellStyles count="11">
    <cellStyle name="Activity" xfId="5"/>
    <cellStyle name="Label" xfId="4"/>
    <cellStyle name="Lien hypertexte" xfId="9" builtinId="8"/>
    <cellStyle name="Milliers" xfId="10" builtinId="3"/>
    <cellStyle name="Normal" xfId="0" builtinId="0"/>
    <cellStyle name="Normal 2" xfId="2"/>
    <cellStyle name="Percent Complete" xfId="6"/>
    <cellStyle name="Period Headers" xfId="8"/>
    <cellStyle name="Period Highlight Control" xfId="3"/>
    <cellStyle name="Project Headers" xfId="7"/>
    <cellStyle name="Titre 1 2" xfId="1"/>
  </cellStyles>
  <dxfs count="1848">
    <dxf>
      <font>
        <color rgb="FFFF0000"/>
      </font>
      <fill>
        <patternFill>
          <bgColor rgb="FFFF0000"/>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rgb="FFFF0000"/>
        </patternFill>
      </fill>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ont>
        <color theme="0" tint="-0.24994659260841701"/>
      </font>
    </dxf>
    <dxf>
      <font>
        <color rgb="FFFF0000"/>
      </font>
    </dxf>
    <dxf>
      <fill>
        <patternFill>
          <bgColor rgb="FFFF0000"/>
        </patternFill>
      </fill>
    </dxf>
    <dxf>
      <fill>
        <patternFill>
          <bgColor theme="9" tint="-0.24994659260841701"/>
        </patternFill>
      </fill>
    </dxf>
    <dxf>
      <font>
        <color theme="0" tint="-0.24994659260841701"/>
      </font>
    </dxf>
    <dxf>
      <font>
        <color rgb="FFFF0000"/>
      </font>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ont>
        <color theme="0" tint="-0.24994659260841701"/>
      </font>
    </dxf>
    <dxf>
      <font>
        <color rgb="FFFF0000"/>
      </font>
    </dxf>
    <dxf>
      <fill>
        <patternFill>
          <bgColor rgb="FFFF0000"/>
        </patternFill>
      </fill>
    </dxf>
    <dxf>
      <fill>
        <patternFill>
          <bgColor theme="9" tint="-0.24994659260841701"/>
        </patternFill>
      </fill>
    </dxf>
    <dxf>
      <font>
        <color theme="0" tint="-0.24994659260841701"/>
      </font>
    </dxf>
    <dxf>
      <font>
        <color rgb="FFFF0000"/>
      </font>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rgb="FFFF0000"/>
        </patternFill>
      </fill>
    </dxf>
    <dxf>
      <fill>
        <patternFill>
          <bgColor rgb="FFFF0000"/>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rgb="FFFF0000"/>
        </patternFill>
      </fill>
    </dxf>
    <dxf>
      <fill>
        <patternFill>
          <bgColor rgb="FFFF0000"/>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0000"/>
        </patternFill>
      </fill>
    </dxf>
    <dxf>
      <fill>
        <patternFill>
          <bgColor theme="9" tint="-0.24994659260841701"/>
        </patternFill>
      </fill>
    </dxf>
    <dxf>
      <font>
        <color theme="0" tint="-0.24994659260841701"/>
      </font>
    </dxf>
    <dxf>
      <font>
        <color rgb="FFFF0000"/>
      </font>
    </dxf>
    <dxf>
      <fill>
        <patternFill>
          <bgColor theme="9" tint="-0.24994659260841701"/>
        </patternFill>
      </fill>
    </dxf>
    <dxf>
      <fill>
        <patternFill>
          <bgColor rgb="FFFF0000"/>
        </patternFill>
      </fill>
    </dxf>
    <dxf>
      <fill>
        <patternFill>
          <bgColor rgb="FFFF0000"/>
        </patternFill>
      </fill>
    </dxf>
    <dxf>
      <fill>
        <patternFill>
          <bgColor rgb="FF00B050"/>
        </patternFill>
      </fill>
    </dxf>
    <dxf>
      <font>
        <color theme="9" tint="-0.499984740745262"/>
      </font>
      <fill>
        <patternFill>
          <bgColor theme="9" tint="-0.499984740745262"/>
        </patternFill>
      </fill>
    </dxf>
    <dxf>
      <font>
        <color rgb="FFFF0000"/>
      </font>
      <fill>
        <patternFill>
          <bgColor rgb="FFFF0000"/>
        </patternFill>
      </fill>
    </dxf>
    <dxf>
      <fill>
        <patternFill>
          <bgColor theme="9" tint="-0.24994659260841701"/>
        </patternFill>
      </fill>
    </dxf>
    <dxf>
      <font>
        <color rgb="FFFF0000"/>
      </font>
      <fill>
        <patternFill>
          <bgColor rgb="FFFF0000"/>
        </patternFill>
      </fill>
    </dxf>
    <dxf>
      <font>
        <color rgb="FFC00000"/>
      </font>
      <fill>
        <patternFill>
          <bgColor rgb="FFC00000"/>
        </patternFill>
      </fill>
    </dxf>
    <dxf>
      <fill>
        <patternFill>
          <bgColor theme="9" tint="-0.24994659260841701"/>
        </patternFill>
      </fill>
    </dxf>
    <dxf>
      <font>
        <color rgb="FFC00000"/>
      </font>
      <fill>
        <patternFill>
          <bgColor rgb="FFC00000"/>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ill>
        <patternFill>
          <bgColor theme="9" tint="-0.24994659260841701"/>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ill>
        <patternFill>
          <bgColor rgb="FFFFFF00"/>
        </patternFill>
      </fill>
    </dxf>
    <dxf>
      <font>
        <color rgb="FFFF0000"/>
      </font>
      <fill>
        <patternFill>
          <bgColor rgb="FFFF0000"/>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ill>
        <patternFill>
          <bgColor theme="9" tint="-0.24994659260841701"/>
        </patternFill>
      </fill>
    </dxf>
    <dxf>
      <font>
        <color rgb="FFFF0000"/>
      </font>
      <fill>
        <patternFill>
          <bgColor rgb="FFFF0000"/>
        </patternFill>
      </fill>
    </dxf>
    <dxf>
      <font>
        <color auto="1"/>
      </font>
      <fill>
        <patternFill>
          <bgColor theme="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rgb="FFFF0000"/>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rgb="FFFF0000"/>
      </font>
      <fill>
        <patternFill>
          <bgColor rgb="FFFF0000"/>
        </patternFill>
      </fill>
    </dxf>
    <dxf>
      <fill>
        <patternFill>
          <bgColor theme="9" tint="-0.24994659260841701"/>
        </patternFill>
      </fill>
    </dxf>
    <dxf>
      <font>
        <color rgb="FFFF0000"/>
      </font>
      <fill>
        <patternFill>
          <bgColor rgb="FFFF0000"/>
        </patternFill>
      </fill>
    </dxf>
    <dxf>
      <font>
        <color rgb="FFC00000"/>
      </font>
      <fill>
        <patternFill>
          <bgColor rgb="FFC00000"/>
        </patternFill>
      </fill>
    </dxf>
    <dxf>
      <font>
        <color theme="9" tint="-0.499984740745262"/>
      </font>
      <fill>
        <patternFill>
          <bgColor theme="9" tint="-0.499984740745262"/>
        </patternFill>
      </fill>
    </dxf>
    <dxf>
      <font>
        <color rgb="FFFF0000"/>
      </font>
      <fill>
        <patternFill>
          <bgColor rgb="FFFF0000"/>
        </patternFill>
      </fill>
    </dxf>
    <dxf>
      <fill>
        <patternFill>
          <bgColor theme="9" tint="-0.24994659260841701"/>
        </patternFill>
      </fill>
    </dxf>
    <dxf>
      <font>
        <color rgb="FFFF0000"/>
      </font>
      <fill>
        <patternFill>
          <bgColor rgb="FFFF0000"/>
        </patternFill>
      </fill>
    </dxf>
    <dxf>
      <font>
        <b val="0"/>
        <i val="0"/>
        <color auto="1"/>
      </font>
      <fill>
        <patternFill>
          <bgColor rgb="FFFFFF00"/>
        </patternFill>
      </fill>
    </dxf>
    <dxf>
      <fill>
        <patternFill>
          <bgColor rgb="FFFFFF00"/>
        </patternFill>
      </fill>
    </dxf>
    <dxf>
      <font>
        <color theme="9" tint="-0.499984740745262"/>
      </font>
      <fill>
        <patternFill>
          <bgColor theme="9" tint="-0.499984740745262"/>
        </patternFill>
      </fill>
    </dxf>
    <dxf>
      <font>
        <color rgb="FFC00000"/>
      </font>
      <fill>
        <patternFill>
          <bgColor rgb="FFC0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F0"/>
        </patternFill>
      </fill>
    </dxf>
    <dxf>
      <fill>
        <patternFill>
          <bgColor rgb="FFFF0000"/>
        </patternFill>
      </fill>
    </dxf>
    <dxf>
      <font>
        <color theme="0"/>
      </font>
      <fill>
        <patternFill>
          <bgColor theme="0"/>
        </patternFill>
      </fill>
    </dxf>
    <dxf>
      <font>
        <color theme="0" tint="-4.9989318521683403E-2"/>
      </font>
      <fill>
        <patternFill>
          <bgColor theme="0" tint="-4.9989318521683403E-2"/>
        </patternFill>
      </fill>
    </dxf>
    <dxf>
      <font>
        <color theme="0"/>
      </font>
      <fill>
        <patternFill patternType="lightUp">
          <fgColor rgb="FF0070C0"/>
        </patternFill>
      </fill>
      <border>
        <left/>
        <right/>
        <top style="thin">
          <color rgb="FF002060"/>
        </top>
        <bottom style="thin">
          <color rgb="FF002060"/>
        </bottom>
      </border>
    </dxf>
    <dxf>
      <font>
        <color rgb="FFFFFFFF"/>
      </font>
      <fill>
        <patternFill patternType="lightGray">
          <fgColor rgb="FFFF0000"/>
          <bgColor auto="1"/>
        </patternFill>
      </fill>
      <border>
        <left/>
        <right/>
        <top style="thin">
          <color rgb="FFFF0000"/>
        </top>
        <bottom style="thin">
          <color rgb="FFFF0000"/>
        </bottom>
      </border>
    </dxf>
    <dxf>
      <font>
        <color rgb="FFFF9F9F"/>
      </font>
      <fill>
        <patternFill patternType="lightUp">
          <fgColor rgb="FF0070C0"/>
          <bgColor rgb="FFFF9F9F"/>
        </patternFill>
      </fill>
      <border>
        <left/>
        <right/>
        <top style="thin">
          <color rgb="FFFF3399"/>
        </top>
        <bottom style="thin">
          <color rgb="FFFF3399"/>
        </bottom>
      </border>
    </dxf>
    <dxf>
      <font>
        <color rgb="FF009682"/>
      </font>
      <fill>
        <patternFill patternType="solid">
          <fgColor auto="1"/>
          <bgColor rgb="FF009682"/>
        </patternFill>
      </fill>
      <border>
        <left/>
        <right/>
        <top style="thin">
          <color rgb="FF007864"/>
        </top>
        <bottom style="thin">
          <color rgb="FF007864"/>
        </bottom>
      </border>
    </dxf>
    <dxf>
      <font>
        <color rgb="FF00B050"/>
      </font>
      <fill>
        <patternFill patternType="solid">
          <fgColor auto="1"/>
          <bgColor rgb="FF00B050"/>
        </patternFill>
      </fill>
      <border>
        <left/>
        <right/>
        <top style="thin">
          <color rgb="FF008C3C"/>
        </top>
        <bottom style="thin">
          <color rgb="FF008C3C"/>
        </bottom>
      </border>
    </dxf>
    <dxf>
      <font>
        <color theme="4" tint="0.39994506668294322"/>
      </font>
      <fill>
        <patternFill>
          <bgColor theme="4" tint="0.39994506668294322"/>
        </patternFill>
      </fill>
      <border>
        <left style="thin">
          <color rgb="FF0070C0"/>
        </left>
        <right style="thin">
          <color rgb="FF0070C0"/>
        </right>
        <top/>
        <bottom/>
        <vertical/>
        <horizontal/>
      </border>
    </dxf>
    <dxf>
      <font>
        <color theme="0"/>
      </font>
      <fill>
        <patternFill>
          <bgColor rgb="FF002060"/>
        </patternFill>
      </fill>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bottom style="thin">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left style="medium">
          <color indexed="64"/>
        </left>
        <right style="medium">
          <color indexed="64"/>
        </right>
        <bottom style="thin">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left style="medium">
          <color indexed="64"/>
        </left>
        <bottom style="thin">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outline="0">
        <top style="thin">
          <color indexed="64"/>
        </top>
      </border>
    </dxf>
    <dxf>
      <border outline="0">
        <left style="medium">
          <color indexed="64"/>
        </left>
        <right style="medium">
          <color indexed="64"/>
        </right>
        <top style="thin">
          <color indexed="64"/>
        </top>
        <bottom style="medium">
          <color indexed="64"/>
        </bottom>
      </border>
    </dxf>
    <dxf>
      <border>
        <bottom style="medium">
          <color indexed="64"/>
        </bottom>
        <vertical/>
        <horizontal/>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vertical/>
        <horizontal/>
      </border>
    </dxf>
    <dxf>
      <border diagonalUp="0" diagonalDown="0">
        <left/>
        <right/>
        <top/>
        <bottom/>
        <vertical/>
        <horizontal/>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medium">
          <color auto="1"/>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medium">
          <color auto="1"/>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medium">
          <color auto="1"/>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medium">
          <color auto="1"/>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medium">
          <color auto="1"/>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medium">
          <color auto="1"/>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b val="0"/>
        <i val="0"/>
        <strike val="0"/>
        <condense val="0"/>
        <extend val="0"/>
        <outline val="0"/>
        <shadow val="0"/>
        <u val="none"/>
        <vertAlign val="baseline"/>
        <sz val="8"/>
        <color theme="1"/>
        <name val="Calibri"/>
        <scheme val="minor"/>
      </font>
      <fill>
        <patternFill patternType="solid">
          <fgColor indexed="64"/>
          <bgColor theme="5" tint="0.59999389629810485"/>
        </patternFill>
      </fill>
      <alignment horizontal="center"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15" formatCode="0.00E+00"/>
      <fill>
        <patternFill patternType="solid">
          <fgColor indexed="64"/>
          <bgColor theme="8" tint="0.3999755851924192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numFmt numFmtId="15" formatCode="0.00E+00"/>
      <fill>
        <patternFill patternType="solid">
          <fgColor indexed="64"/>
          <bgColor theme="8" tint="0.3999755851924192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numFmt numFmtId="15" formatCode="0.00E+00"/>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8"/>
        <color theme="1"/>
        <name val="Calibri"/>
        <scheme val="minor"/>
      </font>
      <fill>
        <patternFill>
          <fgColor indexed="64"/>
          <bgColor theme="0"/>
        </patternFill>
      </fill>
      <alignment horizontal="center" vertical="center" textRotation="0" wrapText="1" indent="0" justifyLastLine="0" shrinkToFit="0" readingOrder="0"/>
    </dxf>
    <dxf>
      <border>
        <bottom style="medium">
          <color indexed="64"/>
        </bottom>
      </border>
    </dxf>
    <dxf>
      <font>
        <b val="0"/>
        <i val="0"/>
        <strike val="0"/>
        <condense val="0"/>
        <extend val="0"/>
        <outline val="0"/>
        <shadow val="0"/>
        <u val="none"/>
        <vertAlign val="baseline"/>
        <sz val="10"/>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auto="1"/>
        </left>
        <right style="thin">
          <color auto="1"/>
        </right>
        <top/>
        <bottom/>
        <vertical style="thin">
          <color auto="1"/>
        </vertical>
        <horizontal/>
      </border>
    </dxf>
    <dxf>
      <font>
        <strike val="0"/>
        <outline val="0"/>
        <shadow val="0"/>
        <u val="none"/>
        <vertAlign val="baseline"/>
        <sz val="8"/>
        <color theme="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8"/>
        <color theme="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color theme="1"/>
        <name val="Calibri"/>
        <scheme val="minor"/>
      </font>
      <fill>
        <patternFill patternType="none">
          <fgColor indexed="64"/>
          <bgColor auto="1"/>
        </patternFill>
      </fill>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177" formatCode="dd/mm&quot;-&quot;hh"/>
      <fill>
        <patternFill patternType="solid">
          <fgColor indexed="64"/>
          <bgColor rgb="FF92D050"/>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border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8"/>
        <color theme="1"/>
        <name val="Calibri"/>
        <scheme val="minor"/>
      </font>
      <numFmt numFmtId="177" formatCode="dd/mm&quot;-&quot;hh"/>
      <fill>
        <patternFill patternType="solid">
          <fgColor indexed="64"/>
          <bgColor rgb="FF92D050"/>
        </patternFill>
      </fill>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medium">
          <color indexed="64"/>
        </left>
        <right style="medium">
          <color indexed="64"/>
        </right>
        <top style="thin">
          <color auto="1"/>
        </top>
        <bottom style="thin">
          <color auto="1"/>
        </bottom>
        <vertical/>
        <horizontal style="thin">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outline="0">
        <left style="thin">
          <color indexed="64"/>
        </left>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relative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outline="0">
        <right style="thin">
          <color indexed="64"/>
        </right>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outline="0">
        <left style="thin">
          <color indexed="64"/>
        </left>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relative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outline="0">
        <right style="thin">
          <color indexed="64"/>
        </right>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outline="0">
        <left style="thin">
          <color indexed="64"/>
        </left>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relative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outline="0">
        <right style="thin">
          <color indexed="64"/>
        </right>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medium">
          <color auto="1"/>
        </left>
        <right/>
        <top style="thin">
          <color indexed="64"/>
        </top>
        <bottom style="thin">
          <color indexed="64"/>
        </bottom>
        <vertical style="medium">
          <color auto="1"/>
        </vertical>
        <horizontal style="thin">
          <color indexed="64"/>
        </horizontal>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left style="medium">
          <color auto="1"/>
        </left>
        <right style="medium">
          <color auto="1"/>
        </right>
        <top style="thin">
          <color indexed="64"/>
        </top>
        <bottom style="thin">
          <color indexed="64"/>
        </bottom>
        <vertical style="medium">
          <color auto="1"/>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medium">
          <color auto="1"/>
        </left>
        <right style="medium">
          <color auto="1"/>
        </right>
        <top style="thin">
          <color indexed="64"/>
        </top>
        <bottom style="thin">
          <color indexed="64"/>
        </bottom>
        <vertical style="medium">
          <color auto="1"/>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auto="1"/>
        </right>
        <top style="thin">
          <color indexed="64"/>
        </top>
        <bottom style="thin">
          <color indexed="64"/>
        </bottom>
        <vertical style="medium">
          <color auto="1"/>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justifyLastLine="0" shrinkToFit="0" readingOrder="0"/>
      <border diagonalUp="0" diagonalDown="0">
        <left style="thin">
          <color auto="1"/>
        </left>
        <right/>
        <top style="medium">
          <color auto="1"/>
        </top>
        <bottom style="medium">
          <color auto="1"/>
        </bottom>
        <vertical style="thin">
          <color auto="1"/>
        </vertical>
        <horizontal style="medium">
          <color auto="1"/>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right style="thin">
          <color auto="1"/>
        </right>
        <top style="medium">
          <color auto="1"/>
        </top>
        <bottom style="medium">
          <color auto="1"/>
        </bottom>
        <vertical style="thin">
          <color auto="1"/>
        </vertical>
        <horizontal style="medium">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justifyLastLine="0" shrinkToFit="0" readingOrder="0"/>
    </dxf>
    <dxf>
      <border>
        <bottom style="medium">
          <color indexed="64"/>
        </bottom>
      </border>
    </dxf>
    <dxf>
      <font>
        <b/>
        <i val="0"/>
        <strike val="0"/>
        <condense val="0"/>
        <extend val="0"/>
        <outline val="0"/>
        <shadow val="0"/>
        <u val="none"/>
        <vertAlign val="baseline"/>
        <sz val="8"/>
        <color theme="1"/>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thin">
          <color auto="1"/>
        </left>
        <right style="thin">
          <color auto="1"/>
        </right>
        <top/>
        <bottom/>
        <vertical style="thin">
          <color auto="1"/>
        </vertical>
        <horizontal style="medium">
          <color auto="1"/>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justifyLastLine="0" shrinkToFit="0" readingOrder="0"/>
      <border diagonalUp="0" diagonalDown="0">
        <left style="thin">
          <color auto="1"/>
        </left>
        <right style="medium">
          <color auto="1"/>
        </right>
        <top style="thin">
          <color auto="1"/>
        </top>
        <bottom style="thin">
          <color auto="1"/>
        </bottom>
        <vertical style="thin">
          <color auto="1"/>
        </vertical>
        <horizontal style="thin">
          <color auto="1"/>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medium">
          <color auto="1"/>
        </left>
        <right style="thin">
          <color auto="1"/>
        </right>
        <top style="thin">
          <color auto="1"/>
        </top>
        <bottom style="thin">
          <color auto="1"/>
        </bottom>
        <vertical style="thin">
          <color auto="1"/>
        </vertical>
        <horizontal style="thin">
          <color auto="1"/>
        </horizontal>
      </border>
    </dxf>
    <dxf>
      <border>
        <bottom style="medium">
          <color indexed="64"/>
        </bottom>
      </border>
    </dxf>
    <dxf>
      <font>
        <b/>
        <i val="0"/>
        <strike val="0"/>
        <condense val="0"/>
        <extend val="0"/>
        <outline val="0"/>
        <shadow val="0"/>
        <u val="none"/>
        <vertAlign val="baseline"/>
        <sz val="8"/>
        <color theme="1"/>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medium">
          <color indexed="64"/>
        </left>
        <right style="medium">
          <color indexed="64"/>
        </right>
        <top style="thin">
          <color auto="1"/>
        </top>
        <bottom style="thin">
          <color auto="1"/>
        </bottom>
        <vertical/>
        <horizontal style="thin">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medium">
          <color indexed="64"/>
        </left>
        <right style="medium">
          <color indexed="64"/>
        </right>
        <top style="thin">
          <color auto="1"/>
        </top>
        <bottom style="thin">
          <color auto="1"/>
        </bottom>
        <vertical/>
        <horizontal style="thin">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justifyLastLine="0" shrinkToFit="0" readingOrder="0"/>
    </dxf>
    <dxf>
      <border>
        <bottom style="medium">
          <color indexed="64"/>
        </bottom>
      </border>
    </dxf>
    <dxf>
      <font>
        <b/>
        <i val="0"/>
        <strike val="0"/>
        <condense val="0"/>
        <extend val="0"/>
        <outline val="0"/>
        <shadow val="0"/>
        <u val="none"/>
        <vertAlign val="baseline"/>
        <sz val="8"/>
        <color theme="1"/>
        <name val="Calibri"/>
        <scheme val="minor"/>
      </font>
      <fill>
        <patternFill patternType="solid">
          <fgColor indexed="64"/>
          <bgColor rgb="FF002060"/>
        </patternFill>
      </fill>
      <alignment horizontal="center" vertical="center" textRotation="0" wrapText="0" indent="0" justifyLastLine="0" shrinkToFit="0" readingOrder="0"/>
      <border diagonalUp="0" diagonalDown="0">
        <left style="medium">
          <color auto="1"/>
        </left>
        <right style="medium">
          <color auto="1"/>
        </right>
        <top/>
        <bottom/>
        <vertical style="medium">
          <color auto="1"/>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dxf>
    <dxf>
      <font>
        <strike val="0"/>
        <outline val="0"/>
        <shadow val="0"/>
        <u val="none"/>
        <vertAlign val="baseline"/>
        <sz val="8"/>
        <name val="Calibri"/>
        <scheme val="minor"/>
      </font>
      <numFmt numFmtId="3" formatCode="#,##0"/>
      <fill>
        <patternFill patternType="solid">
          <fgColor indexed="64"/>
          <bgColor rgb="FF7030A0"/>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right style="medium">
          <color indexed="64"/>
        </right>
        <top/>
        <bottom/>
        <vertical/>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top/>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right style="medium">
          <color indexed="64"/>
        </right>
        <top/>
        <bottom/>
        <vertical/>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top/>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180" formatCode="mm:ss.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b/>
        <strike val="0"/>
        <outline val="0"/>
        <shadow val="0"/>
        <u val="none"/>
        <vertAlign val="baseline"/>
        <sz val="8"/>
        <color theme="0"/>
        <name val="Calibri"/>
        <scheme val="minor"/>
      </font>
      <numFmt numFmtId="3" formatCode="#,##0"/>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auto="1"/>
        <name val="Calibri"/>
        <scheme val="minor"/>
      </font>
      <numFmt numFmtId="3" formatCode="#,##0"/>
      <fill>
        <patternFill patternType="solid">
          <fgColor indexed="64"/>
          <bgColor theme="8" tint="-0.249977111117893"/>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13" formatCode="0%"/>
      <fill>
        <patternFill patternType="solid">
          <fgColor indexed="64"/>
          <bgColor rgb="FF92D050"/>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numFmt numFmtId="3" formatCode="#,##0"/>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auto="1"/>
        <name val="Calibri"/>
        <scheme val="minor"/>
      </font>
      <numFmt numFmtId="3" formatCode="#,##0"/>
      <fill>
        <patternFill patternType="solid">
          <fgColor indexed="64"/>
          <bgColor theme="8" tint="-0.249977111117893"/>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justifyLastLine="0" shrinkToFit="0" readingOrder="0"/>
    </dxf>
    <dxf>
      <border>
        <bottom style="thin">
          <color indexed="64"/>
        </bottom>
      </border>
    </dxf>
    <dxf>
      <font>
        <strike val="0"/>
        <outline val="0"/>
        <shadow val="0"/>
        <u val="none"/>
        <vertAlign val="baseline"/>
        <sz val="8"/>
        <color theme="1"/>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numFmt numFmtId="3" formatCode="#,##0"/>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auto="1"/>
        <name val="Calibri"/>
        <scheme val="minor"/>
      </font>
      <numFmt numFmtId="3" formatCode="#,##0"/>
      <fill>
        <patternFill patternType="solid">
          <fgColor indexed="64"/>
          <bgColor theme="8" tint="-0.249977111117893"/>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justifyLastLine="0" shrinkToFit="0" readingOrder="0"/>
    </dxf>
    <dxf>
      <border>
        <bottom style="thin">
          <color indexed="64"/>
        </bottom>
      </border>
    </dxf>
    <dxf>
      <font>
        <strike val="0"/>
        <outline val="0"/>
        <shadow val="0"/>
        <u val="none"/>
        <vertAlign val="baseline"/>
        <sz val="8"/>
        <color theme="1"/>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3" formatCode="#,##0"/>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border outline="0">
        <top style="medium">
          <color indexed="64"/>
        </top>
        <bottom style="medium">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theme="0"/>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theme="0"/>
        </left>
        <right style="thin">
          <color indexed="64"/>
        </right>
        <top style="thin">
          <color theme="0"/>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bottom style="thin">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theme="0"/>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theme="0"/>
        </left>
        <right style="thin">
          <color indexed="64"/>
        </right>
        <top style="thin">
          <color theme="0"/>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left style="medium">
          <color indexed="64"/>
        </left>
        <right style="medium">
          <color indexed="64"/>
        </right>
        <bottom style="thin">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theme="0"/>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thin">
          <color theme="0"/>
        </left>
        <right style="thin">
          <color indexed="64"/>
        </right>
        <top style="thin">
          <color theme="0"/>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left style="medium">
          <color indexed="64"/>
        </left>
        <bottom style="thin">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thin">
          <color indexed="64"/>
        </top>
        <bottom style="medium">
          <color indexed="64"/>
        </bottom>
      </border>
    </dxf>
    <dxf>
      <border outline="0">
        <bottom style="thin">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strike val="0"/>
        <outline val="0"/>
        <shadow val="0"/>
        <u val="none"/>
        <vertAlign val="baseline"/>
        <sz val="8"/>
        <name val="Calibri"/>
        <scheme val="minor"/>
      </font>
      <numFmt numFmtId="3" formatCode="#,##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strike val="0"/>
        <outline val="0"/>
        <shadow val="0"/>
        <u val="none"/>
        <vertAlign val="baseline"/>
        <sz val="8"/>
        <name val="Calibri"/>
        <scheme val="minor"/>
      </font>
      <numFmt numFmtId="3" formatCode="#,##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auto="1"/>
        </left>
        <right style="medium">
          <color auto="1"/>
        </right>
        <top/>
        <bottom/>
        <vertical style="medium">
          <color auto="1"/>
        </vertical>
        <horizontal/>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medium">
          <color indexed="64"/>
        </right>
        <top style="medium">
          <color auto="1"/>
        </top>
        <bottom style="medium">
          <color auto="1"/>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medium">
          <color auto="1"/>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medium">
          <color auto="1"/>
        </top>
        <bottom style="medium">
          <color auto="1"/>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justifyLastLine="0" shrinkToFit="0" readingOrder="0"/>
      <border diagonalUp="0" diagonalDown="0">
        <left style="medium">
          <color indexed="64"/>
        </left>
        <right style="thin">
          <color indexed="64"/>
        </right>
        <top style="medium">
          <color auto="1"/>
        </top>
        <bottom style="medium">
          <color auto="1"/>
        </bottom>
        <vertical style="thin">
          <color indexed="64"/>
        </vertical>
        <horizontal style="medium">
          <color auto="1"/>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medium">
          <color indexed="64"/>
        </right>
        <top style="medium">
          <color auto="1"/>
        </top>
        <bottom style="medium">
          <color auto="1"/>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medium">
          <color indexed="64"/>
        </left>
        <right style="thin">
          <color indexed="64"/>
        </right>
        <top style="medium">
          <color auto="1"/>
        </top>
        <bottom style="medium">
          <color auto="1"/>
        </bottom>
        <vertical style="thin">
          <color indexed="64"/>
        </vertical>
        <horizontal style="medium">
          <color auto="1"/>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style="medium">
          <color auto="1"/>
        </top>
        <bottom style="medium">
          <color auto="1"/>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bottom style="thin">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justifyLastLine="0" shrinkToFit="0" readingOrder="0"/>
      <border diagonalUp="0" diagonalDown="0" outline="0">
        <left style="medium">
          <color auto="1"/>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border outline="0">
        <left style="medium">
          <color indexed="64"/>
        </left>
        <right style="medium">
          <color indexed="64"/>
        </right>
        <top style="medium">
          <color indexed="64"/>
        </top>
        <bottom style="medium">
          <color indexed="64"/>
        </bottom>
      </border>
    </dxf>
    <dxf>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outline="0">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outline="0">
        <left style="thin">
          <color indexed="64"/>
        </left>
        <right style="thin">
          <color indexed="64"/>
        </right>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thin">
          <color indexed="64"/>
        </right>
        <top/>
        <bottom/>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8"/>
        <name val="Calibri"/>
        <scheme val="none"/>
      </font>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style="medium">
          <color auto="1"/>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strike val="0"/>
        <outline val="0"/>
        <shadow val="0"/>
        <u val="none"/>
        <vertAlign val="baseline"/>
        <sz val="8"/>
        <color rgb="FFC00000"/>
        <name val="Calibri"/>
        <scheme val="minor"/>
      </font>
      <fill>
        <patternFill patternType="solid">
          <fgColor theme="4" tint="0.59999389629810485"/>
          <bgColor theme="9" tint="0.39997558519241921"/>
        </patternFill>
      </fill>
      <alignment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ill>
        <patternFill patternType="solid">
          <fgColor theme="4" tint="0.59999389629810485"/>
          <bgColor theme="9" tint="0.39997558519241921"/>
        </patternFill>
      </fill>
      <alignment vertical="center" textRotation="0" wrapText="1"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ont>
        <b/>
        <strike val="0"/>
        <outline val="0"/>
        <shadow val="0"/>
        <u val="none"/>
        <vertAlign val="baseline"/>
        <sz val="8"/>
        <color rgb="FFC00000"/>
        <name val="Calibri"/>
        <scheme val="minor"/>
      </font>
      <fill>
        <patternFill patternType="solid">
          <fgColor theme="4" tint="0.59999389629810485"/>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theme="4" tint="0.59999389629810485"/>
          <bgColor theme="9" tint="0.39997558519241921"/>
        </patternFill>
      </fill>
      <alignment vertical="center" textRotation="0" wrapText="1" indent="0" justifyLastLine="0" shrinkToFit="0" readingOrder="0"/>
      <border diagonalUp="0" diagonalDown="0" outline="0">
        <left/>
        <right/>
        <top style="thin">
          <color indexed="64"/>
        </top>
        <bottom style="thin">
          <color indexed="64"/>
        </bottom>
      </border>
    </dxf>
    <dxf>
      <font>
        <b/>
        <strike val="0"/>
        <outline val="0"/>
        <shadow val="0"/>
        <u val="none"/>
        <vertAlign val="baseline"/>
        <sz val="8"/>
        <color rgb="FFC00000"/>
        <name val="Calibri"/>
        <scheme val="minor"/>
      </font>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strike val="0"/>
        <outline val="0"/>
        <shadow val="0"/>
        <u val="none"/>
        <vertAlign val="baseline"/>
        <sz val="8"/>
        <color rgb="FFC00000"/>
        <name val="Calibri"/>
        <scheme val="none"/>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color auto="1"/>
        <name val="Calibri"/>
        <scheme val="none"/>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8"/>
        <name val="Calibri"/>
        <scheme val="none"/>
      </font>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outline="0">
        <left style="medium">
          <color indexed="64"/>
        </left>
        <right style="medium">
          <color indexed="64"/>
        </right>
        <top style="medium">
          <color indexed="64"/>
        </top>
        <bottom style="medium">
          <color indexed="64"/>
        </bottom>
      </border>
    </dxf>
    <dxf>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b/>
        <strike val="0"/>
        <outline val="0"/>
        <shadow val="0"/>
        <u val="none"/>
        <vertAlign val="baseline"/>
        <sz val="8"/>
        <color rgb="FFC00000"/>
        <name val="Calibri"/>
        <scheme val="minor"/>
      </font>
      <numFmt numFmtId="0" formatCode="General"/>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b/>
        <strike val="0"/>
        <outline val="0"/>
        <shadow val="0"/>
        <u val="none"/>
        <vertAlign val="baseline"/>
        <sz val="8"/>
        <color rgb="FFC00000"/>
        <name val="Calibri"/>
        <scheme val="minor"/>
      </font>
      <numFmt numFmtId="0" formatCode="General"/>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b/>
        <strike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thin">
          <color indexed="64"/>
        </right>
        <top/>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b/>
        <sz val="8"/>
        <color rgb="FFC00000"/>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z val="8"/>
        <color auto="1"/>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border>
    </dxf>
    <dxf>
      <font>
        <strike val="0"/>
        <outline val="0"/>
        <shadow val="0"/>
        <u val="none"/>
        <vertAlign val="baseline"/>
        <sz val="8"/>
        <name val="Calibri"/>
        <scheme val="none"/>
      </font>
      <numFmt numFmtId="0" formatCode="General"/>
      <fill>
        <patternFill patternType="solid">
          <bgColor theme="8" tint="0.39997558519241921"/>
        </patternFill>
      </fill>
      <alignment vertical="center" textRotation="0" wrapText="1" indent="0" justifyLastLine="0" shrinkToFit="0" readingOrder="0"/>
      <border>
        <left style="thin">
          <color indexed="64"/>
        </left>
      </border>
    </dxf>
    <dxf>
      <font>
        <strike val="0"/>
        <outline val="0"/>
        <shadow val="0"/>
        <u val="none"/>
        <vertAlign val="baseline"/>
        <sz val="8"/>
        <name val="Calibri"/>
        <scheme val="none"/>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justifyLastLine="0" shrinkToFit="0" readingOrder="0"/>
      <border>
        <left style="thin">
          <color indexed="64"/>
        </left>
        <right style="thin">
          <color indexed="64"/>
        </right>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thin">
          <color indexed="64"/>
        </right>
        <top/>
        <bottom/>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8"/>
        <name val="Calibri"/>
        <scheme val="none"/>
      </font>
      <fill>
        <patternFill>
          <bgColor theme="0"/>
        </patternFill>
      </fill>
      <alignment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bottom/>
        <vertical/>
        <horizontal style="medium">
          <color auto="1"/>
        </horizontal>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theme="0"/>
        <name val="Calibri"/>
        <scheme val="minor"/>
      </font>
      <numFmt numFmtId="165" formatCode="&quot;+&quot;0"/>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relative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Helvetica"/>
        <scheme val="none"/>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Helvetica"/>
        <scheme val="none"/>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0"/>
        <color rgb="FF3A3A3A"/>
        <name val="Helvetica"/>
        <scheme val="none"/>
      </font>
      <fill>
        <patternFill patternType="solid">
          <fgColor indexed="64"/>
          <bgColor theme="0"/>
        </patternFill>
      </fill>
      <alignment horizontal="center" vertical="center" textRotation="0" wrapText="1" indent="0"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top/>
        <bottom/>
      </border>
    </dxf>
    <dxf>
      <font>
        <strike val="0"/>
        <outline val="0"/>
        <shadow val="0"/>
        <u val="none"/>
        <vertAlign val="baseline"/>
        <sz val="8"/>
        <name val="Calibri"/>
        <scheme val="minor"/>
      </font>
      <fill>
        <patternFill patternType="solid">
          <bgColor theme="9" tint="0.39997558519241921"/>
        </patternFill>
      </fill>
    </dxf>
    <dxf>
      <font>
        <strike val="0"/>
        <outline val="0"/>
        <shadow val="0"/>
        <u val="none"/>
        <vertAlign val="baseline"/>
        <sz val="8"/>
        <name val="Calibri"/>
        <scheme val="minor"/>
      </font>
      <fill>
        <patternFill patternType="solid">
          <bgColor theme="9" tint="0.39997558519241921"/>
        </patternFill>
      </fill>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theme="0"/>
        </patternFill>
      </fill>
      <alignment horizontal="center" vertical="center" textRotation="0" wrapText="1" indent="0" justifyLastLine="0" shrinkToFit="0" readingOrder="0"/>
      <border diagonalUp="0" diagonalDown="0" outline="0">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fill>
        <patternFill patternType="solid">
          <bgColor theme="9" tint="0.39997558519241921"/>
        </patternFill>
      </fill>
    </dxf>
    <dxf>
      <font>
        <strike val="0"/>
        <outline val="0"/>
        <shadow val="0"/>
        <u val="none"/>
        <vertAlign val="baseline"/>
        <sz val="8"/>
        <name val="Calibri"/>
        <scheme val="minor"/>
      </font>
      <fill>
        <patternFill patternType="solid">
          <bgColor theme="9" tint="0.39997558519241921"/>
        </patternFill>
      </fill>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right/>
        <top style="medium">
          <color auto="1"/>
        </top>
        <bottom style="medium">
          <color auto="1"/>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0"/>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0"/>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79998168889431442"/>
          <bgColor theme="8" tint="0.39997558519241921"/>
        </patternFill>
      </fill>
      <alignment horizontal="center" vertical="center" textRotation="0" wrapText="1" indent="0"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relativeIndent="0" justifyLastLine="0" shrinkToFit="0" readingOrder="0"/>
      <border diagonalUp="0" diagonalDown="0">
        <left style="medium">
          <color indexed="64"/>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8"/>
        <name val="Calibri"/>
        <scheme val="minor"/>
      </font>
      <numFmt numFmtId="14" formatCode="0.00%"/>
      <fill>
        <patternFill>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font>
        <b/>
        <strike val="0"/>
        <outline val="0"/>
        <shadow val="0"/>
        <u val="none"/>
        <vertAlign val="baseline"/>
        <sz val="8"/>
        <color theme="0"/>
        <name val="Calibri"/>
        <scheme val="minor"/>
      </font>
      <fill>
        <patternFill patternType="solid">
          <fgColor indexed="64"/>
          <bgColor rgb="FF002060"/>
        </patternFill>
      </fill>
      <alignmen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protection locked="1" hidden="0"/>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justifyLastLine="0" shrinkToFit="0" readingOrder="0"/>
      <protection locked="1" hidden="0"/>
    </dxf>
    <dxf>
      <border>
        <bottom style="medium">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justifyLastLine="0" shrinkToFit="0" readingOrder="0"/>
      <border diagonalUp="0" diagonalDown="0">
        <left style="medium">
          <color auto="1"/>
        </left>
        <right style="medium">
          <color auto="1"/>
        </right>
        <top/>
        <bottom/>
      </border>
      <protection locked="1" hidden="0"/>
    </dxf>
  </dxfs>
  <tableStyles count="1" defaultTableStyle="TableStyleMedium9" defaultPivotStyle="PivotStyleLight16">
    <tableStyle name="Style de tableau 1" pivot="0" count="0"/>
  </tableStyles>
  <colors>
    <mruColors>
      <color rgb="FFA41EB2"/>
      <color rgb="FFB8D0E4"/>
      <color rgb="FFFF3399"/>
      <color rgb="FF0070C0"/>
      <color rgb="FF002060"/>
      <color rgb="FF007864"/>
      <color rgb="FF008C3C"/>
      <color rgb="FF009682"/>
      <color rgb="FFFF5A9F"/>
      <color rgb="FFFF78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100">
                <a:solidFill>
                  <a:schemeClr val="bg1"/>
                </a:solidFill>
              </a:defRPr>
            </a:pPr>
            <a:r>
              <a:rPr lang="fr-FR">
                <a:solidFill>
                  <a:sysClr val="windowText" lastClr="000000"/>
                </a:solidFill>
              </a:rPr>
              <a:t>Ressources Nécessaires</a:t>
            </a:r>
          </a:p>
        </c:rich>
      </c:tx>
      <c:overlay val="0"/>
      <c:spPr>
        <a:noFill/>
        <a:ln>
          <a:solidFill>
            <a:schemeClr val="accent5">
              <a:lumMod val="20000"/>
              <a:lumOff val="80000"/>
            </a:schemeClr>
          </a:solidFill>
        </a:ln>
      </c:spPr>
    </c:title>
    <c:autoTitleDeleted val="0"/>
    <c:view3D>
      <c:rotX val="50"/>
      <c:rotY val="0"/>
      <c:rAngAx val="0"/>
      <c:perspective val="10"/>
    </c:view3D>
    <c:floor>
      <c:thickness val="0"/>
    </c:floor>
    <c:sideWall>
      <c:thickness val="0"/>
    </c:sideWall>
    <c:backWall>
      <c:thickness val="0"/>
    </c:backWall>
    <c:plotArea>
      <c:layout>
        <c:manualLayout>
          <c:layoutTarget val="inner"/>
          <c:xMode val="edge"/>
          <c:yMode val="edge"/>
          <c:x val="7.2029930257229133E-2"/>
          <c:y val="0.17578387114050001"/>
          <c:w val="0.68639384932463732"/>
          <c:h val="0.81532325135226236"/>
        </c:manualLayout>
      </c:layout>
      <c:pie3DChart>
        <c:varyColors val="1"/>
        <c:ser>
          <c:idx val="0"/>
          <c:order val="0"/>
          <c:spPr>
            <a:solidFill>
              <a:srgbClr val="4F81BD"/>
            </a:solidFill>
          </c:spPr>
          <c:dPt>
            <c:idx val="0"/>
            <c:bubble3D val="0"/>
            <c:spPr>
              <a:solidFill>
                <a:srgbClr val="FFC000"/>
              </a:solidFill>
            </c:spPr>
          </c:dPt>
          <c:dPt>
            <c:idx val="1"/>
            <c:bubble3D val="0"/>
            <c:spPr>
              <a:solidFill>
                <a:srgbClr val="A41EB2"/>
              </a:solidFill>
            </c:spPr>
          </c:dPt>
          <c:dPt>
            <c:idx val="2"/>
            <c:bubble3D val="0"/>
            <c:spPr>
              <a:solidFill>
                <a:schemeClr val="tx1"/>
              </a:solidFill>
            </c:spPr>
          </c:dPt>
          <c:dLbls>
            <c:dLbl>
              <c:idx val="0"/>
              <c:layout>
                <c:manualLayout>
                  <c:x val="-0.15792206173784537"/>
                  <c:y val="-0.19675151158495338"/>
                </c:manualLayout>
              </c:layout>
              <c:showLegendKey val="0"/>
              <c:showVal val="1"/>
              <c:showCatName val="0"/>
              <c:showSerName val="0"/>
              <c:showPercent val="0"/>
              <c:showBubbleSize val="0"/>
              <c:extLst>
                <c:ext xmlns:c15="http://schemas.microsoft.com/office/drawing/2012/chart" uri="{CE6537A1-D6FC-4f65-9D91-7224C49458BB}"/>
              </c:extLst>
            </c:dLbl>
            <c:dLbl>
              <c:idx val="1"/>
              <c:spPr/>
              <c:txPr>
                <a:bodyPr/>
                <a:lstStyle/>
                <a:p>
                  <a:pPr>
                    <a:defRPr>
                      <a:solidFill>
                        <a:schemeClr val="tx2">
                          <a:lumMod val="40000"/>
                          <a:lumOff val="60000"/>
                        </a:schemeClr>
                      </a:solidFill>
                    </a:defRPr>
                  </a:pPr>
                  <a:endParaRPr lang="fr-FR"/>
                </a:p>
              </c:txPr>
              <c:showLegendKey val="0"/>
              <c:showVal val="1"/>
              <c:showCatName val="0"/>
              <c:showSerName val="0"/>
              <c:showPercent val="0"/>
              <c:showBubbleSize val="0"/>
            </c:dLbl>
            <c:dLbl>
              <c:idx val="2"/>
              <c:spPr/>
              <c:txPr>
                <a:bodyPr/>
                <a:lstStyle/>
                <a:p>
                  <a:pPr>
                    <a:defRPr>
                      <a:solidFill>
                        <a:srgbClr val="00B0F0"/>
                      </a:solidFill>
                    </a:defRPr>
                  </a:pPr>
                  <a:endParaRPr lang="fr-FR"/>
                </a:p>
              </c:txPr>
              <c:showLegendKey val="0"/>
              <c:showVal val="1"/>
              <c:showCatName val="0"/>
              <c:showSerName val="0"/>
              <c:showPercent val="0"/>
              <c:showBubbleSize val="0"/>
            </c:dLbl>
            <c:spPr>
              <a:noFill/>
              <a:ln>
                <a:noFill/>
              </a:ln>
              <a:effectLst/>
            </c:spPr>
            <c:showLegendKey val="0"/>
            <c:showVal val="1"/>
            <c:showCatName val="0"/>
            <c:showSerName val="0"/>
            <c:showPercent val="0"/>
            <c:showBubbleSize val="0"/>
            <c:showLeaderLines val="1"/>
            <c:extLst>
              <c:ext xmlns:c15="http://schemas.microsoft.com/office/drawing/2012/chart" uri="{CE6537A1-D6FC-4f65-9D91-7224C49458BB}"/>
            </c:extLst>
          </c:dLbls>
          <c:cat>
            <c:strRef>
              <c:f>'À Faire - Récapitulatif'!$Y$3:$Y$5</c:f>
              <c:strCache>
                <c:ptCount val="3"/>
                <c:pt idx="0">
                  <c:v>Or</c:v>
                </c:pt>
                <c:pt idx="1">
                  <c:v>Élixir</c:v>
                </c:pt>
                <c:pt idx="2">
                  <c:v>Élixir Noir</c:v>
                </c:pt>
              </c:strCache>
            </c:strRef>
          </c:cat>
          <c:val>
            <c:numRef>
              <c:f>'À Faire - Récapitulatif'!$Z$3:$Z$5</c:f>
              <c:numCache>
                <c:formatCode>#,##0</c:formatCode>
                <c:ptCount val="3"/>
                <c:pt idx="0">
                  <c:v>3250</c:v>
                </c:pt>
                <c:pt idx="1">
                  <c:v>4700</c:v>
                </c:pt>
                <c:pt idx="2">
                  <c:v>0</c:v>
                </c:pt>
              </c:numCache>
            </c:numRef>
          </c:val>
        </c:ser>
        <c:dLbls>
          <c:showLegendKey val="0"/>
          <c:showVal val="1"/>
          <c:showCatName val="0"/>
          <c:showSerName val="0"/>
          <c:showPercent val="0"/>
          <c:showBubbleSize val="0"/>
          <c:showLeaderLines val="1"/>
        </c:dLbls>
      </c:pie3DChart>
      <c:spPr>
        <a:noFill/>
        <a:ln w="25400">
          <a:noFill/>
        </a:ln>
      </c:spPr>
    </c:plotArea>
    <c:legend>
      <c:legendPos val="r"/>
      <c:legendEntry>
        <c:idx val="1"/>
        <c:txPr>
          <a:bodyPr/>
          <a:lstStyle/>
          <a:p>
            <a:pPr rtl="0">
              <a:defRPr sz="800">
                <a:solidFill>
                  <a:schemeClr val="tx2">
                    <a:lumMod val="40000"/>
                    <a:lumOff val="60000"/>
                  </a:schemeClr>
                </a:solidFill>
              </a:defRPr>
            </a:pPr>
            <a:endParaRPr lang="fr-FR"/>
          </a:p>
        </c:txPr>
      </c:legendEntry>
      <c:legendEntry>
        <c:idx val="2"/>
        <c:txPr>
          <a:bodyPr/>
          <a:lstStyle/>
          <a:p>
            <a:pPr rtl="0">
              <a:defRPr sz="800">
                <a:solidFill>
                  <a:srgbClr val="00B0F0"/>
                </a:solidFill>
              </a:defRPr>
            </a:pPr>
            <a:endParaRPr lang="fr-FR"/>
          </a:p>
        </c:txPr>
      </c:legendEntry>
      <c:overlay val="0"/>
      <c:txPr>
        <a:bodyPr/>
        <a:lstStyle/>
        <a:p>
          <a:pPr rtl="0">
            <a:defRPr sz="800"/>
          </a:pPr>
          <a:endParaRPr lang="fr-FR"/>
        </a:p>
      </c:txPr>
    </c:legend>
    <c:plotVisOnly val="1"/>
    <c:dispBlanksAs val="zero"/>
    <c:showDLblsOverMax val="0"/>
  </c:chart>
  <c:spPr>
    <a:solidFill>
      <a:schemeClr val="accent5">
        <a:lumMod val="20000"/>
        <a:lumOff val="80000"/>
      </a:schemeClr>
    </a:solidFill>
    <a:ln>
      <a:solidFill>
        <a:schemeClr val="tx1"/>
      </a:solidFill>
    </a:ln>
  </c:spPr>
  <c:printSettings>
    <c:headerFooter/>
    <c:pageMargins b="0.75000000000001277" l="0.70000000000000062" r="0.70000000000000062" t="0.75000000000001277"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17</xdr:col>
      <xdr:colOff>83241</xdr:colOff>
      <xdr:row>0</xdr:row>
      <xdr:rowOff>66675</xdr:rowOff>
    </xdr:from>
    <xdr:to>
      <xdr:col>17</xdr:col>
      <xdr:colOff>361608</xdr:colOff>
      <xdr:row>1</xdr:row>
      <xdr:rowOff>49128</xdr:rowOff>
    </xdr:to>
    <xdr:pic macro="[0]!Cout_Periode">
      <xdr:nvPicPr>
        <xdr:cNvPr id="6" name="Image 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17641" y="66675"/>
          <a:ext cx="277344" cy="2777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5</xdr:col>
          <xdr:colOff>19050</xdr:colOff>
          <xdr:row>0</xdr:row>
          <xdr:rowOff>9525</xdr:rowOff>
        </xdr:from>
        <xdr:to>
          <xdr:col>7</xdr:col>
          <xdr:colOff>504825</xdr:colOff>
          <xdr:row>0</xdr:row>
          <xdr:rowOff>228600</xdr:rowOff>
        </xdr:to>
        <xdr:sp macro="" textlink="">
          <xdr:nvSpPr>
            <xdr:cNvPr id="2052" name="Button 4" hidden="1">
              <a:extLst>
                <a:ext uri="{63B3BB69-23CF-44E3-9099-C40C66FF867C}">
                  <a14:compatExt spid="_x0000_s205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Calibri"/>
                </a:rPr>
                <a:t>Créer Planning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0</xdr:row>
          <xdr:rowOff>276225</xdr:rowOff>
        </xdr:from>
        <xdr:to>
          <xdr:col>7</xdr:col>
          <xdr:colOff>504825</xdr:colOff>
          <xdr:row>1</xdr:row>
          <xdr:rowOff>190500</xdr:rowOff>
        </xdr:to>
        <xdr:sp macro="" textlink="">
          <xdr:nvSpPr>
            <xdr:cNvPr id="2053" name="Button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FF0000"/>
                  </a:solidFill>
                  <a:latin typeface="Calibri"/>
                </a:rPr>
                <a:t>Réinitialiser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13</xdr:col>
      <xdr:colOff>304800</xdr:colOff>
      <xdr:row>29</xdr:row>
      <xdr:rowOff>95250</xdr:rowOff>
    </xdr:from>
    <xdr:to>
      <xdr:col>22</xdr:col>
      <xdr:colOff>104774</xdr:colOff>
      <xdr:row>42</xdr:row>
      <xdr:rowOff>120098</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52" name="GAINS" displayName="GAINS" ref="M3:O11" totalsRowShown="0" headerRowDxfId="1847" dataDxfId="1845" headerRowBorderDxfId="1846" tableBorderDxfId="1844" totalsRowBorderDxfId="1843">
  <autoFilter ref="M3:O11"/>
  <tableColumns count="3">
    <tableColumn id="1" name="Type" dataDxfId="1842"/>
    <tableColumn id="2" name="%" dataDxfId="1841"/>
    <tableColumn id="3" name="Gain Maximum" dataDxfId="1840"/>
  </tableColumns>
  <tableStyleInfo name="TableStyleMedium9" showFirstColumn="0" showLastColumn="0" showRowStripes="1" showColumnStripes="0"/>
</table>
</file>

<file path=xl/tables/table2.xml><?xml version="1.0" encoding="utf-8"?>
<table xmlns="http://schemas.openxmlformats.org/spreadsheetml/2006/main" id="4" name="CHANGES_Buildings_Resource" displayName="CHANGES_Buildings_Resource" ref="O2:AA13" totalsRowShown="0" headerRowDxfId="1839" dataDxfId="1837" headerRowBorderDxfId="1838" tableBorderDxfId="1836">
  <autoFilter ref="O2:AA13"/>
  <tableColumns count="13">
    <tableColumn id="1" name="LVL HdV" dataDxfId="1835"/>
    <tableColumn id="2" name="Mine d'Or" dataDxfId="1834"/>
    <tableColumn id="3" name="LVL Max" dataDxfId="1833"/>
    <tableColumn id="4" name="Extracteur d'Élixir" dataDxfId="1832"/>
    <tableColumn id="5" name="LVL Max2" dataDxfId="1831"/>
    <tableColumn id="6" name="Foreuse d'Élixir Noir" dataDxfId="1830"/>
    <tableColumn id="7" name="LVL Max3" dataDxfId="1829"/>
    <tableColumn id="8" name="Réserve d'Or" dataDxfId="1828"/>
    <tableColumn id="9" name="LVL Max4" dataDxfId="1827"/>
    <tableColumn id="10" name="Réservoir d'Élixir" dataDxfId="1826"/>
    <tableColumn id="11" name="LVL Max5" dataDxfId="1825"/>
    <tableColumn id="12" name="Réservoir d'Élixir Noir" dataDxfId="1824"/>
    <tableColumn id="13" name="LVL Max6" dataDxfId="1823"/>
  </tableColumns>
  <tableStyleInfo name="TableStyleMedium9" showFirstColumn="0" showLastColumn="0" showRowStripes="1" showColumnStripes="0"/>
</table>
</file>

<file path=xl/tables/table3.xml><?xml version="1.0" encoding="utf-8"?>
<table xmlns="http://schemas.openxmlformats.org/spreadsheetml/2006/main" id="5" name="AVAILABLE_Buildings_Resource" displayName="AVAILABLE_Buildings_Resource" ref="A2:M13" totalsRowShown="0" headerRowDxfId="1822" dataDxfId="1820" headerRowBorderDxfId="1821" tableBorderDxfId="1819">
  <autoFilter ref="A2:M13"/>
  <tableColumns count="13">
    <tableColumn id="1" name="LVL HdV" dataDxfId="1818"/>
    <tableColumn id="2" name="Mine d'Or" dataDxfId="1817"/>
    <tableColumn id="3" name="LVL Max" dataDxfId="1816"/>
    <tableColumn id="4" name="Extracteur d'Élixir" dataDxfId="1815"/>
    <tableColumn id="5" name="LVL Max2" dataDxfId="1814"/>
    <tableColumn id="6" name="Foreuse d'Élixir Noir" dataDxfId="1813"/>
    <tableColumn id="7" name="LVL Max3" dataDxfId="1812"/>
    <tableColumn id="8" name="Réserve d'Or" dataDxfId="1811"/>
    <tableColumn id="9" name="LVL Max4" dataDxfId="1810"/>
    <tableColumn id="10" name="Réservoir d'Élixir" dataDxfId="1809"/>
    <tableColumn id="11" name="LVL Max5" dataDxfId="1808"/>
    <tableColumn id="12" name="Réservoir d'Élixir Noir" dataDxfId="1807"/>
    <tableColumn id="13" name="LVL Max6" dataDxfId="1806"/>
  </tableColumns>
  <tableStyleInfo name="TableStyleMedium9" showFirstColumn="0" showLastColumn="0" showRowStripes="1" showColumnStripes="0"/>
</table>
</file>

<file path=xl/tables/table4.xml><?xml version="1.0" encoding="utf-8"?>
<table xmlns="http://schemas.openxmlformats.org/spreadsheetml/2006/main" id="46" name="CHANGES_Buildings_Army" displayName="CHANGES_Buildings_Army" ref="O17:AA28" totalsRowShown="0" headerRowDxfId="1805" dataDxfId="1803" headerRowBorderDxfId="1804" tableBorderDxfId="1802">
  <autoFilter ref="O17:AA28"/>
  <tableColumns count="13">
    <tableColumn id="1" name="LVL HdV" dataDxfId="1801"/>
    <tableColumn id="14" name="Caserne" dataDxfId="1800"/>
    <tableColumn id="15" name="LVL Max" dataDxfId="1799"/>
    <tableColumn id="16" name="Caserne Noire" dataDxfId="1798"/>
    <tableColumn id="17" name="LVL Max2" dataDxfId="1797"/>
    <tableColumn id="18" name="Camp Militaire" dataDxfId="1796"/>
    <tableColumn id="19" name="LVL Max3" dataDxfId="1795"/>
    <tableColumn id="20" name="Laboratoire" dataDxfId="1794"/>
    <tableColumn id="21" name="LVL Max4" dataDxfId="1793"/>
    <tableColumn id="22" name="Usine de Sorts" dataDxfId="1792"/>
    <tableColumn id="23" name="LVL Max5" dataDxfId="1791"/>
    <tableColumn id="2" name="Usine de Sorts Noirs" dataDxfId="1790"/>
    <tableColumn id="3" name="LVL Max7" dataDxfId="1789"/>
  </tableColumns>
  <tableStyleInfo name="TableStyleMedium9" showFirstColumn="0" showLastColumn="0" showRowStripes="1" showColumnStripes="0"/>
</table>
</file>

<file path=xl/tables/table5.xml><?xml version="1.0" encoding="utf-8"?>
<table xmlns="http://schemas.openxmlformats.org/spreadsheetml/2006/main" id="42" name="AVAILABLE_Buildings_Army" displayName="AVAILABLE_Buildings_Army" ref="A17:M28" totalsRowShown="0" headerRowDxfId="1788" dataDxfId="1786" headerRowBorderDxfId="1787" tableBorderDxfId="1785">
  <autoFilter ref="A17:M28"/>
  <tableColumns count="13">
    <tableColumn id="1" name="LVL HdV" dataDxfId="1784"/>
    <tableColumn id="14" name="Caserne" dataDxfId="1783"/>
    <tableColumn id="15" name="LVL Max" dataDxfId="1782"/>
    <tableColumn id="16" name="Caserne Noire" dataDxfId="1781"/>
    <tableColumn id="17" name="LVL Max2" dataDxfId="1780"/>
    <tableColumn id="18" name="Camp Militaire" dataDxfId="1779"/>
    <tableColumn id="19" name="LVL Max3" dataDxfId="1778"/>
    <tableColumn id="20" name="Laboratoire" dataDxfId="1777"/>
    <tableColumn id="21" name="LVL Max4" dataDxfId="1776"/>
    <tableColumn id="22" name="Usine de Sorts" dataDxfId="1775"/>
    <tableColumn id="23" name="LVL Max5" dataDxfId="1774"/>
    <tableColumn id="2" name="Usine de Sorts Noirs" dataDxfId="1773"/>
    <tableColumn id="3" name="LVL Max7" dataDxfId="1772"/>
  </tableColumns>
  <tableStyleInfo name="TableStyleMedium9" showFirstColumn="0" showLastColumn="0" showRowStripes="1" showColumnStripes="0"/>
</table>
</file>

<file path=xl/tables/table6.xml><?xml version="1.0" encoding="utf-8"?>
<table xmlns="http://schemas.openxmlformats.org/spreadsheetml/2006/main" id="47" name="CHANGES_Buildings_Other" displayName="CHANGES_Buildings_Other" ref="G47:K58" totalsRowShown="0" headerRowDxfId="1771" dataDxfId="1769" headerRowBorderDxfId="1770" tableBorderDxfId="1768">
  <autoFilter ref="G47:K58"/>
  <tableColumns count="5">
    <tableColumn id="1" name="LVL HdV" dataDxfId="1767"/>
    <tableColumn id="24" name="Château de Clan" dataDxfId="1766"/>
    <tableColumn id="25" name="LVL Max" dataDxfId="1765"/>
    <tableColumn id="26" name="Hôtel de Ville" dataDxfId="1764">
      <calculatedColumnFormula>D48-D47</calculatedColumnFormula>
    </tableColumn>
    <tableColumn id="27" name="LVL Max2" dataDxfId="1763">
      <calculatedColumnFormula>E48-E47</calculatedColumnFormula>
    </tableColumn>
  </tableColumns>
  <tableStyleInfo name="TableStyleMedium9" showFirstColumn="0" showLastColumn="0" showRowStripes="1" showColumnStripes="0"/>
</table>
</file>

<file path=xl/tables/table7.xml><?xml version="1.0" encoding="utf-8"?>
<table xmlns="http://schemas.openxmlformats.org/spreadsheetml/2006/main" id="48" name="AVAILABLE_Buildings_Other" displayName="AVAILABLE_Buildings_Other" ref="A47:E58" totalsRowShown="0" headerRowDxfId="1762" dataDxfId="1760" headerRowBorderDxfId="1761" tableBorderDxfId="1759">
  <autoFilter ref="A47:E58"/>
  <tableColumns count="5">
    <tableColumn id="1" name="LVL HdV" dataDxfId="1758"/>
    <tableColumn id="24" name="Château de Clan" dataDxfId="1757"/>
    <tableColumn id="25" name="LVL Max" dataDxfId="1756"/>
    <tableColumn id="26" name="Hôtel de Ville" dataDxfId="1755"/>
    <tableColumn id="27" name="LVL Max2" dataDxfId="1754"/>
  </tableColumns>
  <tableStyleInfo name="TableStyleMedium9" showFirstColumn="0" showLastColumn="0" showRowStripes="1" showColumnStripes="0"/>
</table>
</file>

<file path=xl/tables/table8.xml><?xml version="1.0" encoding="utf-8"?>
<table xmlns="http://schemas.openxmlformats.org/spreadsheetml/2006/main" id="1" name="AVAILABLE_Buildings_Defensive" displayName="AVAILABLE_Buildings_Defensive" ref="A32:U43" totalsRowShown="0" headerRowDxfId="1753" dataDxfId="1751" headerRowBorderDxfId="1752" tableBorderDxfId="1750">
  <autoFilter ref="A32:U43"/>
  <tableColumns count="21">
    <tableColumn id="1" name="LVL HdV" dataDxfId="1749"/>
    <tableColumn id="2" name="Rempart" dataDxfId="1748"/>
    <tableColumn id="3" name="LVL Max" dataDxfId="1747"/>
    <tableColumn id="4" name="Canon" dataDxfId="1746"/>
    <tableColumn id="5" name="LVL Max2" dataDxfId="1745"/>
    <tableColumn id="6" name="Tour d'Archers" dataDxfId="1744"/>
    <tableColumn id="7" name="LVL Max3" dataDxfId="1743"/>
    <tableColumn id="8" name="Mortier" dataDxfId="1742"/>
    <tableColumn id="9" name="LVL Max4" dataDxfId="1741"/>
    <tableColumn id="10" name="Défense Antiaérienne" dataDxfId="1740"/>
    <tableColumn id="11" name="LVL Max5" dataDxfId="1739"/>
    <tableColumn id="12" name="Tour de Sorciers" dataDxfId="1738"/>
    <tableColumn id="13" name="LVL Max6" dataDxfId="1737"/>
    <tableColumn id="21" name="Propulseur d'air" dataDxfId="1736"/>
    <tableColumn id="20" name="LVL Max62" dataDxfId="1735"/>
    <tableColumn id="14" name="Tesla Camouflée" dataDxfId="1734"/>
    <tableColumn id="15" name="LVL Max7" dataDxfId="1733"/>
    <tableColumn id="16" name="Arc-X" dataDxfId="1732"/>
    <tableColumn id="17" name="LVL Max8" dataDxfId="1731"/>
    <tableColumn id="18" name="Tour de l'Enfer" dataDxfId="1730"/>
    <tableColumn id="19" name="LVL Max9" dataDxfId="1729"/>
  </tableColumns>
  <tableStyleInfo name="TableStyleMedium9" showFirstColumn="0" showLastColumn="0" showRowStripes="1" showColumnStripes="0"/>
</table>
</file>

<file path=xl/tables/table9.xml><?xml version="1.0" encoding="utf-8"?>
<table xmlns="http://schemas.openxmlformats.org/spreadsheetml/2006/main" id="2" name="AVAILABLE_Traps" displayName="AVAILABLE_Traps" ref="V32:AH43" totalsRowShown="0" headerRowDxfId="1728" headerRowBorderDxfId="1727" tableBorderDxfId="1726">
  <autoFilter ref="V32:AH43"/>
  <tableColumns count="13">
    <tableColumn id="13" name="LVL HdV" dataDxfId="1725"/>
    <tableColumn id="1" name="Bombe" dataDxfId="1724"/>
    <tableColumn id="2" name="LVL Max33" dataDxfId="1723"/>
    <tableColumn id="3" name="Piège à ressort" dataDxfId="1722"/>
    <tableColumn id="4" name="LVL Max35" dataDxfId="1721"/>
    <tableColumn id="5" name="Bombe géante" dataDxfId="1720"/>
    <tableColumn id="6" name="LVL Max37" dataDxfId="1719"/>
    <tableColumn id="7" name="Bombe aérienne" dataDxfId="1718"/>
    <tableColumn id="8" name="LVL Max39" dataDxfId="1717"/>
    <tableColumn id="9" name="Tête chercheuse" dataDxfId="1716"/>
    <tableColumn id="10" name="LVL Max41" dataDxfId="1715"/>
    <tableColumn id="11" name="Piège squelettique" dataDxfId="1714"/>
    <tableColumn id="12" name="LVL Max43" dataDxfId="1713"/>
  </tableColumns>
  <tableStyleInfo name="TableStyleMedium9" showFirstColumn="0" showLastColumn="0" showRowStripes="1" showColumnStripes="0"/>
</table>
</file>

<file path=xl/tables/table10.xml><?xml version="1.0" encoding="utf-8"?>
<table xmlns="http://schemas.openxmlformats.org/spreadsheetml/2006/main" id="3" name="CHANGES_Buildings_Defensive" displayName="CHANGES_Buildings_Defensive" ref="AK32:BE43" totalsRowShown="0" headerRowDxfId="1712" dataDxfId="1710" headerRowBorderDxfId="1711" tableBorderDxfId="1709">
  <autoFilter ref="AK32:BE43"/>
  <tableColumns count="21">
    <tableColumn id="1" name="LVL HdV" dataDxfId="1708"/>
    <tableColumn id="2" name="Rempart" dataDxfId="1707">
      <calculatedColumnFormula>"+"&amp;Bâtiments!B34-Bâtiments!B32</calculatedColumnFormula>
    </tableColumn>
    <tableColumn id="3" name="LVL Max" dataDxfId="1706">
      <calculatedColumnFormula>"+"&amp;Bâtiments!C34-Bâtiments!C32</calculatedColumnFormula>
    </tableColumn>
    <tableColumn id="4" name="Canon" dataDxfId="1705"/>
    <tableColumn id="5" name="LVL Max2" dataDxfId="1704"/>
    <tableColumn id="6" name="Tour d'Archers" dataDxfId="1703"/>
    <tableColumn id="7" name="LVL Max3" dataDxfId="1702"/>
    <tableColumn id="39" name="Mortier" dataDxfId="1701">
      <calculatedColumnFormula>P33-P32</calculatedColumnFormula>
    </tableColumn>
    <tableColumn id="40" name="LVL Max43" dataDxfId="1700">
      <calculatedColumnFormula>Q33-Q32</calculatedColumnFormula>
    </tableColumn>
    <tableColumn id="41" name="Défense Antiaérienne" dataDxfId="1699">
      <calculatedColumnFormula>R33-R32</calculatedColumnFormula>
    </tableColumn>
    <tableColumn id="42" name="LVL Max55" dataDxfId="1698">
      <calculatedColumnFormula>S33-S32</calculatedColumnFormula>
    </tableColumn>
    <tableColumn id="43" name="Tour de Sorciers" dataDxfId="1697">
      <calculatedColumnFormula>L33-L32</calculatedColumnFormula>
    </tableColumn>
    <tableColumn id="44" name="LVL Max6" dataDxfId="1696">
      <calculatedColumnFormula>M33-M32</calculatedColumnFormula>
    </tableColumn>
    <tableColumn id="8" name="Propulsion d'air" dataDxfId="1695"/>
    <tableColumn id="9" name="LVL Max6." dataDxfId="1694"/>
    <tableColumn id="45" name="Tesla Camouflée" dataDxfId="1693">
      <calculatedColumnFormula>P33-P32</calculatedColumnFormula>
    </tableColumn>
    <tableColumn id="46" name="LVL Max7" dataDxfId="1692">
      <calculatedColumnFormula>Q33-Q32</calculatedColumnFormula>
    </tableColumn>
    <tableColumn id="47" name="Arc-X" dataDxfId="1691">
      <calculatedColumnFormula>R33-R32</calculatedColumnFormula>
    </tableColumn>
    <tableColumn id="48" name="LVL Max8" dataDxfId="1690">
      <calculatedColumnFormula>S33-S32</calculatedColumnFormula>
    </tableColumn>
    <tableColumn id="49" name="Tour de l'Enfer" dataDxfId="1689">
      <calculatedColumnFormula>T33-T32</calculatedColumnFormula>
    </tableColumn>
    <tableColumn id="50" name="LVL Max4" dataDxfId="1688">
      <calculatedColumnFormula>U33-U32</calculatedColumnFormula>
    </tableColumn>
  </tableColumns>
  <tableStyleInfo name="TableStyleMedium9" showFirstColumn="0" showLastColumn="0" showRowStripes="1" showColumnStripes="0"/>
</table>
</file>

<file path=xl/tables/table11.xml><?xml version="1.0" encoding="utf-8"?>
<table xmlns="http://schemas.openxmlformats.org/spreadsheetml/2006/main" id="89" name="CHANGE_Traps" displayName="CHANGE_Traps" ref="BF32:BR43" totalsRowShown="0" headerRowDxfId="1687" headerRowBorderDxfId="1686" tableBorderDxfId="1685" totalsRowBorderDxfId="1684">
  <autoFilter ref="BF32:BR43"/>
  <tableColumns count="13">
    <tableColumn id="13" name="LVL HdV" dataDxfId="1683"/>
    <tableColumn id="1" name="Bombe" dataDxfId="1682">
      <calculatedColumnFormula>W33-W32</calculatedColumnFormula>
    </tableColumn>
    <tableColumn id="2" name="LVL Max" dataDxfId="1681">
      <calculatedColumnFormula>X33-X32</calculatedColumnFormula>
    </tableColumn>
    <tableColumn id="3" name="Piège à ressort" dataDxfId="1680">
      <calculatedColumnFormula>Y33-Y32</calculatedColumnFormula>
    </tableColumn>
    <tableColumn id="4" name="LVL Max2" dataDxfId="1679">
      <calculatedColumnFormula>Z33-Z32</calculatedColumnFormula>
    </tableColumn>
    <tableColumn id="5" name="Bombe géante" dataDxfId="1678">
      <calculatedColumnFormula>AA33-AA32</calculatedColumnFormula>
    </tableColumn>
    <tableColumn id="6" name="LVL Max3" dataDxfId="1677">
      <calculatedColumnFormula>AB33-AB32</calculatedColumnFormula>
    </tableColumn>
    <tableColumn id="12" name="Bombe aérienne" dataDxfId="1676">
      <calculatedColumnFormula>AB33</calculatedColumnFormula>
    </tableColumn>
    <tableColumn id="11" name="LVL Max32" dataDxfId="1675"/>
    <tableColumn id="7" name="Tête chercheuse" dataDxfId="1674">
      <calculatedColumnFormula>AC33-AC32</calculatedColumnFormula>
    </tableColumn>
    <tableColumn id="8" name="LVL Max4" dataDxfId="1673">
      <calculatedColumnFormula>AD33-AD32</calculatedColumnFormula>
    </tableColumn>
    <tableColumn id="9" name="Piège squelettique" dataDxfId="1672">
      <calculatedColumnFormula>AE33-AE32</calculatedColumnFormula>
    </tableColumn>
    <tableColumn id="10" name="LVL Max5" dataDxfId="1671">
      <calculatedColumnFormula>AF33-AF32</calculatedColumnFormula>
    </tableColumn>
  </tableColumns>
  <tableStyleInfo name="TableStyleLight1" showFirstColumn="0" showLastColumn="0" showRowStripes="1" showColumnStripes="0"/>
</table>
</file>

<file path=xl/tables/table12.xml><?xml version="1.0" encoding="utf-8"?>
<table xmlns="http://schemas.openxmlformats.org/spreadsheetml/2006/main" id="38" name="AVAILABLE_Upgrades_Spells" displayName="AVAILABLE_Upgrades_Spells" ref="A2:K13" totalsRowShown="0" headerRowDxfId="1670" dataDxfId="1668" headerRowBorderDxfId="1669" tableBorderDxfId="1667">
  <autoFilter ref="A2:K13"/>
  <tableColumns count="11">
    <tableColumn id="1" name="LVL" dataDxfId="1666"/>
    <tableColumn id="2" name="Sort de Foudre" dataDxfId="1665">
      <calculatedColumnFormula>IF(Paramètres!$L$46=0,0,VLOOKUP(Paramètres!$L$47,SPELLFACTORY_Spells[#All],2))</calculatedColumnFormula>
    </tableColumn>
    <tableColumn id="3" name="LVL Max" dataDxfId="1664">
      <calculatedColumnFormula>IF($B3=0,0,IF(SUM(Paramètres!$K$6:$K$45)&lt;&gt;Paramètres!$K$3,0,VLOOKUP(MATCH(1,Paramètres!$K$6:$K$45,0),LABO_Spells[#All],2)))</calculatedColumnFormula>
    </tableColumn>
    <tableColumn id="4" name="Sort de Guérison" dataDxfId="1663">
      <calculatedColumnFormula>IF(Paramètres!$L$46=0,0,VLOOKUP(Paramètres!$L$47,SPELLFACTORY_Spells[#All],3))</calculatedColumnFormula>
    </tableColumn>
    <tableColumn id="5" name="LVL Max2" dataDxfId="1662">
      <calculatedColumnFormula>IF($D3=0,0,IF(SUM(Paramètres!$K$6:$K$45)&lt;&gt;Paramètres!$K$3,0,VLOOKUP(MATCH(1,Paramètres!$K$6:$K$45,0),LABO_Spells[#All],3)))</calculatedColumnFormula>
    </tableColumn>
    <tableColumn id="6" name="Sort de Rage" dataDxfId="1661">
      <calculatedColumnFormula>IF(Paramètres!$L$46=0,0,VLOOKUP(Paramètres!$L$47,SPELLFACTORY_Spells[#All],4))</calculatedColumnFormula>
    </tableColumn>
    <tableColumn id="7" name="LVL Max3" dataDxfId="1660">
      <calculatedColumnFormula>IF($F3=0,0,IF(SUM(Paramètres!$K$6:$K$45)&lt;&gt;Paramètres!$K$3,0,VLOOKUP(MATCH(1,Paramètres!$K$6:$K$45,0),LABO_Spells[#All],4)))</calculatedColumnFormula>
    </tableColumn>
    <tableColumn id="8" name="Sort de Saut" dataDxfId="1659">
      <calculatedColumnFormula>IF(Paramètres!$L$46=0,0,VLOOKUP(Paramètres!$L$47,SPELLFACTORY_Spells[#All],5))</calculatedColumnFormula>
    </tableColumn>
    <tableColumn id="9" name="LVL Max4" dataDxfId="1658">
      <calculatedColumnFormula>IF($H3=0,0,IF(SUM(Paramètres!$K$6:$K$45)&lt;&gt;Paramètres!$K$3,0,VLOOKUP(MATCH(1,Paramètres!$K$6:$K$45,0),LABO_Spells[#All],5)))</calculatedColumnFormula>
    </tableColumn>
    <tableColumn id="10" name="Sort de Gel" dataDxfId="1657">
      <calculatedColumnFormula>IF(Paramètres!$L$46=0,0,VLOOKUP(Paramètres!$L$47,SPELLFACTORY_Spells[#All],6))</calculatedColumnFormula>
    </tableColumn>
    <tableColumn id="11" name="LVL Max5" dataDxfId="1656">
      <calculatedColumnFormula>IF($J3=0,0,IF(SUM(Paramètres!$K$6:$K$45)&lt;&gt;Paramètres!$K$3,0,VLOOKUP(MATCH(1,Paramètres!$K$6:$K$45,0),LABO_Spells[#All],6)))</calculatedColumnFormula>
    </tableColumn>
  </tableColumns>
  <tableStyleInfo name="TableStyleMedium9" showFirstColumn="0" showLastColumn="0" showRowStripes="1" showColumnStripes="0"/>
</table>
</file>

<file path=xl/tables/table13.xml><?xml version="1.0" encoding="utf-8"?>
<table xmlns="http://schemas.openxmlformats.org/spreadsheetml/2006/main" id="39" name="CHANGES_Upgrades_Spells" displayName="CHANGES_Upgrades_Spells" ref="M2:W13" totalsRowShown="0" headerRowDxfId="1655" dataDxfId="1653" headerRowBorderDxfId="1654" tableBorderDxfId="1652">
  <autoFilter ref="M2:W13"/>
  <tableColumns count="11">
    <tableColumn id="1" name="LVL" dataDxfId="1651"/>
    <tableColumn id="2" name="Sort de Foudre" dataDxfId="1650"/>
    <tableColumn id="3" name="LVL Max" dataDxfId="1649"/>
    <tableColumn id="4" name="Sort de Guérison" dataDxfId="1648"/>
    <tableColumn id="5" name="LVL Max2" dataDxfId="1647"/>
    <tableColumn id="6" name="Sort de Rage" dataDxfId="1646"/>
    <tableColumn id="7" name="LVL Max3" dataDxfId="1645"/>
    <tableColumn id="8" name="Sort de Saut" dataDxfId="1644"/>
    <tableColumn id="9" name="LVL Max4" dataDxfId="1643"/>
    <tableColumn id="10" name="Sort de Gel" dataDxfId="1642"/>
    <tableColumn id="11" name="LVL Max5" dataDxfId="1641"/>
  </tableColumns>
  <tableStyleInfo name="TableStyleMedium9" showFirstColumn="0" showLastColumn="0" showRowStripes="1" showColumnStripes="0"/>
</table>
</file>

<file path=xl/tables/table14.xml><?xml version="1.0" encoding="utf-8"?>
<table xmlns="http://schemas.openxmlformats.org/spreadsheetml/2006/main" id="32" name="AVAILABLE_Upgrades_Normal_Troops" displayName="AVAILABLE_Upgrades_Normal_Troops" ref="A32:U43" totalsRowShown="0" headerRowDxfId="1640" dataDxfId="1638" headerRowBorderDxfId="1639" tableBorderDxfId="1637">
  <autoFilter ref="A32:U43"/>
  <tableColumns count="21">
    <tableColumn id="1" name="LVL HdV" dataDxfId="1636"/>
    <tableColumn id="2" name="Barbare" dataDxfId="1635">
      <calculatedColumnFormula>IF(Paramètres!$H$46=0,0,VLOOKUP(Paramètres!$H$47,BARRACK_Normal_Troops[#All],2))</calculatedColumnFormula>
    </tableColumn>
    <tableColumn id="3" name="LVL Max" dataDxfId="1634">
      <calculatedColumnFormula>IF($B33=0,0,IF(SUM(Paramètres!$K$6:$K$45)&lt;&gt;Paramètres!$K$3,0,VLOOKUP(MATCH(1,Paramètres!$K$6:$K$45,0),LABO_Normal_Troops[#All],2)))</calculatedColumnFormula>
    </tableColumn>
    <tableColumn id="4" name="Archer" dataDxfId="1633">
      <calculatedColumnFormula>IF(Paramètres!$H$46=0,0,VLOOKUP(Paramètres!$H$47,BARRACK_Normal_Troops[#All],3))</calculatedColumnFormula>
    </tableColumn>
    <tableColumn id="5" name="LVL Max2" dataDxfId="1632">
      <calculatedColumnFormula>IF($D33=0,0,IF(SUM(Paramètres!$K$6:$K$45)&lt;&gt;Paramètres!$K$3,0,VLOOKUP(MATCH(1,Paramètres!$K$6:$K$45,0),LABO_Normal_Troops[#All],3)))</calculatedColumnFormula>
    </tableColumn>
    <tableColumn id="6" name="Gobelin" dataDxfId="1631">
      <calculatedColumnFormula>IF(Paramètres!$H$46=0,0,VLOOKUP(Paramètres!$H$47,BARRACK_Normal_Troops[#All],4))</calculatedColumnFormula>
    </tableColumn>
    <tableColumn id="7" name="LVL Max3" dataDxfId="1630">
      <calculatedColumnFormula>IF($F33=0,0,IF(SUM(Paramètres!$K$6:$K$45)&lt;&gt;Paramètres!$K$3,0,VLOOKUP(MATCH(1,Paramètres!$K$6:$K$45,0),LABO_Normal_Troops[#All],4)))</calculatedColumnFormula>
    </tableColumn>
    <tableColumn id="8" name="Géant" dataDxfId="1629">
      <calculatedColumnFormula>IF(Paramètres!$H$46=0,0,VLOOKUP(Paramètres!$H$47,BARRACK_Normal_Troops[#All],5))</calculatedColumnFormula>
    </tableColumn>
    <tableColumn id="9" name="LVL Max4" dataDxfId="1628">
      <calculatedColumnFormula>IF($H33=0,0,IF(SUM(Paramètres!$K$6:$K$45)&lt;&gt;Paramètres!$K$3,0,VLOOKUP(MATCH(1,Paramètres!$K$6:$K$45,0),LABO_Normal_Troops[#All],5)))</calculatedColumnFormula>
    </tableColumn>
    <tableColumn id="10" name="Sapeur" dataDxfId="1627">
      <calculatedColumnFormula>IF(Paramètres!$H$46=0,0,VLOOKUP(Paramètres!$H$47,BARRACK_Normal_Troops[#All],6))</calculatedColumnFormula>
    </tableColumn>
    <tableColumn id="11" name="LVL Max5" dataDxfId="1626">
      <calculatedColumnFormula>IF($J33=0,0,IF(SUM(Paramètres!$K$6:$K$45)&lt;&gt;Paramètres!$K$3,0,VLOOKUP(MATCH(1,Paramètres!$K$6:$K$45,0),LABO_Normal_Troops[#All],6)))</calculatedColumnFormula>
    </tableColumn>
    <tableColumn id="12" name="Ballon" dataDxfId="1625">
      <calculatedColumnFormula>IF(Paramètres!$H$46=0,0,VLOOKUP(Paramètres!$H$47,BARRACK_Normal_Troops[#All],7))</calculatedColumnFormula>
    </tableColumn>
    <tableColumn id="13" name="LVL Max6" dataDxfId="1624">
      <calculatedColumnFormula>IF($L33=0,0,IF(SUM(Paramètres!$K$6:$K$45)&lt;&gt;Paramètres!$K$3,0,VLOOKUP(MATCH(1,Paramètres!$K$6:$K$45,0),LABO_Normal_Troops[#All],7)))</calculatedColumnFormula>
    </tableColumn>
    <tableColumn id="14" name="Sorcier" dataDxfId="1623">
      <calculatedColumnFormula>IF(Paramètres!$H$46=0,0,VLOOKUP(Paramètres!$H$47,BARRACK_Normal_Troops[#All],8))</calculatedColumnFormula>
    </tableColumn>
    <tableColumn id="15" name="LVL Max7" dataDxfId="1622">
      <calculatedColumnFormula>IF($N33=0,0,IF(SUM(Paramètres!$K$6:$K$45)&lt;&gt;Paramètres!$K$3,0,VLOOKUP(MATCH(1,Paramètres!$K$6:$K$45,0),LABO_Normal_Troops[#All],8)))</calculatedColumnFormula>
    </tableColumn>
    <tableColumn id="16" name="Guérisseuse" dataDxfId="1621">
      <calculatedColumnFormula>IF(Paramètres!$H$46=0,0,VLOOKUP(Paramètres!$H$47,BARRACK_Normal_Troops[#All],9))</calculatedColumnFormula>
    </tableColumn>
    <tableColumn id="17" name="LVL Max8" dataDxfId="1620">
      <calculatedColumnFormula>IF($P33=0,0,IF(SUM(Paramètres!$K$6:$K$45)&lt;&gt;Paramètres!$K$3,0,VLOOKUP(MATCH(1,Paramètres!$K$6:$K$45,0),LABO_Normal_Troops[#All],9)))</calculatedColumnFormula>
    </tableColumn>
    <tableColumn id="18" name="Dragon" dataDxfId="1619">
      <calculatedColumnFormula>IF(Paramètres!$H$46=0,0,VLOOKUP(Paramètres!$H$47,BARRACK_Normal_Troops[#All],10))</calculatedColumnFormula>
    </tableColumn>
    <tableColumn id="19" name="LVL Max9" dataDxfId="1618">
      <calculatedColumnFormula>IF($R33=0,0,IF(SUM(Paramètres!$K$6:$K$45)&lt;&gt;Paramètres!$K$3,0,VLOOKUP(MATCH(1,Paramètres!$K$6:$K$45,0),LABO_Normal_Troops[#All],10)))</calculatedColumnFormula>
    </tableColumn>
    <tableColumn id="20" name="P.E.K.K.A" dataDxfId="1617">
      <calculatedColumnFormula>IF(Paramètres!$H$46=0,0,VLOOKUP(Paramètres!$H$47,BARRACK_Normal_Troops[#All],11))</calculatedColumnFormula>
    </tableColumn>
    <tableColumn id="21" name="LVL Max10" dataDxfId="1616">
      <calculatedColumnFormula>IF($T33=0,0,IF(SUM(Paramètres!$K$6:$K$45)&lt;&gt;Paramètres!$K$3,0,VLOOKUP(MATCH(1,Paramètres!$K$6:$K$45,0),LABO_Normal_Troops[#All],11)))</calculatedColumnFormula>
    </tableColumn>
  </tableColumns>
  <tableStyleInfo name="TableStyleMedium9" showFirstColumn="0" showLastColumn="0" showRowStripes="1" showColumnStripes="0"/>
</table>
</file>

<file path=xl/tables/table15.xml><?xml version="1.0" encoding="utf-8"?>
<table xmlns="http://schemas.openxmlformats.org/spreadsheetml/2006/main" id="33" name="CHANGES_Upgrades_Normal_Troops" displayName="CHANGES_Upgrades_Normal_Troops" ref="W32:AQ43" totalsRowShown="0" headerRowDxfId="1615" dataDxfId="1613" headerRowBorderDxfId="1614" tableBorderDxfId="1612">
  <autoFilter ref="W32:AQ43"/>
  <tableColumns count="21">
    <tableColumn id="1" name="LVL HdV" dataDxfId="1611"/>
    <tableColumn id="2" name="Barbare" dataDxfId="1610">
      <calculatedColumnFormula>'Améliorations - Sorts &amp; Troupes'!B33-'Améliorations - Sorts &amp; Troupes'!B32</calculatedColumnFormula>
    </tableColumn>
    <tableColumn id="3" name="LVL Max" dataDxfId="1609">
      <calculatedColumnFormula>'Améliorations - Sorts &amp; Troupes'!C33-'Améliorations - Sorts &amp; Troupes'!C32</calculatedColumnFormula>
    </tableColumn>
    <tableColumn id="4" name="Archer" dataDxfId="1608">
      <calculatedColumnFormula>'Améliorations - Sorts &amp; Troupes'!D33-'Améliorations - Sorts &amp; Troupes'!D32</calculatedColumnFormula>
    </tableColumn>
    <tableColumn id="5" name="LVL Max2" dataDxfId="1607">
      <calculatedColumnFormula>'Améliorations - Sorts &amp; Troupes'!E33-'Améliorations - Sorts &amp; Troupes'!E32</calculatedColumnFormula>
    </tableColumn>
    <tableColumn id="6" name="Gobelin" dataDxfId="1606">
      <calculatedColumnFormula>'Améliorations - Sorts &amp; Troupes'!F33-'Améliorations - Sorts &amp; Troupes'!F32</calculatedColumnFormula>
    </tableColumn>
    <tableColumn id="7" name="LVL Max3" dataDxfId="1605">
      <calculatedColumnFormula>'Améliorations - Sorts &amp; Troupes'!G33-'Améliorations - Sorts &amp; Troupes'!G32</calculatedColumnFormula>
    </tableColumn>
    <tableColumn id="8" name="Géant" dataDxfId="1604">
      <calculatedColumnFormula>'Améliorations - Sorts &amp; Troupes'!H33-'Améliorations - Sorts &amp; Troupes'!H32</calculatedColumnFormula>
    </tableColumn>
    <tableColumn id="9" name="LVL Max4" dataDxfId="1603">
      <calculatedColumnFormula>'Améliorations - Sorts &amp; Troupes'!I33-'Améliorations - Sorts &amp; Troupes'!I32</calculatedColumnFormula>
    </tableColumn>
    <tableColumn id="10" name="Sapeur" dataDxfId="1602">
      <calculatedColumnFormula>'Améliorations - Sorts &amp; Troupes'!J33-'Améliorations - Sorts &amp; Troupes'!J32</calculatedColumnFormula>
    </tableColumn>
    <tableColumn id="11" name="LVL Max5" dataDxfId="1601">
      <calculatedColumnFormula>'Améliorations - Sorts &amp; Troupes'!K33-'Améliorations - Sorts &amp; Troupes'!K32</calculatedColumnFormula>
    </tableColumn>
    <tableColumn id="12" name="Ballon" dataDxfId="1600">
      <calculatedColumnFormula>'Améliorations - Sorts &amp; Troupes'!L33-'Améliorations - Sorts &amp; Troupes'!L32</calculatedColumnFormula>
    </tableColumn>
    <tableColumn id="13" name="LVL Max6" dataDxfId="1599">
      <calculatedColumnFormula>'Améliorations - Sorts &amp; Troupes'!M33-'Améliorations - Sorts &amp; Troupes'!M32</calculatedColumnFormula>
    </tableColumn>
    <tableColumn id="14" name="Sorcier" dataDxfId="1598">
      <calculatedColumnFormula>'Améliorations - Sorts &amp; Troupes'!N33-'Améliorations - Sorts &amp; Troupes'!N32</calculatedColumnFormula>
    </tableColumn>
    <tableColumn id="15" name="LVL Max7" dataDxfId="1597">
      <calculatedColumnFormula>'Améliorations - Sorts &amp; Troupes'!O33-'Améliorations - Sorts &amp; Troupes'!O32</calculatedColumnFormula>
    </tableColumn>
    <tableColumn id="16" name="Guérisseuse" dataDxfId="1596">
      <calculatedColumnFormula>'Améliorations - Sorts &amp; Troupes'!P33-'Améliorations - Sorts &amp; Troupes'!P32</calculatedColumnFormula>
    </tableColumn>
    <tableColumn id="17" name="LVL Max8" dataDxfId="1595">
      <calculatedColumnFormula>'Améliorations - Sorts &amp; Troupes'!Q34-'Améliorations - Sorts &amp; Troupes'!Q32</calculatedColumnFormula>
    </tableColumn>
    <tableColumn id="18" name="Dragon" dataDxfId="1594">
      <calculatedColumnFormula>'Améliorations - Sorts &amp; Troupes'!R33-'Améliorations - Sorts &amp; Troupes'!R32</calculatedColumnFormula>
    </tableColumn>
    <tableColumn id="19" name="LVL Max9" dataDxfId="1593">
      <calculatedColumnFormula>'Améliorations - Sorts &amp; Troupes'!S33-'Améliorations - Sorts &amp; Troupes'!S32</calculatedColumnFormula>
    </tableColumn>
    <tableColumn id="20" name="P.E.K.K.A" dataDxfId="1592">
      <calculatedColumnFormula>'Améliorations - Sorts &amp; Troupes'!T33-'Améliorations - Sorts &amp; Troupes'!T32</calculatedColumnFormula>
    </tableColumn>
    <tableColumn id="21" name="LVL Max10" dataDxfId="1591">
      <calculatedColumnFormula>'Améliorations - Sorts &amp; Troupes'!U33-'Améliorations - Sorts &amp; Troupes'!U32</calculatedColumnFormula>
    </tableColumn>
  </tableColumns>
  <tableStyleInfo name="TableStyleMedium9" showFirstColumn="0" showLastColumn="0" showRowStripes="1" showColumnStripes="0"/>
</table>
</file>

<file path=xl/tables/table16.xml><?xml version="1.0" encoding="utf-8"?>
<table xmlns="http://schemas.openxmlformats.org/spreadsheetml/2006/main" id="50" name="AVAILABLE_Upgrades_Dark_Troops" displayName="AVAILABLE_Upgrades_Dark_Troops" ref="A47:M58" totalsRowShown="0" headerRowDxfId="1590" dataDxfId="1588" headerRowBorderDxfId="1589" tableBorderDxfId="1587">
  <autoFilter ref="A47:M58"/>
  <tableColumns count="13">
    <tableColumn id="1" name="LVL Labo" dataDxfId="1586"/>
    <tableColumn id="2" name="Serviteur" dataDxfId="1585">
      <calculatedColumnFormula>IF(Paramètres!$I$46=0,0,VLOOKUP(Paramètres!$I$47,BARRACK_DARK_Troops[#All],2))</calculatedColumnFormula>
    </tableColumn>
    <tableColumn id="3" name="LVL Max" dataDxfId="1584">
      <calculatedColumnFormula>IF($B48=0,0,IF(SUM(Paramètres!$K$6:$K$45)&lt;&gt;Paramètres!$K$3,0,VLOOKUP(MATCH(1,Paramètres!$K$6:$K$45,0),LABO_Dark_Troops[#All],2)))</calculatedColumnFormula>
    </tableColumn>
    <tableColumn id="4" name="Chevaucheur de Cochon" dataDxfId="1583">
      <calculatedColumnFormula>IF(Paramètres!$I$46=0,0,VLOOKUP(Paramètres!$I$47,BARRACK_DARK_Troops[#All],3))</calculatedColumnFormula>
    </tableColumn>
    <tableColumn id="5" name="LVL Max2" dataDxfId="1582">
      <calculatedColumnFormula>IF($D48=0,0,IF(SUM(Paramètres!$K$6:$K$45)&lt;&gt;Paramètres!$K$3,0,VLOOKUP(MATCH(1,Paramètres!$K$6:$K$45,0),LABO_Dark_Troops[#All],3)))</calculatedColumnFormula>
    </tableColumn>
    <tableColumn id="6" name="Valkyrie" dataDxfId="1581">
      <calculatedColumnFormula>IF(Paramètres!$I$46=0,0,VLOOKUP(Paramètres!$I$47,BARRACK_DARK_Troops[#All],4))</calculatedColumnFormula>
    </tableColumn>
    <tableColumn id="7" name="LVL Max3" dataDxfId="1580">
      <calculatedColumnFormula>IF($F48=0,0,IF(SUM(Paramètres!$K$6:$K$45)&lt;&gt;Paramètres!$K$3,0,VLOOKUP(MATCH(1,Paramètres!$K$6:$K$45,0),LABO_Dark_Troops[#All],4)))</calculatedColumnFormula>
    </tableColumn>
    <tableColumn id="8" name="Golem" dataDxfId="1579">
      <calculatedColumnFormula>IF(Paramètres!$I$46=0,0,VLOOKUP(Paramètres!$I$47,BARRACK_DARK_Troops[#All],5))</calculatedColumnFormula>
    </tableColumn>
    <tableColumn id="9" name="LVL Max4" dataDxfId="1578">
      <calculatedColumnFormula>IF($H48=0,0,IF(SUM(Paramètres!$K$6:$K$45)&lt;&gt;Paramètres!$K$3,0,VLOOKUP(MATCH(1,Paramètres!$K$6:$K$45,0),LABO_Dark_Troops[#All],5)))</calculatedColumnFormula>
    </tableColumn>
    <tableColumn id="12" name="Sorcière" dataDxfId="1577">
      <calculatedColumnFormula>IF(Paramètres!$I$46=0,0,VLOOKUP(Paramètres!$I$47,BARRACK_DARK_Troops[#All],6))</calculatedColumnFormula>
    </tableColumn>
    <tableColumn id="13" name="LVL Max43" dataDxfId="1576">
      <calculatedColumnFormula>IF($J48=0,0,IF(SUM(Paramètres!$K$6:$K$45)&lt;&gt;Paramètres!$K$3,0,VLOOKUP(MATCH(1,Paramètres!$K$6:$K$45,0),LABO_Dark_Troops[#All],6)))</calculatedColumnFormula>
    </tableColumn>
    <tableColumn id="10" name="Molosse de lave" dataDxfId="1575">
      <calculatedColumnFormula>IF(Paramètres!$I$46=0,0,VLOOKUP(Paramètres!$I$47,BARRACK_DARK_Troops[#All],7))</calculatedColumnFormula>
    </tableColumn>
    <tableColumn id="11" name="LVL Max5" dataDxfId="1574">
      <calculatedColumnFormula>IF($L48=0,0,IF(SUM(Paramètres!$K$6:$K$45)&lt;&gt;Paramètres!$K$3,0,VLOOKUP(MATCH(1,Paramètres!$K$6:$K$45,0),LABO_Dark_Troops[#All],7)))</calculatedColumnFormula>
    </tableColumn>
  </tableColumns>
  <tableStyleInfo name="TableStyleMedium9" showFirstColumn="0" showLastColumn="0" showRowStripes="1" showColumnStripes="0"/>
</table>
</file>

<file path=xl/tables/table17.xml><?xml version="1.0" encoding="utf-8"?>
<table xmlns="http://schemas.openxmlformats.org/spreadsheetml/2006/main" id="51" name="CHANGES_Upgrades_Dark_Troops" displayName="CHANGES_Upgrades_Dark_Troops" ref="O47:AA58" totalsRowShown="0" headerRowDxfId="1573" dataDxfId="1571" headerRowBorderDxfId="1572" tableBorderDxfId="1570">
  <autoFilter ref="O47:AA58"/>
  <tableColumns count="13">
    <tableColumn id="1" name="LVL Labo" dataDxfId="1569"/>
    <tableColumn id="2" name="Serviteur" dataDxfId="1568">
      <calculatedColumnFormula>'Améliorations - Sorts &amp; Troupes'!B48-'Améliorations - Sorts &amp; Troupes'!B47</calculatedColumnFormula>
    </tableColumn>
    <tableColumn id="3" name="LVL Max" dataDxfId="1567">
      <calculatedColumnFormula>'Améliorations - Sorts &amp; Troupes'!C48-'Améliorations - Sorts &amp; Troupes'!C47</calculatedColumnFormula>
    </tableColumn>
    <tableColumn id="4" name="Chevaucheur de Cochon" dataDxfId="1566">
      <calculatedColumnFormula>'Améliorations - Sorts &amp; Troupes'!D48-'Améliorations - Sorts &amp; Troupes'!D47</calculatedColumnFormula>
    </tableColumn>
    <tableColumn id="5" name="LVL Max2" dataDxfId="1565">
      <calculatedColumnFormula>'Améliorations - Sorts &amp; Troupes'!E48-'Améliorations - Sorts &amp; Troupes'!E47</calculatedColumnFormula>
    </tableColumn>
    <tableColumn id="6" name="Valkyrie" dataDxfId="1564">
      <calculatedColumnFormula>'Améliorations - Sorts &amp; Troupes'!F48-'Améliorations - Sorts &amp; Troupes'!F47</calculatedColumnFormula>
    </tableColumn>
    <tableColumn id="7" name="LVL Max3" dataDxfId="1563">
      <calculatedColumnFormula>'Améliorations - Sorts &amp; Troupes'!G48-'Améliorations - Sorts &amp; Troupes'!G47</calculatedColumnFormula>
    </tableColumn>
    <tableColumn id="8" name="Golem" dataDxfId="1562">
      <calculatedColumnFormula>'Améliorations - Sorts &amp; Troupes'!H48-'Améliorations - Sorts &amp; Troupes'!H47</calculatedColumnFormula>
    </tableColumn>
    <tableColumn id="9" name="LVL Max4" dataDxfId="1561">
      <calculatedColumnFormula>'Améliorations - Sorts &amp; Troupes'!I48-'Améliorations - Sorts &amp; Troupes'!I47</calculatedColumnFormula>
    </tableColumn>
    <tableColumn id="12" name="Sorcière" dataDxfId="1560"/>
    <tableColumn id="13" name="LVL Max5" dataDxfId="1559"/>
    <tableColumn id="10" name="Molosse de lave" dataDxfId="1558">
      <calculatedColumnFormula>'Améliorations - Sorts &amp; Troupes'!L48-'Améliorations - Sorts &amp; Troupes'!L47</calculatedColumnFormula>
    </tableColumn>
    <tableColumn id="11" name="LVL Max53" dataDxfId="1557">
      <calculatedColumnFormula>'Améliorations - Sorts &amp; Troupes'!M48-'Améliorations - Sorts &amp; Troupes'!M47</calculatedColumnFormula>
    </tableColumn>
  </tableColumns>
  <tableStyleInfo name="TableStyleMedium9" showFirstColumn="0" showLastColumn="0" showRowStripes="1" showColumnStripes="0"/>
</table>
</file>

<file path=xl/tables/table18.xml><?xml version="1.0" encoding="utf-8"?>
<table xmlns="http://schemas.openxmlformats.org/spreadsheetml/2006/main" id="87" name="LABO_Spells" displayName="LABO_Spells" ref="AF2:AK11" totalsRowShown="0" headerRowDxfId="1556" dataDxfId="1554" headerRowBorderDxfId="1555" tableBorderDxfId="1553" totalsRowBorderDxfId="1552">
  <autoFilter ref="AF2:AK11"/>
  <tableColumns count="6">
    <tableColumn id="1" name="LVL Laboratory" dataDxfId="1551"/>
    <tableColumn id="2" name="Sort de Foudre" dataDxfId="1550"/>
    <tableColumn id="3" name="Sort de Guérison" dataDxfId="1549"/>
    <tableColumn id="4" name="Sort de Rage" dataDxfId="1548"/>
    <tableColumn id="5" name="Sort de Saut" dataDxfId="1547"/>
    <tableColumn id="6" name="Sort de Gel" dataDxfId="1546"/>
  </tableColumns>
  <tableStyleInfo name="TableStyleMedium9" showFirstColumn="0" showLastColumn="0" showRowStripes="1" showColumnStripes="0"/>
</table>
</file>

<file path=xl/tables/table19.xml><?xml version="1.0" encoding="utf-8"?>
<table xmlns="http://schemas.openxmlformats.org/spreadsheetml/2006/main" id="88" name="LABO_Normal_Troops" displayName="LABO_Normal_Troops" ref="BE32:BO41" totalsRowShown="0" headerRowDxfId="1545" dataDxfId="1543" headerRowBorderDxfId="1544" tableBorderDxfId="1542" totalsRowBorderDxfId="1541">
  <autoFilter ref="BE32:BO41"/>
  <tableColumns count="11">
    <tableColumn id="1" name="LVL Labo" dataDxfId="1540"/>
    <tableColumn id="2" name="Barbare" dataDxfId="1539"/>
    <tableColumn id="3" name="Archer" dataDxfId="1538"/>
    <tableColumn id="4" name="Gobelin" dataDxfId="1537"/>
    <tableColumn id="5" name="Géant" dataDxfId="1536"/>
    <tableColumn id="6" name="Sapeur" dataDxfId="1535"/>
    <tableColumn id="7" name="Ballon" dataDxfId="1534"/>
    <tableColumn id="8" name="Sorcier" dataDxfId="1533"/>
    <tableColumn id="9" name="Guérisseuse" dataDxfId="1532"/>
    <tableColumn id="10" name="Dragon" dataDxfId="1531"/>
    <tableColumn id="11" name="P.E.K.K.A" dataDxfId="1530"/>
  </tableColumns>
  <tableStyleInfo name="TableStyleMedium9" showFirstColumn="0" showLastColumn="0" showRowStripes="1" showColumnStripes="0"/>
</table>
</file>

<file path=xl/tables/table20.xml><?xml version="1.0" encoding="utf-8"?>
<table xmlns="http://schemas.openxmlformats.org/spreadsheetml/2006/main" id="91" name="SPELLFACTORY_Spells" displayName="SPELLFACTORY_Spells" ref="Y2:AD9" totalsRowShown="0" headerRowDxfId="1529" dataDxfId="1527" headerRowBorderDxfId="1528" tableBorderDxfId="1526" totalsRowBorderDxfId="1525">
  <autoFilter ref="Y2:AD9"/>
  <tableColumns count="6">
    <tableColumn id="1" name="LVL Spell Factory" dataDxfId="1524"/>
    <tableColumn id="2" name="Sort de Foudre" dataDxfId="1523"/>
    <tableColumn id="3" name="Sort de Guérison" dataDxfId="1522"/>
    <tableColumn id="4" name="Sort de Rage" dataDxfId="1521"/>
    <tableColumn id="5" name="Sort de Saut" dataDxfId="1520"/>
    <tableColumn id="6" name="Sort de Gel" dataDxfId="1519"/>
  </tableColumns>
  <tableStyleInfo name="TableStyleMedium9" showFirstColumn="0" showLastColumn="0" showRowStripes="1" showColumnStripes="0"/>
</table>
</file>

<file path=xl/tables/table21.xml><?xml version="1.0" encoding="utf-8"?>
<table xmlns="http://schemas.openxmlformats.org/spreadsheetml/2006/main" id="92" name="BARRACK_Normal_Troops" displayName="BARRACK_Normal_Troops" ref="AS32:BC44" totalsRowShown="0" headerRowDxfId="1518" dataDxfId="1516" headerRowBorderDxfId="1517" tableBorderDxfId="1515" totalsRowBorderDxfId="1514">
  <autoFilter ref="AS32:BC44"/>
  <tableColumns count="11">
    <tableColumn id="1" name="LVL Barrack" dataDxfId="1513"/>
    <tableColumn id="2" name="Barbare" dataDxfId="1512"/>
    <tableColumn id="3" name="Archer" dataDxfId="1511"/>
    <tableColumn id="4" name="Gobelin" dataDxfId="1510"/>
    <tableColumn id="5" name="Géant" dataDxfId="1509"/>
    <tableColumn id="6" name="Sapeur" dataDxfId="1508"/>
    <tableColumn id="7" name="Ballon" dataDxfId="1507"/>
    <tableColumn id="8" name="Sorcier" dataDxfId="1506"/>
    <tableColumn id="9" name="Guérisseuse" dataDxfId="1505"/>
    <tableColumn id="10" name="Dragon" dataDxfId="1504"/>
    <tableColumn id="11" name="P.E.K.K.A" dataDxfId="1503"/>
  </tableColumns>
  <tableStyleInfo name="TableStyleMedium9" showFirstColumn="0" showLastColumn="0" showRowStripes="1" showColumnStripes="0"/>
</table>
</file>

<file path=xl/tables/table22.xml><?xml version="1.0" encoding="utf-8"?>
<table xmlns="http://schemas.openxmlformats.org/spreadsheetml/2006/main" id="94" name="BARRACK_DARK_Troops" displayName="BARRACK_DARK_Troops" ref="AD47:AJ55" totalsRowShown="0" headerRowDxfId="1502" dataDxfId="1500" headerRowBorderDxfId="1501" tableBorderDxfId="1499" totalsRowBorderDxfId="1498">
  <autoFilter ref="AD47:AJ55"/>
  <tableColumns count="7">
    <tableColumn id="1" name="LVL Dark Barrack" dataDxfId="1497"/>
    <tableColumn id="2" name="Serviteur" dataDxfId="1496"/>
    <tableColumn id="3" name="Chevaucheur de Cochon" dataDxfId="1495"/>
    <tableColumn id="4" name="Valkyrie" dataDxfId="1494"/>
    <tableColumn id="5" name="Golem" dataDxfId="1493"/>
    <tableColumn id="6" name="Sorcière" dataDxfId="1492"/>
    <tableColumn id="7" name="Molosse de lave" dataDxfId="1491"/>
  </tableColumns>
  <tableStyleInfo name="TableStyleMedium9" showFirstColumn="0" showLastColumn="0" showRowStripes="1" showColumnStripes="0"/>
</table>
</file>

<file path=xl/tables/table23.xml><?xml version="1.0" encoding="utf-8"?>
<table xmlns="http://schemas.openxmlformats.org/spreadsheetml/2006/main" id="93" name="LABO_Dark_Troops" displayName="LABO_Dark_Troops" ref="AL47:AR56" totalsRowShown="0" headerRowDxfId="1490" dataDxfId="1488" headerRowBorderDxfId="1489" tableBorderDxfId="1487" totalsRowBorderDxfId="1486">
  <autoFilter ref="AL47:AR56"/>
  <tableColumns count="7">
    <tableColumn id="1" name="LVL Labo" dataDxfId="1485"/>
    <tableColumn id="2" name="Serviteur" dataDxfId="1484"/>
    <tableColumn id="3" name="Chevaucheur de Cochon" dataDxfId="1483"/>
    <tableColumn id="4" name="Valkyrie" dataDxfId="1482"/>
    <tableColumn id="5" name="Golem" dataDxfId="1481"/>
    <tableColumn id="6" name="Sorcière" dataDxfId="1480"/>
    <tableColumn id="7" name="Molosse de lave" dataDxfId="1479"/>
  </tableColumns>
  <tableStyleInfo name="TableStyleMedium9" showFirstColumn="0" showLastColumn="0" showRowStripes="1" showColumnStripes="0"/>
</table>
</file>

<file path=xl/tables/table24.xml><?xml version="1.0" encoding="utf-8"?>
<table xmlns="http://schemas.openxmlformats.org/spreadsheetml/2006/main" id="96" name="SPELLFACTORY_DarkSpells" displayName="SPELLFACTORY_DarkSpells" ref="Q17:T24" totalsRowShown="0" headerRowDxfId="1478" dataDxfId="1476" headerRowBorderDxfId="1477" tableBorderDxfId="1475" totalsRowBorderDxfId="1474">
  <autoFilter ref="Q17:T24"/>
  <tableColumns count="4">
    <tableColumn id="1" name="LVL  Dark Spell Factory" dataDxfId="1473"/>
    <tableColumn id="2" name="Sort de Poison" dataDxfId="1472"/>
    <tableColumn id="3" name="Tremblement de terre" dataDxfId="1471"/>
    <tableColumn id="4" name="Sort de Hâte" dataDxfId="1470"/>
  </tableColumns>
  <tableStyleInfo name="TableStyleMedium9" showFirstColumn="0" showLastColumn="0" showRowStripes="1" showColumnStripes="0"/>
</table>
</file>

<file path=xl/tables/table25.xml><?xml version="1.0" encoding="utf-8"?>
<table xmlns="http://schemas.openxmlformats.org/spreadsheetml/2006/main" id="135" name="AVAILABLE_Upgrades_Dark_Spells" displayName="AVAILABLE_Upgrades_Dark_Spells" ref="A17:G28" totalsRowShown="0" headerRowDxfId="1469" dataDxfId="1467" headerRowBorderDxfId="1468" tableBorderDxfId="1466">
  <autoFilter ref="A17:G28"/>
  <tableColumns count="7">
    <tableColumn id="1" name="LVL" dataDxfId="1465"/>
    <tableColumn id="2" name="Sort de Poison" dataDxfId="1464">
      <calculatedColumnFormula>IF(Paramètres!$M$46=0,0,VLOOKUP(Paramètres!$M$47,SPELLFACTORY_DarkSpells[#All],2))</calculatedColumnFormula>
    </tableColumn>
    <tableColumn id="3" name="LVL Max" dataDxfId="1463">
      <calculatedColumnFormula>IF($B18=0,0,IF(SUM(Paramètres!$K$6:$K$45)&lt;&gt;Paramètres!$K$3,0,VLOOKUP(MATCH(1,Paramètres!$K$6:$K$45,0),LABO_Dark_Spells[#All],2)))</calculatedColumnFormula>
    </tableColumn>
    <tableColumn id="4" name="Tremblement de terre" dataDxfId="1462">
      <calculatedColumnFormula>IF(Paramètres!$M$46=0,0,VLOOKUP(Paramètres!$M$47,SPELLFACTORY_DarkSpells[#All],3))</calculatedColumnFormula>
    </tableColumn>
    <tableColumn id="5" name="LVL Max2" dataDxfId="1461">
      <calculatedColumnFormula>IF($D18=0,0,IF(SUM(Paramètres!$K$6:$K$45)&lt;&gt;Paramètres!$K$3,0,VLOOKUP(MATCH(1,Paramètres!$K$6:$K$45,0),LABO_Dark_Spells[#All],3)))</calculatedColumnFormula>
    </tableColumn>
    <tableColumn id="6" name="Sort de Hâte" dataDxfId="1460">
      <calculatedColumnFormula>IF(Paramètres!$M$46=0,0,VLOOKUP(Paramètres!$M$47,SPELLFACTORY_DarkSpells[#All],4))</calculatedColumnFormula>
    </tableColumn>
    <tableColumn id="7" name="LVL Max3" dataDxfId="1459">
      <calculatedColumnFormula>IF($F18=0,0,IF(SUM(Paramètres!$K$6:$K$45)&lt;&gt;Paramètres!$K$3,0,VLOOKUP(MATCH(1,Paramètres!$K$6:$K$45,0),LABO_Dark_Spells[#All],4)))</calculatedColumnFormula>
    </tableColumn>
  </tableColumns>
  <tableStyleInfo name="TableStyleMedium9" showFirstColumn="0" showLastColumn="0" showRowStripes="1" showColumnStripes="0"/>
</table>
</file>

<file path=xl/tables/table26.xml><?xml version="1.0" encoding="utf-8"?>
<table xmlns="http://schemas.openxmlformats.org/spreadsheetml/2006/main" id="136" name="CHANGES_Upgrades_Dark_Spells" displayName="CHANGES_Upgrades_Dark_Spells" ref="I17:O28" totalsRowShown="0" headerRowDxfId="1458" dataDxfId="1456" headerRowBorderDxfId="1457" tableBorderDxfId="1455">
  <autoFilter ref="I17:O28"/>
  <tableColumns count="7">
    <tableColumn id="1" name="LVL" dataDxfId="1454"/>
    <tableColumn id="2" name="Sort de Poison" dataDxfId="1453"/>
    <tableColumn id="3" name="LVL Max" dataDxfId="1452"/>
    <tableColumn id="4" name="Tremblement de terre" dataDxfId="1451"/>
    <tableColumn id="5" name="LVL Max2" dataDxfId="1450"/>
    <tableColumn id="6" name="Sort de Hâte" dataDxfId="1449"/>
    <tableColumn id="7" name="LVL Max3" dataDxfId="1448"/>
  </tableColumns>
  <tableStyleInfo name="TableStyleMedium9" showFirstColumn="0" showLastColumn="0" showRowStripes="1" showColumnStripes="0"/>
</table>
</file>

<file path=xl/tables/table27.xml><?xml version="1.0" encoding="utf-8"?>
<table xmlns="http://schemas.openxmlformats.org/spreadsheetml/2006/main" id="137" name="LABO_Dark_Spells" displayName="LABO_Dark_Spells" ref="V17:Y26" totalsRowShown="0" headerRowDxfId="1447" dataDxfId="1445" headerRowBorderDxfId="1446" tableBorderDxfId="1444" totalsRowBorderDxfId="1443">
  <autoFilter ref="V17:Y26"/>
  <tableColumns count="4">
    <tableColumn id="1" name="LVL Laboratory" dataDxfId="1442"/>
    <tableColumn id="2" name="Sort de Poison" dataDxfId="1441"/>
    <tableColumn id="3" name="Tremblement de terre" dataDxfId="1440"/>
    <tableColumn id="4" name="Sort de Hâte" dataDxfId="1439"/>
  </tableColumns>
  <tableStyleInfo name="TableStyleMedium9" showFirstColumn="0" showLastColumn="0" showRowStripes="1" showColumnStripes="0"/>
</table>
</file>

<file path=xl/tables/table28.xml><?xml version="1.0" encoding="utf-8"?>
<table xmlns="http://schemas.openxmlformats.org/spreadsheetml/2006/main" id="22" name="AVAILABLE_Heroes" displayName="AVAILABLE_Heroes" ref="A2:E13" totalsRowShown="0" headerRowDxfId="1438" dataDxfId="1436" headerRowBorderDxfId="1437" tableBorderDxfId="1435">
  <autoFilter ref="A2:E13"/>
  <tableColumns count="5">
    <tableColumn id="1" name="LVL HdV" dataDxfId="1434"/>
    <tableColumn id="2" name="Roi des Barbares" dataDxfId="1433"/>
    <tableColumn id="3" name="LVL Max" dataDxfId="1432"/>
    <tableColumn id="4" name="Reine des Archers" dataDxfId="1431"/>
    <tableColumn id="5" name="LVL Max2" dataDxfId="1430"/>
  </tableColumns>
  <tableStyleInfo name="TableStyleMedium9" showFirstColumn="0" showLastColumn="0" showRowStripes="1" showColumnStripes="0"/>
</table>
</file>

<file path=xl/tables/table29.xml><?xml version="1.0" encoding="utf-8"?>
<table xmlns="http://schemas.openxmlformats.org/spreadsheetml/2006/main" id="30" name="CHANGES_Heroes" displayName="CHANGES_Heroes" ref="G2:K13" totalsRowShown="0" headerRowDxfId="1429" dataDxfId="1427" headerRowBorderDxfId="1428" tableBorderDxfId="1426">
  <autoFilter ref="G2:K13"/>
  <tableColumns count="5">
    <tableColumn id="1" name="LVL HdV" dataDxfId="1425"/>
    <tableColumn id="2" name="Roi des Barbares" dataDxfId="1424">
      <calculatedColumnFormula>B3-B2</calculatedColumnFormula>
    </tableColumn>
    <tableColumn id="3" name="LVL Max" dataDxfId="1423">
      <calculatedColumnFormula>C3-C2</calculatedColumnFormula>
    </tableColumn>
    <tableColumn id="4" name="Reine des Archers" dataDxfId="1422">
      <calculatedColumnFormula>D3-D2</calculatedColumnFormula>
    </tableColumn>
    <tableColumn id="5" name="LVL Max2" dataDxfId="1421">
      <calculatedColumnFormula>E3-E2</calculatedColumnFormula>
    </tableColumn>
  </tableColumns>
  <tableStyleInfo name="TableStyleMedium9" showFirstColumn="0" showLastColumn="0" showRowStripes="1" showColumnStripes="0"/>
</table>
</file>

<file path=xl/tables/table30.xml><?xml version="1.0" encoding="utf-8"?>
<table xmlns="http://schemas.openxmlformats.org/spreadsheetml/2006/main" id="6" name="COSTS_Barrack" displayName="COSTS_Barrack" ref="D22:F32" totalsRowShown="0" headerRowDxfId="1420" dataDxfId="1418" headerRowBorderDxfId="1419" tableBorderDxfId="1417">
  <autoFilter ref="D22:F32"/>
  <tableColumns count="3">
    <tableColumn id="1" name="LVL" dataDxfId="1416"/>
    <tableColumn id="2" name="Coût" dataDxfId="1415"/>
    <tableColumn id="3" name="Temps" dataDxfId="1414"/>
  </tableColumns>
  <tableStyleInfo name="TableStyleMedium9" showFirstColumn="0" showLastColumn="0" showRowStripes="1" showColumnStripes="0"/>
</table>
</file>

<file path=xl/tables/table31.xml><?xml version="1.0" encoding="utf-8"?>
<table xmlns="http://schemas.openxmlformats.org/spreadsheetml/2006/main" id="7" name="COSTS_Dark_Elixir_Storage" displayName="COSTS_Dark_Elixir_Storage" ref="J4:L10" totalsRowShown="0" headerRowDxfId="1413" dataDxfId="1411" headerRowBorderDxfId="1412" tableBorderDxfId="1410">
  <autoFilter ref="J4:L10"/>
  <tableColumns count="3">
    <tableColumn id="1" name="LVL" dataDxfId="1409"/>
    <tableColumn id="2" name="Coût" dataDxfId="1408"/>
    <tableColumn id="4" name="Temps" dataDxfId="1407"/>
  </tableColumns>
  <tableStyleInfo name="TableStyleMedium9" showFirstColumn="0" showLastColumn="0" showRowStripes="1" showColumnStripes="0"/>
</table>
</file>

<file path=xl/tables/table32.xml><?xml version="1.0" encoding="utf-8"?>
<table xmlns="http://schemas.openxmlformats.org/spreadsheetml/2006/main" id="9" name="COSTS_Dark_Barrack" displayName="COSTS_Dark_Barrack" ref="A22:C28" totalsRowShown="0" headerRowDxfId="1406" dataDxfId="1404" headerRowBorderDxfId="1405" tableBorderDxfId="1403" totalsRowBorderDxfId="1402">
  <autoFilter ref="A22:C28"/>
  <tableColumns count="3">
    <tableColumn id="1" name="LVL" dataDxfId="1401"/>
    <tableColumn id="2" name="Coût" dataDxfId="1400"/>
    <tableColumn id="4" name="Temps" dataDxfId="1399"/>
  </tableColumns>
  <tableStyleInfo name="TableStyleMedium9" showFirstColumn="0" showLastColumn="0" showRowStripes="1" showColumnStripes="0"/>
</table>
</file>

<file path=xl/tables/table33.xml><?xml version="1.0" encoding="utf-8"?>
<table xmlns="http://schemas.openxmlformats.org/spreadsheetml/2006/main" id="10" name="COSTS_Gold_Mine" displayName="COSTS_Gold_Mine" ref="A4:C16" totalsRowShown="0" headerRowDxfId="1398" dataDxfId="1396" headerRowBorderDxfId="1397" tableBorderDxfId="1395" totalsRowBorderDxfId="1394">
  <autoFilter ref="A4:C16"/>
  <tableColumns count="3">
    <tableColumn id="1" name="LVL" dataDxfId="1393"/>
    <tableColumn id="2" name="Coût" dataDxfId="1392"/>
    <tableColumn id="4" name="Temps" dataDxfId="1391"/>
  </tableColumns>
  <tableStyleInfo name="TableStyleMedium9" showFirstColumn="0" showLastColumn="0" showRowStripes="1" showColumnStripes="0"/>
</table>
</file>

<file path=xl/tables/table34.xml><?xml version="1.0" encoding="utf-8"?>
<table xmlns="http://schemas.openxmlformats.org/spreadsheetml/2006/main" id="11" name="COSTS_Elixir_Collector" displayName="COSTS_Elixir_Collector" ref="M4:O16" totalsRowShown="0" headerRowDxfId="1390" dataDxfId="1388" headerRowBorderDxfId="1389" tableBorderDxfId="1387" totalsRowBorderDxfId="1386">
  <autoFilter ref="M4:O16"/>
  <tableColumns count="3">
    <tableColumn id="1" name="LVL" dataDxfId="1385"/>
    <tableColumn id="2" name="Coût" dataDxfId="1384"/>
    <tableColumn id="4" name="Temps" dataDxfId="1383"/>
  </tableColumns>
  <tableStyleInfo name="TableStyleMedium9" showFirstColumn="0" showLastColumn="0" showRowStripes="1" showColumnStripes="0"/>
</table>
</file>

<file path=xl/tables/table35.xml><?xml version="1.0" encoding="utf-8"?>
<table xmlns="http://schemas.openxmlformats.org/spreadsheetml/2006/main" id="12" name="COSTS_Dark_Elixir_Drill" displayName="COSTS_Dark_Elixir_Drill" ref="D4:F10" totalsRowShown="0" headerRowDxfId="1382" dataDxfId="1380" headerRowBorderDxfId="1381" tableBorderDxfId="1379" totalsRowBorderDxfId="1378">
  <autoFilter ref="D4:F10"/>
  <tableColumns count="3">
    <tableColumn id="1" name="LVL" dataDxfId="1377"/>
    <tableColumn id="2" name="Coût" dataDxfId="1376"/>
    <tableColumn id="4" name="Temps" dataDxfId="1375"/>
  </tableColumns>
  <tableStyleInfo name="TableStyleMedium9" showFirstColumn="0" showLastColumn="0" showRowStripes="1" showColumnStripes="0"/>
</table>
</file>

<file path=xl/tables/table36.xml><?xml version="1.0" encoding="utf-8"?>
<table xmlns="http://schemas.openxmlformats.org/spreadsheetml/2006/main" id="13" name="COSTS_Gold_Storage" displayName="COSTS_Gold_Storage" ref="G4:I15" totalsRowShown="0" headerRowDxfId="1374" dataDxfId="1372" headerRowBorderDxfId="1373" tableBorderDxfId="1371" totalsRowBorderDxfId="1370">
  <autoFilter ref="G4:I15"/>
  <tableColumns count="3">
    <tableColumn id="1" name="LVL" dataDxfId="1369"/>
    <tableColumn id="2" name="Coût" dataDxfId="1368"/>
    <tableColumn id="4" name="Temps" dataDxfId="1367"/>
  </tableColumns>
  <tableStyleInfo name="TableStyleMedium9" showFirstColumn="0" showLastColumn="0" showRowStripes="1" showColumnStripes="0"/>
</table>
</file>

<file path=xl/tables/table37.xml><?xml version="1.0" encoding="utf-8"?>
<table xmlns="http://schemas.openxmlformats.org/spreadsheetml/2006/main" id="14" name="COSTS_Elixir_Storage" displayName="COSTS_Elixir_Storage" ref="P4:R15" totalsRowShown="0" headerRowDxfId="1366" dataDxfId="1364" headerRowBorderDxfId="1365" tableBorderDxfId="1363" totalsRowBorderDxfId="1362">
  <autoFilter ref="P4:R15"/>
  <tableColumns count="3">
    <tableColumn id="1" name="LVL" dataDxfId="1361"/>
    <tableColumn id="2" name="Coût" dataDxfId="1360"/>
    <tableColumn id="4" name="Temps" dataDxfId="1359"/>
  </tableColumns>
  <tableStyleInfo name="TableStyleMedium9" showFirstColumn="0" showLastColumn="0" showRowStripes="1" showColumnStripes="0"/>
</table>
</file>

<file path=xl/tables/table38.xml><?xml version="1.0" encoding="utf-8"?>
<table xmlns="http://schemas.openxmlformats.org/spreadsheetml/2006/main" id="15" name="COSTS_Army_Camp" displayName="COSTS_Army_Camp" ref="G22:I30" totalsRowShown="0" headerRowDxfId="1358" dataDxfId="1356" headerRowBorderDxfId="1357" tableBorderDxfId="1355" totalsRowBorderDxfId="1354">
  <autoFilter ref="G22:I30"/>
  <tableColumns count="3">
    <tableColumn id="1" name="LVL" dataDxfId="1353"/>
    <tableColumn id="2" name="Coût" dataDxfId="1352"/>
    <tableColumn id="4" name="Temps" dataDxfId="1351"/>
  </tableColumns>
  <tableStyleInfo name="TableStyleMedium9" showFirstColumn="0" showLastColumn="0" showRowStripes="1" showColumnStripes="0"/>
</table>
</file>

<file path=xl/tables/table39.xml><?xml version="1.0" encoding="utf-8"?>
<table xmlns="http://schemas.openxmlformats.org/spreadsheetml/2006/main" id="16" name="COSTS_Laboratory" displayName="COSTS_Laboratory" ref="J22:L30" totalsRowShown="0" headerRowDxfId="1350" dataDxfId="1348" headerRowBorderDxfId="1349" tableBorderDxfId="1347" totalsRowBorderDxfId="1346">
  <autoFilter ref="J22:L30"/>
  <tableColumns count="3">
    <tableColumn id="1" name="LVL" dataDxfId="1345"/>
    <tableColumn id="2" name="Coût" dataDxfId="1344"/>
    <tableColumn id="4" name="Temps" dataDxfId="1343"/>
  </tableColumns>
  <tableStyleInfo name="TableStyleMedium9" showFirstColumn="0" showLastColumn="0" showRowStripes="1" showColumnStripes="0"/>
</table>
</file>

<file path=xl/tables/table40.xml><?xml version="1.0" encoding="utf-8"?>
<table xmlns="http://schemas.openxmlformats.org/spreadsheetml/2006/main" id="17" name="COSTS_Spell_Factory" displayName="COSTS_Spell_Factory" ref="M22:O27" totalsRowShown="0" headerRowDxfId="1342" dataDxfId="1340" headerRowBorderDxfId="1341" tableBorderDxfId="1339" totalsRowBorderDxfId="1338">
  <autoFilter ref="M22:O27"/>
  <tableColumns count="3">
    <tableColumn id="1" name="LVL" dataDxfId="1337"/>
    <tableColumn id="2" name="Coût" dataDxfId="1336"/>
    <tableColumn id="4" name="Temps" dataDxfId="1335"/>
  </tableColumns>
  <tableStyleInfo name="TableStyleMedium9" showFirstColumn="0" showLastColumn="0" showRowStripes="1" showColumnStripes="0"/>
</table>
</file>

<file path=xl/tables/table41.xml><?xml version="1.0" encoding="utf-8"?>
<table xmlns="http://schemas.openxmlformats.org/spreadsheetml/2006/main" id="18" name="COSTS_Clan_Castle" displayName="COSTS_Clan_Castle" ref="A69:C75" totalsRowShown="0" headerRowDxfId="1334" dataDxfId="1332" headerRowBorderDxfId="1333" tableBorderDxfId="1331" totalsRowBorderDxfId="1330">
  <autoFilter ref="A69:C75"/>
  <tableColumns count="3">
    <tableColumn id="1" name="LVL" dataDxfId="1329"/>
    <tableColumn id="2" name="Coût" dataDxfId="1328"/>
    <tableColumn id="4" name="Temps" dataDxfId="1327"/>
  </tableColumns>
  <tableStyleInfo name="TableStyleMedium9" showFirstColumn="0" showLastColumn="0" showRowStripes="1" showColumnStripes="0"/>
</table>
</file>

<file path=xl/tables/table42.xml><?xml version="1.0" encoding="utf-8"?>
<table xmlns="http://schemas.openxmlformats.org/spreadsheetml/2006/main" id="8" name="COSTS_Wizard_Tower" displayName="COSTS_Wizard_Tower" ref="P38:R46" totalsRowShown="0" headerRowDxfId="1326" dataDxfId="1324" headerRowBorderDxfId="1325" tableBorderDxfId="1323">
  <autoFilter ref="P38:R46"/>
  <tableColumns count="3">
    <tableColumn id="1" name="LVL" dataDxfId="1322"/>
    <tableColumn id="2" name="Coût" dataDxfId="1321"/>
    <tableColumn id="3" name="Temps" dataDxfId="1320"/>
  </tableColumns>
  <tableStyleInfo name="TableStyleMedium9" showFirstColumn="0" showLastColumn="0" showRowStripes="1" showColumnStripes="0"/>
</table>
</file>

<file path=xl/tables/table43.xml><?xml version="1.0" encoding="utf-8"?>
<table xmlns="http://schemas.openxmlformats.org/spreadsheetml/2006/main" id="19" name="COSTS_Mortar" displayName="COSTS_Mortar" ref="J38:L46" totalsRowShown="0" headerRowDxfId="1319" dataDxfId="1317" headerRowBorderDxfId="1318" tableBorderDxfId="1316">
  <autoFilter ref="J38:L46"/>
  <tableColumns count="3">
    <tableColumn id="1" name="LVL" dataDxfId="1315"/>
    <tableColumn id="2" name="Coût" dataDxfId="1314"/>
    <tableColumn id="4" name="Temps" dataDxfId="1313"/>
  </tableColumns>
  <tableStyleInfo name="TableStyleMedium9" showFirstColumn="0" showLastColumn="0" showRowStripes="1" showColumnStripes="0"/>
</table>
</file>

<file path=xl/tables/table44.xml><?xml version="1.0" encoding="utf-8"?>
<table xmlns="http://schemas.openxmlformats.org/spreadsheetml/2006/main" id="20" name="COSTS_Air_Defense" displayName="COSTS_Air_Defense" ref="M38:O46" totalsRowShown="0" headerRowDxfId="1312" headerRowBorderDxfId="1311" tableBorderDxfId="1310">
  <autoFilter ref="M38:O46"/>
  <tableColumns count="3">
    <tableColumn id="1" name="LVL" dataDxfId="1309"/>
    <tableColumn id="2" name="Coût" dataDxfId="1308"/>
    <tableColumn id="4" name="Temps" dataDxfId="1307"/>
  </tableColumns>
  <tableStyleInfo name="TableStyleMedium9" showFirstColumn="0" showLastColumn="0" showRowStripes="1" showColumnStripes="0"/>
</table>
</file>

<file path=xl/tables/table45.xml><?xml version="1.0" encoding="utf-8"?>
<table xmlns="http://schemas.openxmlformats.org/spreadsheetml/2006/main" id="21" name="COSTS_Cannon" displayName="COSTS_Cannon" ref="D38:F51" totalsRowShown="0" headerRowDxfId="1306" dataDxfId="1304" headerRowBorderDxfId="1305" tableBorderDxfId="1303" totalsRowBorderDxfId="1302">
  <autoFilter ref="D38:F51"/>
  <tableColumns count="3">
    <tableColumn id="1" name="LVL" dataDxfId="1301"/>
    <tableColumn id="2" name="Coût" dataDxfId="1300"/>
    <tableColumn id="4" name="Temps" dataDxfId="1299"/>
  </tableColumns>
  <tableStyleInfo name="TableStyleMedium9" showFirstColumn="0" showLastColumn="0" showRowStripes="1" showColumnStripes="0"/>
</table>
</file>

<file path=xl/tables/table46.xml><?xml version="1.0" encoding="utf-8"?>
<table xmlns="http://schemas.openxmlformats.org/spreadsheetml/2006/main" id="23" name="COSTS_Archer_Tower" displayName="COSTS_Archer_Tower" ref="G38:I51" totalsRowShown="0" headerRowDxfId="1298" dataDxfId="1296" headerRowBorderDxfId="1297" tableBorderDxfId="1295" totalsRowBorderDxfId="1294">
  <autoFilter ref="G38:I51"/>
  <tableColumns count="3">
    <tableColumn id="1" name="LVL" dataDxfId="1293"/>
    <tableColumn id="2" name="Coût" dataDxfId="1292"/>
    <tableColumn id="4" name="Temps" dataDxfId="1291"/>
  </tableColumns>
  <tableStyleInfo name="TableStyleMedium9" showFirstColumn="0" showLastColumn="0" showRowStripes="1" showColumnStripes="0"/>
</table>
</file>

<file path=xl/tables/table47.xml><?xml version="1.0" encoding="utf-8"?>
<table xmlns="http://schemas.openxmlformats.org/spreadsheetml/2006/main" id="24" name="COSTS_Wall" displayName="COSTS_Wall" ref="A38:C49" totalsRowShown="0" headerRowDxfId="1290" dataDxfId="1288" headerRowBorderDxfId="1289" tableBorderDxfId="1287" totalsRowBorderDxfId="1286">
  <autoFilter ref="A38:C49"/>
  <tableColumns count="3">
    <tableColumn id="1" name="LVL" dataDxfId="1285"/>
    <tableColumn id="2" name="Coût" dataDxfId="1284"/>
    <tableColumn id="4" name="Temps" dataDxfId="1283"/>
  </tableColumns>
  <tableStyleInfo name="TableStyleMedium9" showFirstColumn="0" showLastColumn="0" showRowStripes="1" showColumnStripes="0"/>
</table>
</file>

<file path=xl/tables/table48.xml><?xml version="1.0" encoding="utf-8"?>
<table xmlns="http://schemas.openxmlformats.org/spreadsheetml/2006/main" id="26" name="COSTS_Hidden_Tesla" displayName="COSTS_Hidden_Tesla" ref="V38:X46" totalsRowShown="0" headerRowDxfId="1282" dataDxfId="1280" headerRowBorderDxfId="1281" tableBorderDxfId="1279" totalsRowBorderDxfId="1278">
  <autoFilter ref="V38:X46"/>
  <tableColumns count="3">
    <tableColumn id="1" name="LVL" dataDxfId="1277"/>
    <tableColumn id="2" name="Coût" dataDxfId="1276"/>
    <tableColumn id="4" name="Temps" dataDxfId="1275"/>
  </tableColumns>
  <tableStyleInfo name="TableStyleMedium9" showFirstColumn="0" showLastColumn="0" showRowStripes="1" showColumnStripes="0"/>
</table>
</file>

<file path=xl/tables/table49.xml><?xml version="1.0" encoding="utf-8"?>
<table xmlns="http://schemas.openxmlformats.org/spreadsheetml/2006/main" id="27" name="COSTS_XBow" displayName="COSTS_XBow" ref="Y38:AA42" totalsRowShown="0" headerRowDxfId="1274" dataDxfId="1272" headerRowBorderDxfId="1273" tableBorderDxfId="1271" totalsRowBorderDxfId="1270">
  <autoFilter ref="Y38:AA42"/>
  <tableColumns count="3">
    <tableColumn id="1" name="LVL" dataDxfId="1269"/>
    <tableColumn id="2" name="Coût" dataDxfId="1268"/>
    <tableColumn id="4" name="Temps" dataDxfId="1267"/>
  </tableColumns>
  <tableStyleInfo name="TableStyleMedium9" showFirstColumn="0" showLastColumn="0" showRowStripes="1" showColumnStripes="0"/>
</table>
</file>

<file path=xl/tables/table50.xml><?xml version="1.0" encoding="utf-8"?>
<table xmlns="http://schemas.openxmlformats.org/spreadsheetml/2006/main" id="28" name="COSTS_Inferno_Tower" displayName="COSTS_Inferno_Tower" ref="AB38:AD41" totalsRowShown="0" headerRowDxfId="1266" dataDxfId="1264" headerRowBorderDxfId="1265" tableBorderDxfId="1263" totalsRowBorderDxfId="1262">
  <autoFilter ref="AB38:AD41"/>
  <tableColumns count="3">
    <tableColumn id="1" name="LVL" dataDxfId="1261"/>
    <tableColumn id="2" name="Coût" dataDxfId="1260"/>
    <tableColumn id="4" name="Temps" dataDxfId="1259"/>
  </tableColumns>
  <tableStyleInfo name="TableStyleMedium9" showFirstColumn="0" showLastColumn="0" showRowStripes="1" showColumnStripes="0"/>
</table>
</file>

<file path=xl/tables/table51.xml><?xml version="1.0" encoding="utf-8"?>
<table xmlns="http://schemas.openxmlformats.org/spreadsheetml/2006/main" id="25" name="COSTS_Barbarian_King" displayName="COSTS_Barbarian_King" ref="A132:C172" totalsRowShown="0" headerRowDxfId="1258" dataDxfId="1256" headerRowBorderDxfId="1257" tableBorderDxfId="1255" totalsRowBorderDxfId="1254">
  <autoFilter ref="A132:C172"/>
  <tableColumns count="3">
    <tableColumn id="1" name="LVL" dataDxfId="1253"/>
    <tableColumn id="2" name="Coût" dataDxfId="1252"/>
    <tableColumn id="4" name="Temps" dataDxfId="1251"/>
  </tableColumns>
  <tableStyleInfo name="TableStyleMedium9" showFirstColumn="0" showLastColumn="0" showRowStripes="1" showColumnStripes="0"/>
</table>
</file>

<file path=xl/tables/table52.xml><?xml version="1.0" encoding="utf-8"?>
<table xmlns="http://schemas.openxmlformats.org/spreadsheetml/2006/main" id="29" name="COSTS_Archer_Queen" displayName="COSTS_Archer_Queen" ref="D132:F172" totalsRowShown="0" headerRowDxfId="1250" dataDxfId="1248" headerRowBorderDxfId="1249" tableBorderDxfId="1247" totalsRowBorderDxfId="1246">
  <autoFilter ref="D132:F172"/>
  <tableColumns count="3">
    <tableColumn id="1" name="LVL" dataDxfId="1245"/>
    <tableColumn id="2" name="Coût" dataDxfId="1244"/>
    <tableColumn id="4" name="Temps" dataDxfId="1243"/>
  </tableColumns>
  <tableStyleInfo name="TableStyleMedium9" showFirstColumn="0" showLastColumn="0" showRowStripes="1" showColumnStripes="0"/>
</table>
</file>

<file path=xl/tables/table53.xml><?xml version="1.0" encoding="utf-8"?>
<table xmlns="http://schemas.openxmlformats.org/spreadsheetml/2006/main" id="31" name="COSTS_Town_Home" displayName="COSTS_Town_Home" ref="D69:F79" totalsRowShown="0" headerRowDxfId="1242" dataDxfId="1240" headerRowBorderDxfId="1241" tableBorderDxfId="1239" totalsRowBorderDxfId="1238">
  <autoFilter ref="D69:F79"/>
  <tableColumns count="3">
    <tableColumn id="1" name="LVL" dataDxfId="1237"/>
    <tableColumn id="2" name="Coût" dataDxfId="1236"/>
    <tableColumn id="4" name="Temps" dataDxfId="1235"/>
  </tableColumns>
  <tableStyleInfo name="TableStyleMedium9" showFirstColumn="0" showLastColumn="0" showRowStripes="1" showColumnStripes="0"/>
</table>
</file>

<file path=xl/tables/table54.xml><?xml version="1.0" encoding="utf-8"?>
<table xmlns="http://schemas.openxmlformats.org/spreadsheetml/2006/main" id="53" name="COSTS_Balloon" displayName="COSTS_Balloon" ref="P97:R103" totalsRowShown="0" headerRowDxfId="1234" dataDxfId="1232" headerRowBorderDxfId="1233" tableBorderDxfId="1231">
  <autoFilter ref="P97:R103"/>
  <tableColumns count="3">
    <tableColumn id="1" name="LVL" dataDxfId="1230"/>
    <tableColumn id="2" name="Coût" dataDxfId="1229"/>
    <tableColumn id="3" name="Temps" dataDxfId="1228"/>
  </tableColumns>
  <tableStyleInfo name="TableStyleMedium9" showFirstColumn="0" showLastColumn="0" showRowStripes="1" showColumnStripes="0"/>
</table>
</file>

<file path=xl/tables/table55.xml><?xml version="1.0" encoding="utf-8"?>
<table xmlns="http://schemas.openxmlformats.org/spreadsheetml/2006/main" id="54" name="COSTS_Giant" displayName="COSTS_Giant" ref="J97:L104" totalsRowShown="0" headerRowDxfId="1227" dataDxfId="1225" headerRowBorderDxfId="1226" tableBorderDxfId="1224">
  <autoFilter ref="J97:L104"/>
  <tableColumns count="3">
    <tableColumn id="1" name="LVL" dataDxfId="1223"/>
    <tableColumn id="2" name="Coût" dataDxfId="1222"/>
    <tableColumn id="4" name="Temps" dataDxfId="1221"/>
  </tableColumns>
  <tableStyleInfo name="TableStyleMedium9" showFirstColumn="0" showLastColumn="0" showRowStripes="1" showColumnStripes="0"/>
</table>
</file>

<file path=xl/tables/table56.xml><?xml version="1.0" encoding="utf-8"?>
<table xmlns="http://schemas.openxmlformats.org/spreadsheetml/2006/main" id="55" name="COSTS_Wall_Breaker" displayName="COSTS_Wall_Breaker" ref="M97:O103" totalsRowShown="0" headerRowDxfId="1220" dataDxfId="1218" headerRowBorderDxfId="1219" tableBorderDxfId="1217">
  <autoFilter ref="M97:O103"/>
  <tableColumns count="3">
    <tableColumn id="1" name="LVL" dataDxfId="1216"/>
    <tableColumn id="2" name="Coût" dataDxfId="1215"/>
    <tableColumn id="4" name="Temps" dataDxfId="1214"/>
  </tableColumns>
  <tableStyleInfo name="TableStyleMedium9" showFirstColumn="0" showLastColumn="0" showRowStripes="1" showColumnStripes="0"/>
</table>
</file>

<file path=xl/tables/table57.xml><?xml version="1.0" encoding="utf-8"?>
<table xmlns="http://schemas.openxmlformats.org/spreadsheetml/2006/main" id="56" name="COSTS_Barbarian" displayName="COSTS_Barbarian" ref="A97:C104" totalsRowShown="0" headerRowDxfId="1213" dataDxfId="1211" headerRowBorderDxfId="1212" tableBorderDxfId="1210" totalsRowBorderDxfId="1209">
  <autoFilter ref="A97:C104"/>
  <tableColumns count="3">
    <tableColumn id="1" name="LVL" dataDxfId="1208"/>
    <tableColumn id="2" name="Coût" dataDxfId="1207"/>
    <tableColumn id="4" name="Temps" dataDxfId="1206"/>
  </tableColumns>
  <tableStyleInfo name="TableStyleMedium9" showFirstColumn="0" showLastColumn="0" showRowStripes="1" showColumnStripes="0"/>
</table>
</file>

<file path=xl/tables/table58.xml><?xml version="1.0" encoding="utf-8"?>
<table xmlns="http://schemas.openxmlformats.org/spreadsheetml/2006/main" id="58" name="COSTS_Archer" displayName="COSTS_Archer" ref="D97:F104" totalsRowShown="0" headerRowDxfId="1205" dataDxfId="1203" headerRowBorderDxfId="1204" tableBorderDxfId="1202" totalsRowBorderDxfId="1201">
  <autoFilter ref="D97:F104"/>
  <tableColumns count="3">
    <tableColumn id="1" name="LVL" dataDxfId="1200"/>
    <tableColumn id="2" name="Coût" dataDxfId="1199"/>
    <tableColumn id="4" name="Temps" dataDxfId="1198"/>
  </tableColumns>
  <tableStyleInfo name="TableStyleMedium9" showFirstColumn="0" showLastColumn="0" showRowStripes="1" showColumnStripes="0"/>
</table>
</file>

<file path=xl/tables/table59.xml><?xml version="1.0" encoding="utf-8"?>
<table xmlns="http://schemas.openxmlformats.org/spreadsheetml/2006/main" id="59" name="COSTS_Goblin" displayName="COSTS_Goblin" ref="G97:I103" totalsRowShown="0" headerRowDxfId="1197" dataDxfId="1195" headerRowBorderDxfId="1196" tableBorderDxfId="1194" totalsRowBorderDxfId="1193">
  <autoFilter ref="G97:I103"/>
  <tableColumns count="3">
    <tableColumn id="1" name="LVL" dataDxfId="1192"/>
    <tableColumn id="2" name="Coût" dataDxfId="1191"/>
    <tableColumn id="4" name="Temps" dataDxfId="1190"/>
  </tableColumns>
  <tableStyleInfo name="TableStyleMedium9" showFirstColumn="0" showLastColumn="0" showRowStripes="1" showColumnStripes="0"/>
</table>
</file>

<file path=xl/tables/table60.xml><?xml version="1.0" encoding="utf-8"?>
<table xmlns="http://schemas.openxmlformats.org/spreadsheetml/2006/main" id="61" name="COSTS_Wizard" displayName="COSTS_Wizard" ref="S97:U103" totalsRowShown="0" headerRowDxfId="1189" dataDxfId="1187" headerRowBorderDxfId="1188" tableBorderDxfId="1186" totalsRowBorderDxfId="1185">
  <autoFilter ref="S97:U103"/>
  <tableColumns count="3">
    <tableColumn id="1" name="LVL" dataDxfId="1184"/>
    <tableColumn id="2" name="Coût" dataDxfId="1183"/>
    <tableColumn id="4" name="Temps" dataDxfId="1182"/>
  </tableColumns>
  <tableStyleInfo name="TableStyleMedium9" showFirstColumn="0" showLastColumn="0" showRowStripes="1" showColumnStripes="0"/>
</table>
</file>

<file path=xl/tables/table61.xml><?xml version="1.0" encoding="utf-8"?>
<table xmlns="http://schemas.openxmlformats.org/spreadsheetml/2006/main" id="62" name="COSTS_Healer" displayName="COSTS_Healer" ref="V97:X101" totalsRowShown="0" headerRowDxfId="1181" dataDxfId="1179" headerRowBorderDxfId="1180" tableBorderDxfId="1178" totalsRowBorderDxfId="1177">
  <autoFilter ref="V97:X101"/>
  <tableColumns count="3">
    <tableColumn id="1" name="LVL" dataDxfId="1176"/>
    <tableColumn id="2" name="Coût" dataDxfId="1175"/>
    <tableColumn id="4" name="Temps" dataDxfId="1174"/>
  </tableColumns>
  <tableStyleInfo name="TableStyleMedium9" showFirstColumn="0" showLastColumn="0" showRowStripes="1" showColumnStripes="0"/>
</table>
</file>

<file path=xl/tables/table62.xml><?xml version="1.0" encoding="utf-8"?>
<table xmlns="http://schemas.openxmlformats.org/spreadsheetml/2006/main" id="63" name="COSTS_Dragon" displayName="COSTS_Dragon" ref="Y97:AA102" totalsRowShown="0" headerRowDxfId="1173" dataDxfId="1171" headerRowBorderDxfId="1172" tableBorderDxfId="1170" totalsRowBorderDxfId="1169">
  <autoFilter ref="Y97:AA102"/>
  <tableColumns count="3">
    <tableColumn id="1" name="LVL" dataDxfId="1168"/>
    <tableColumn id="2" name="Coût" dataDxfId="1167"/>
    <tableColumn id="4" name="Temps" dataDxfId="1166"/>
  </tableColumns>
  <tableStyleInfo name="TableStyleMedium9" showFirstColumn="0" showLastColumn="0" showRowStripes="1" showColumnStripes="0"/>
</table>
</file>

<file path=xl/tables/table63.xml><?xml version="1.0" encoding="utf-8"?>
<table xmlns="http://schemas.openxmlformats.org/spreadsheetml/2006/main" id="66" name="COSTS_PEKKA" displayName="COSTS_PEKKA" ref="AB97:AD102" totalsRowShown="0" headerRowDxfId="1165" dataDxfId="1163" headerRowBorderDxfId="1164" tableBorderDxfId="1162" totalsRowBorderDxfId="1161">
  <autoFilter ref="AB97:AD102"/>
  <tableColumns count="3">
    <tableColumn id="1" name="LVL" dataDxfId="1160"/>
    <tableColumn id="2" name="Coût" dataDxfId="1159"/>
    <tableColumn id="4" name="Temps" dataDxfId="1158"/>
  </tableColumns>
  <tableStyleInfo name="TableStyleMedium9" showFirstColumn="0" showLastColumn="0" showRowStripes="1" showColumnStripes="0"/>
</table>
</file>

<file path=xl/tables/table64.xml><?xml version="1.0" encoding="utf-8"?>
<table xmlns="http://schemas.openxmlformats.org/spreadsheetml/2006/main" id="34" name="COSTS_Spell_Lightning" displayName="COSTS_Spell_Lightning" ref="A85:C91" totalsRowShown="0" headerRowDxfId="1157" dataDxfId="1155" headerRowBorderDxfId="1156" tableBorderDxfId="1154" totalsRowBorderDxfId="1153">
  <autoFilter ref="A85:C91"/>
  <tableColumns count="3">
    <tableColumn id="1" name="LVL" dataDxfId="1152"/>
    <tableColumn id="2" name="Coût" dataDxfId="1151"/>
    <tableColumn id="4" name="Temps" dataDxfId="1150"/>
  </tableColumns>
  <tableStyleInfo name="TableStyleMedium9" showFirstColumn="0" showLastColumn="0" showRowStripes="1" showColumnStripes="0"/>
</table>
</file>

<file path=xl/tables/table65.xml><?xml version="1.0" encoding="utf-8"?>
<table xmlns="http://schemas.openxmlformats.org/spreadsheetml/2006/main" id="35" name="COSTS_Spell_Healing" displayName="COSTS_Spell_Healing" ref="D85:F91" totalsRowShown="0" headerRowDxfId="1149" dataDxfId="1147" headerRowBorderDxfId="1148" tableBorderDxfId="1146" totalsRowBorderDxfId="1145">
  <autoFilter ref="D85:F91"/>
  <tableColumns count="3">
    <tableColumn id="1" name="LVL" dataDxfId="1144"/>
    <tableColumn id="2" name="Coût" dataDxfId="1143"/>
    <tableColumn id="4" name="Temps" dataDxfId="1142"/>
  </tableColumns>
  <tableStyleInfo name="TableStyleMedium9" showFirstColumn="0" showLastColumn="0" showRowStripes="1" showColumnStripes="0"/>
</table>
</file>

<file path=xl/tables/table66.xml><?xml version="1.0" encoding="utf-8"?>
<table xmlns="http://schemas.openxmlformats.org/spreadsheetml/2006/main" id="36" name="COSTS_Spell_Rage" displayName="COSTS_Spell_Rage" ref="G85:I90" totalsRowShown="0" headerRowDxfId="1141" dataDxfId="1139" headerRowBorderDxfId="1140" tableBorderDxfId="1138" totalsRowBorderDxfId="1137">
  <autoFilter ref="G85:I90"/>
  <tableColumns count="3">
    <tableColumn id="1" name="LVL" dataDxfId="1136"/>
    <tableColumn id="2" name="Coût" dataDxfId="1135"/>
    <tableColumn id="4" name="Temps" dataDxfId="1134"/>
  </tableColumns>
  <tableStyleInfo name="TableStyleMedium9" showFirstColumn="0" showLastColumn="0" showRowStripes="1" showColumnStripes="0"/>
</table>
</file>

<file path=xl/tables/table67.xml><?xml version="1.0" encoding="utf-8"?>
<table xmlns="http://schemas.openxmlformats.org/spreadsheetml/2006/main" id="37" name="COSTS_Spell_Jump" displayName="COSTS_Spell_Jump" ref="J85:L88" totalsRowShown="0" headerRowDxfId="1133" dataDxfId="1131" headerRowBorderDxfId="1132" tableBorderDxfId="1130" totalsRowBorderDxfId="1129">
  <autoFilter ref="J85:L88"/>
  <tableColumns count="3">
    <tableColumn id="1" name="LVL" dataDxfId="1128"/>
    <tableColumn id="2" name="Coût" dataDxfId="1127"/>
    <tableColumn id="4" name="Temps" dataDxfId="1126"/>
  </tableColumns>
  <tableStyleInfo name="TableStyleMedium9" showFirstColumn="0" showLastColumn="0" showRowStripes="1" showColumnStripes="0"/>
</table>
</file>

<file path=xl/tables/table68.xml><?xml version="1.0" encoding="utf-8"?>
<table xmlns="http://schemas.openxmlformats.org/spreadsheetml/2006/main" id="41" name="COSTS_Golem" displayName="COSTS_Golem" ref="J120:L125" totalsRowShown="0" headerRowDxfId="1125" dataDxfId="1123" headerRowBorderDxfId="1124" tableBorderDxfId="1122">
  <autoFilter ref="J120:L125"/>
  <tableColumns count="3">
    <tableColumn id="1" name="LVL" dataDxfId="1121"/>
    <tableColumn id="2" name="Coût" dataDxfId="1120"/>
    <tableColumn id="4" name="Temps" dataDxfId="1119"/>
  </tableColumns>
  <tableStyleInfo name="TableStyleMedium9" showFirstColumn="0" showLastColumn="0" showRowStripes="1" showColumnStripes="0"/>
</table>
</file>

<file path=xl/tables/table69.xml><?xml version="1.0" encoding="utf-8"?>
<table xmlns="http://schemas.openxmlformats.org/spreadsheetml/2006/main" id="43" name="COSTS_Minion" displayName="COSTS_Minion" ref="A120:C126" totalsRowShown="0" headerRowDxfId="1118" dataDxfId="1116" headerRowBorderDxfId="1117" tableBorderDxfId="1115" totalsRowBorderDxfId="1114">
  <autoFilter ref="A120:C126"/>
  <tableColumns count="3">
    <tableColumn id="1" name="LVL" dataDxfId="1113"/>
    <tableColumn id="2" name="Coût" dataDxfId="1112"/>
    <tableColumn id="4" name="Temps" dataDxfId="1111"/>
  </tableColumns>
  <tableStyleInfo name="TableStyleMedium9" showFirstColumn="0" showLastColumn="0" showRowStripes="1" showColumnStripes="0"/>
</table>
</file>

<file path=xl/tables/table70.xml><?xml version="1.0" encoding="utf-8"?>
<table xmlns="http://schemas.openxmlformats.org/spreadsheetml/2006/main" id="44" name="COSTS_Hog_Rider" displayName="COSTS_Hog_Rider" ref="D120:F125" totalsRowShown="0" headerRowDxfId="1110" dataDxfId="1108" headerRowBorderDxfId="1109" tableBorderDxfId="1107" totalsRowBorderDxfId="1106">
  <autoFilter ref="D120:F125"/>
  <tableColumns count="3">
    <tableColumn id="1" name="LVL" dataDxfId="1105"/>
    <tableColumn id="2" name="Coût" dataDxfId="1104"/>
    <tableColumn id="4" name="Temps" dataDxfId="1103"/>
  </tableColumns>
  <tableStyleInfo name="TableStyleMedium9" showFirstColumn="0" showLastColumn="0" showRowStripes="1" showColumnStripes="0"/>
</table>
</file>

<file path=xl/tables/table71.xml><?xml version="1.0" encoding="utf-8"?>
<table xmlns="http://schemas.openxmlformats.org/spreadsheetml/2006/main" id="45" name="COSTS_Valkyrie" displayName="COSTS_Valkyrie" ref="G120:I124" totalsRowShown="0" headerRowDxfId="1102" dataDxfId="1100" headerRowBorderDxfId="1101" tableBorderDxfId="1099" totalsRowBorderDxfId="1098">
  <autoFilter ref="G120:I124"/>
  <tableColumns count="3">
    <tableColumn id="1" name="LVL" dataDxfId="1097"/>
    <tableColumn id="2" name="Coût" dataDxfId="1096"/>
    <tableColumn id="4" name="Temps" dataDxfId="1095"/>
  </tableColumns>
  <tableStyleInfo name="TableStyleMedium9" showFirstColumn="0" showLastColumn="0" showRowStripes="1" showColumnStripes="0"/>
</table>
</file>

<file path=xl/tables/table72.xml><?xml version="1.0" encoding="utf-8"?>
<table xmlns="http://schemas.openxmlformats.org/spreadsheetml/2006/main" id="40" name="COSTS_Spell_Freeze" displayName="COSTS_Spell_Freeze" ref="M85:O90" totalsRowShown="0" headerRowDxfId="1094" dataDxfId="1092" headerRowBorderDxfId="1093" tableBorderDxfId="1091" totalsRowBorderDxfId="1090">
  <autoFilter ref="M85:O90"/>
  <tableColumns count="3">
    <tableColumn id="1" name="LVL" dataDxfId="1089"/>
    <tableColumn id="2" name="Coût" dataDxfId="1088"/>
    <tableColumn id="4" name="Temps" dataDxfId="1087"/>
  </tableColumns>
  <tableStyleInfo name="TableStyleMedium9" showFirstColumn="0" showLastColumn="0" showRowStripes="1" showColumnStripes="0"/>
</table>
</file>

<file path=xl/tables/table73.xml><?xml version="1.0" encoding="utf-8"?>
<table xmlns="http://schemas.openxmlformats.org/spreadsheetml/2006/main" id="75" name="COSTS_Witch" displayName="COSTS_Witch" ref="M120:O122" totalsRowShown="0" headerRowDxfId="1086" dataDxfId="1084" headerRowBorderDxfId="1085" tableBorderDxfId="1083">
  <autoFilter ref="M120:O122"/>
  <tableColumns count="3">
    <tableColumn id="1" name="LVL" dataDxfId="1082"/>
    <tableColumn id="2" name="Coût" dataDxfId="1081"/>
    <tableColumn id="4" name="Temps" dataDxfId="1080"/>
  </tableColumns>
  <tableStyleInfo name="TableStyleMedium9" showFirstColumn="0" showLastColumn="0" showRowStripes="1" showColumnStripes="0"/>
</table>
</file>

<file path=xl/tables/table74.xml><?xml version="1.0" encoding="utf-8"?>
<table xmlns="http://schemas.openxmlformats.org/spreadsheetml/2006/main" id="79" name="COSTS_Giant_Bomb" displayName="COSTS_Giant_Bomb" ref="G57:I61" totalsRowShown="0" headerRowDxfId="1079" headerRowBorderDxfId="1078" tableBorderDxfId="1077">
  <autoFilter ref="G57:I61"/>
  <tableColumns count="3">
    <tableColumn id="1" name="LVL" dataDxfId="1076"/>
    <tableColumn id="2" name="Coût" dataDxfId="1075"/>
    <tableColumn id="4" name="Temps" dataDxfId="1074"/>
  </tableColumns>
  <tableStyleInfo name="TableStyleMedium9" showFirstColumn="0" showLastColumn="0" showRowStripes="1" showColumnStripes="0"/>
</table>
</file>

<file path=xl/tables/table75.xml><?xml version="1.0" encoding="utf-8"?>
<table xmlns="http://schemas.openxmlformats.org/spreadsheetml/2006/main" id="81" name="COSTS_Spring_Trap" displayName="COSTS_Spring_Trap" ref="D57:F58" totalsRowShown="0" headerRowDxfId="1073" headerRowBorderDxfId="1072" tableBorderDxfId="1071">
  <autoFilter ref="D57:F58"/>
  <tableColumns count="3">
    <tableColumn id="1" name="LVL" dataDxfId="1070"/>
    <tableColumn id="2" name="Coût" dataDxfId="1069"/>
    <tableColumn id="4" name="Temps" dataDxfId="1068"/>
  </tableColumns>
  <tableStyleInfo name="TableStyleMedium9" showFirstColumn="0" showLastColumn="0" showRowStripes="1" showColumnStripes="0"/>
</table>
</file>

<file path=xl/tables/table76.xml><?xml version="1.0" encoding="utf-8"?>
<table xmlns="http://schemas.openxmlformats.org/spreadsheetml/2006/main" id="80" name="COSTS_Bomb" displayName="COSTS_Bomb" ref="A57:C63" totalsRowShown="0" headerRowDxfId="1067" headerRowBorderDxfId="1066" tableBorderDxfId="1065" totalsRowBorderDxfId="1064">
  <autoFilter ref="A57:C63"/>
  <tableColumns count="3">
    <tableColumn id="1" name="LVL" dataDxfId="1063"/>
    <tableColumn id="2" name="Coût" dataDxfId="1062"/>
    <tableColumn id="3" name="Temps" dataDxfId="1061"/>
  </tableColumns>
  <tableStyleInfo name="TableStyleMedium15" showFirstColumn="0" showLastColumn="0" showRowStripes="1" showColumnStripes="0"/>
</table>
</file>

<file path=xl/tables/table77.xml><?xml version="1.0" encoding="utf-8"?>
<table xmlns="http://schemas.openxmlformats.org/spreadsheetml/2006/main" id="82" name="COST_Air_Bomb" displayName="COST_Air_Bomb" ref="J57:L61" totalsRowShown="0" headerRowBorderDxfId="1060" tableBorderDxfId="1059">
  <autoFilter ref="J57:L61"/>
  <tableColumns count="3">
    <tableColumn id="1" name="LVL" dataDxfId="1058"/>
    <tableColumn id="2" name="Coût" dataDxfId="1057"/>
    <tableColumn id="3" name="Temps" dataDxfId="1056"/>
  </tableColumns>
  <tableStyleInfo name="TableStyleLight9" showFirstColumn="0" showLastColumn="0" showRowStripes="1" showColumnStripes="0"/>
</table>
</file>

<file path=xl/tables/table78.xml><?xml version="1.0" encoding="utf-8"?>
<table xmlns="http://schemas.openxmlformats.org/spreadsheetml/2006/main" id="83" name="COST_Seeking_Air_Mine" displayName="COST_Seeking_Air_Mine" ref="M57:O60" totalsRowShown="0" headerRowBorderDxfId="1055" tableBorderDxfId="1054">
  <autoFilter ref="M57:O60"/>
  <tableColumns count="3">
    <tableColumn id="1" name="LVL" dataDxfId="1053"/>
    <tableColumn id="2" name="Coût" dataDxfId="1052"/>
    <tableColumn id="3" name="Temps" dataDxfId="1051"/>
  </tableColumns>
  <tableStyleInfo name="TableStyleLight9" showFirstColumn="0" showLastColumn="0" showRowStripes="1" showColumnStripes="0"/>
</table>
</file>

<file path=xl/tables/table79.xml><?xml version="1.0" encoding="utf-8"?>
<table xmlns="http://schemas.openxmlformats.org/spreadsheetml/2006/main" id="84" name="COST_Skeleton_Trap" displayName="COST_Skeleton_Trap" ref="P57:R60" totalsRowShown="0" headerRowBorderDxfId="1050" tableBorderDxfId="1049">
  <autoFilter ref="P57:R60"/>
  <tableColumns count="3">
    <tableColumn id="1" name="LVL" dataDxfId="1048"/>
    <tableColumn id="2" name="Coût" dataDxfId="1047"/>
    <tableColumn id="3" name="Temps" dataDxfId="1046"/>
  </tableColumns>
  <tableStyleInfo name="TableStyleLight9" showFirstColumn="0" showLastColumn="0" showRowStripes="1" showColumnStripes="0"/>
</table>
</file>

<file path=xl/tables/table80.xml><?xml version="1.0" encoding="utf-8"?>
<table xmlns="http://schemas.openxmlformats.org/spreadsheetml/2006/main" id="90" name="COSTS_Lava_Hound" displayName="COSTS_Lava_Hound" ref="P120:R123" totalsRowShown="0" headerRowBorderDxfId="1045" tableBorderDxfId="1044">
  <autoFilter ref="P120:R123"/>
  <tableColumns count="3">
    <tableColumn id="1" name="LVL" dataDxfId="1043"/>
    <tableColumn id="2" name="Coût" dataDxfId="1042"/>
    <tableColumn id="3" name="Temps" dataDxfId="1041"/>
  </tableColumns>
  <tableStyleInfo name="TableStyleLight1" showFirstColumn="0" showLastColumn="0" showRowStripes="1" showColumnStripes="0"/>
</table>
</file>

<file path=xl/tables/table81.xml><?xml version="1.0" encoding="utf-8"?>
<table xmlns="http://schemas.openxmlformats.org/spreadsheetml/2006/main" id="86" name="COSTS_Air_Sweeper" displayName="COSTS_Air_Sweeper" ref="S38:U44" totalsRowShown="0" headerRowDxfId="1040" dataDxfId="1038" headerRowBorderDxfId="1039" tableBorderDxfId="1037" totalsRowBorderDxfId="1036">
  <autoFilter ref="S38:U44"/>
  <tableColumns count="3">
    <tableColumn id="1" name="LVL" dataDxfId="1035"/>
    <tableColumn id="2" name="Coût" dataDxfId="1034"/>
    <tableColumn id="4" name="Temps" dataDxfId="1033"/>
  </tableColumns>
  <tableStyleInfo name="TableStyleMedium9" showFirstColumn="0" showLastColumn="0" showRowStripes="1" showColumnStripes="0"/>
</table>
</file>

<file path=xl/tables/table82.xml><?xml version="1.0" encoding="utf-8"?>
<table xmlns="http://schemas.openxmlformats.org/spreadsheetml/2006/main" id="138" name="COSTS_Dark_Spell_Factory" displayName="COSTS_Dark_Spell_Factory" ref="P22:R25" totalsRowShown="0" headerRowDxfId="1032" dataDxfId="1030" headerRowBorderDxfId="1031" tableBorderDxfId="1029" totalsRowBorderDxfId="1028">
  <autoFilter ref="P22:R25"/>
  <tableColumns count="3">
    <tableColumn id="1" name="LVL" dataDxfId="1027"/>
    <tableColumn id="2" name="Coût" dataDxfId="1026"/>
    <tableColumn id="4" name="Temps" dataDxfId="1025"/>
  </tableColumns>
  <tableStyleInfo name="TableStyleMedium9" showFirstColumn="0" showLastColumn="0" showRowStripes="1" showColumnStripes="0"/>
</table>
</file>

<file path=xl/tables/table83.xml><?xml version="1.0" encoding="utf-8"?>
<table xmlns="http://schemas.openxmlformats.org/spreadsheetml/2006/main" id="141" name="COSTS_Spell_Poison" displayName="COSTS_Spell_Poison" ref="A110:C114" totalsRowShown="0" headerRowDxfId="1024" dataDxfId="1022" headerRowBorderDxfId="1023" tableBorderDxfId="1021" totalsRowBorderDxfId="1020">
  <autoFilter ref="A110:C114"/>
  <tableColumns count="3">
    <tableColumn id="1" name="LVL" dataDxfId="1019"/>
    <tableColumn id="2" name="Coût" dataDxfId="1018"/>
    <tableColumn id="4" name="Temps" dataDxfId="1017"/>
  </tableColumns>
  <tableStyleInfo name="TableStyleMedium9" showFirstColumn="0" showLastColumn="0" showRowStripes="1" showColumnStripes="0"/>
</table>
</file>

<file path=xl/tables/table84.xml><?xml version="1.0" encoding="utf-8"?>
<table xmlns="http://schemas.openxmlformats.org/spreadsheetml/2006/main" id="142" name="COSTS_Spell_Earthquake" displayName="COSTS_Spell_Earthquake" ref="D110:F114" totalsRowShown="0" headerRowDxfId="1016" dataDxfId="1014" headerRowBorderDxfId="1015" tableBorderDxfId="1013" totalsRowBorderDxfId="1012">
  <autoFilter ref="D110:F114"/>
  <tableColumns count="3">
    <tableColumn id="1" name="LVL" dataDxfId="1011"/>
    <tableColumn id="2" name="Coût" dataDxfId="1010"/>
    <tableColumn id="4" name="Temps" dataDxfId="1009"/>
  </tableColumns>
  <tableStyleInfo name="TableStyleMedium9" showFirstColumn="0" showLastColumn="0" showRowStripes="1" showColumnStripes="0"/>
</table>
</file>

<file path=xl/tables/table85.xml><?xml version="1.0" encoding="utf-8"?>
<table xmlns="http://schemas.openxmlformats.org/spreadsheetml/2006/main" id="143" name="COSTS_Spell_Haste" displayName="COSTS_Spell_Haste" ref="G110:I114" totalsRowShown="0" headerRowDxfId="1008" dataDxfId="1006" headerRowBorderDxfId="1007" tableBorderDxfId="1005" totalsRowBorderDxfId="1004">
  <autoFilter ref="G110:I114"/>
  <tableColumns count="3">
    <tableColumn id="1" name="LVL" dataDxfId="1003"/>
    <tableColumn id="2" name="Coût" dataDxfId="1002"/>
    <tableColumn id="4" name="Temps" dataDxfId="1001"/>
  </tableColumns>
  <tableStyleInfo name="TableStyleMedium9" showFirstColumn="0" showLastColumn="0" showRowStripes="1" showColumnStripes="0"/>
</table>
</file>

<file path=xl/tables/table86.xml><?xml version="1.0" encoding="utf-8"?>
<table xmlns="http://schemas.openxmlformats.org/spreadsheetml/2006/main" id="57" name="EARNINGS_Gold_Mine" displayName="EARNINGS_Gold_Mine" ref="A4:C16" totalsRowShown="0" headerRowDxfId="1000" dataDxfId="998" headerRowBorderDxfId="999" tableBorderDxfId="997" totalsRowBorderDxfId="996">
  <autoFilter ref="A4:C16"/>
  <tableColumns count="3">
    <tableColumn id="1" name="LVL" dataDxfId="995"/>
    <tableColumn id="2" name="Production" dataDxfId="994"/>
    <tableColumn id="4" name="Capacité" dataDxfId="993"/>
  </tableColumns>
  <tableStyleInfo name="TableStyleMedium9" showFirstColumn="0" showLastColumn="0" showRowStripes="1" showColumnStripes="0"/>
</table>
</file>

<file path=xl/tables/table87.xml><?xml version="1.0" encoding="utf-8"?>
<table xmlns="http://schemas.openxmlformats.org/spreadsheetml/2006/main" id="60" name="EARNINGS_Elixir_Collector" displayName="EARNINGS_Elixir_Collector" ref="F4:H16" totalsRowShown="0" headerRowDxfId="992" dataDxfId="990" headerRowBorderDxfId="991" tableBorderDxfId="989" totalsRowBorderDxfId="988">
  <autoFilter ref="F4:H16"/>
  <tableColumns count="3">
    <tableColumn id="1" name="LVL" dataDxfId="987"/>
    <tableColumn id="2" name="Production" dataDxfId="986"/>
    <tableColumn id="4" name="Capacité" dataDxfId="985"/>
  </tableColumns>
  <tableStyleInfo name="TableStyleMedium9" showFirstColumn="0" showLastColumn="0" showRowStripes="1" showColumnStripes="0"/>
</table>
</file>

<file path=xl/tables/table88.xml><?xml version="1.0" encoding="utf-8"?>
<table xmlns="http://schemas.openxmlformats.org/spreadsheetml/2006/main" id="64" name="EARNINGS_Dark_Elixir_Drill" displayName="EARNINGS_Dark_Elixir_Drill" ref="K4:M10" totalsRowShown="0" headerRowDxfId="984" dataDxfId="982" headerRowBorderDxfId="983" tableBorderDxfId="981" totalsRowBorderDxfId="980">
  <autoFilter ref="K4:M10"/>
  <tableColumns count="3">
    <tableColumn id="1" name="LVL" dataDxfId="979"/>
    <tableColumn id="2" name="Production" dataDxfId="978"/>
    <tableColumn id="4" name="Capacité" dataDxfId="977"/>
  </tableColumns>
  <tableStyleInfo name="TableStyleMedium9" showFirstColumn="0" showLastColumn="0" showRowStripes="1" showColumnStripes="0"/>
</table>
</file>

<file path=xl/tables/table89.xml><?xml version="1.0" encoding="utf-8"?>
<table xmlns="http://schemas.openxmlformats.org/spreadsheetml/2006/main" id="65" name="EARNINGS_Gold_Storage" displayName="EARNINGS_Gold_Storage" ref="D4:E15" totalsRowShown="0" headerRowDxfId="976" dataDxfId="974" headerRowBorderDxfId="975" tableBorderDxfId="973" totalsRowBorderDxfId="972">
  <autoFilter ref="D4:E15"/>
  <tableColumns count="2">
    <tableColumn id="1" name="LVL" dataDxfId="971"/>
    <tableColumn id="4" name="Capacité" dataDxfId="970"/>
  </tableColumns>
  <tableStyleInfo name="TableStyleMedium9" showFirstColumn="0" showLastColumn="0" showRowStripes="1" showColumnStripes="0"/>
</table>
</file>

<file path=xl/tables/table90.xml><?xml version="1.0" encoding="utf-8"?>
<table xmlns="http://schemas.openxmlformats.org/spreadsheetml/2006/main" id="67" name="EARNINGS_Elixir_Storage" displayName="EARNINGS_Elixir_Storage" ref="I4:J15" totalsRowShown="0" headerRowDxfId="969" dataDxfId="967" headerRowBorderDxfId="968" tableBorderDxfId="966" totalsRowBorderDxfId="965">
  <autoFilter ref="I4:J15"/>
  <tableColumns count="2">
    <tableColumn id="1" name="LVL" dataDxfId="964"/>
    <tableColumn id="4" name="Capacité" dataDxfId="963"/>
  </tableColumns>
  <tableStyleInfo name="TableStyleMedium9" showFirstColumn="0" showLastColumn="0" showRowStripes="1" showColumnStripes="0"/>
</table>
</file>

<file path=xl/tables/table91.xml><?xml version="1.0" encoding="utf-8"?>
<table xmlns="http://schemas.openxmlformats.org/spreadsheetml/2006/main" id="68" name="EARNINGS_Dark_Elixir_Storage" displayName="EARNINGS_Dark_Elixir_Storage" ref="N4:O10" totalsRowShown="0" headerRowDxfId="962" dataDxfId="960" headerRowBorderDxfId="961" tableBorderDxfId="959" totalsRowBorderDxfId="958">
  <autoFilter ref="N4:O10"/>
  <tableColumns count="2">
    <tableColumn id="1" name="LVL" dataDxfId="957"/>
    <tableColumn id="4" name="Capacité" dataDxfId="956"/>
  </tableColumns>
  <tableStyleInfo name="TableStyleMedium9" showFirstColumn="0" showLastColumn="0" showRowStripes="1" showColumnStripes="0"/>
</table>
</file>

<file path=xl/tables/table92.xml><?xml version="1.0" encoding="utf-8"?>
<table xmlns="http://schemas.openxmlformats.org/spreadsheetml/2006/main" id="69" name="LEAGUES_Bonus" displayName="LEAGUES_Bonus" ref="A2:E22" totalsRowShown="0" headerRowDxfId="955" dataDxfId="953" headerRowBorderDxfId="954" tableBorderDxfId="952" totalsRowBorderDxfId="951">
  <autoFilter ref="A2:E22"/>
  <tableColumns count="5">
    <tableColumn id="1" name="Classement" dataDxfId="950">
      <calculatedColumnFormula>IF(AND(Paramètres!$BL$2&gt;=B3,Paramètres!$BL$2&lt;B4),1,"")</calculatedColumnFormula>
    </tableColumn>
    <tableColumn id="2" name="Trophy" dataDxfId="949"/>
    <tableColumn id="3" name="Bonus d'Or" dataDxfId="948"/>
    <tableColumn id="4" name="Bonus d'Élixir" dataDxfId="947"/>
    <tableColumn id="5" name="Bonus d'Élixir Noir" dataDxfId="946"/>
  </tableColumns>
  <tableStyleInfo name="TableStyleMedium9" showFirstColumn="0" showLastColumn="0" showRowStripes="1" showColumnStripes="0"/>
</table>
</file>

<file path=xl/tables/table93.xml><?xml version="1.0" encoding="utf-8"?>
<table xmlns="http://schemas.openxmlformats.org/spreadsheetml/2006/main" id="70" name="LEAGUES_Loot_Multiplier" displayName="LEAGUES_Loot_Multiplier" ref="G2:I23" totalsRowShown="0" headerRowDxfId="945" dataDxfId="943" headerRowBorderDxfId="944" tableBorderDxfId="942" totalsRowBorderDxfId="941">
  <autoFilter ref="G2:I23"/>
  <tableColumns count="3">
    <tableColumn id="1" name="Classement" dataDxfId="940">
      <calculatedColumnFormula>IF(AND('Combats - Loots'!$D$2&gt;=H3,'Combats - Loots'!$D$2&lt;H4),1,"")</calculatedColumnFormula>
    </tableColumn>
    <tableColumn id="2" name="Trophy Difference" dataDxfId="939"/>
    <tableColumn id="4" name="Multiplicateur de Loot" dataDxfId="938"/>
  </tableColumns>
  <tableStyleInfo name="TableStyleMedium9" showFirstColumn="0" showLastColumn="0" showRowStripes="1" showColumnStripes="0"/>
</table>
</file>

<file path=xl/tables/table94.xml><?xml version="1.0" encoding="utf-8"?>
<table xmlns="http://schemas.openxmlformats.org/spreadsheetml/2006/main" id="95" name="LEAGUES_Find" displayName="LEAGUES_Find" ref="K2:L12" totalsRowShown="0" headerRowDxfId="937" dataDxfId="935" headerRowBorderDxfId="936" tableBorderDxfId="934" totalsRowBorderDxfId="933">
  <autoFilter ref="K2:L12"/>
  <tableColumns count="2">
    <tableColumn id="1" name="HDV" dataDxfId="932">
      <calculatedColumnFormula>IF(AND('Combats - Loots'!$D$2&gt;=L3,'Combats - Loots'!$D$2&lt;L4),1,"")</calculatedColumnFormula>
    </tableColumn>
    <tableColumn id="2" name="Coût en or" dataDxfId="931"/>
  </tableColumns>
  <tableStyleInfo name="TableStyleMedium9" showFirstColumn="0" showLastColumn="0" showRowStripes="1" showColumnStripes="0"/>
</table>
</file>

<file path=xl/tables/table95.xml><?xml version="1.0" encoding="utf-8"?>
<table xmlns="http://schemas.openxmlformats.org/spreadsheetml/2006/main" id="98" name="TRAINING_Barbarian" displayName="TRAINING_Barbarian" ref="A16:D23" totalsRowShown="0" headerRowDxfId="930" dataDxfId="928" headerRowBorderDxfId="929" tableBorderDxfId="927" totalsRowBorderDxfId="926">
  <autoFilter ref="A16:D23"/>
  <tableColumns count="4">
    <tableColumn id="1" name="LVL" dataDxfId="925"/>
    <tableColumn id="3" name="Espace" dataDxfId="924"/>
    <tableColumn id="2" name="Coût" dataDxfId="923"/>
    <tableColumn id="4" name="Temps" dataDxfId="922"/>
  </tableColumns>
  <tableStyleInfo name="TableStyleMedium9" showFirstColumn="0" showLastColumn="0" showRowStripes="1" showColumnStripes="0"/>
</table>
</file>

<file path=xl/tables/table96.xml><?xml version="1.0" encoding="utf-8"?>
<table xmlns="http://schemas.openxmlformats.org/spreadsheetml/2006/main" id="114" name="TRAINING_Archer" displayName="TRAINING_Archer" ref="E16:H23" totalsRowShown="0" headerRowDxfId="921" dataDxfId="919" headerRowBorderDxfId="920" tableBorderDxfId="918">
  <autoFilter ref="E16:H23"/>
  <tableColumns count="4">
    <tableColumn id="1" name="LVL" dataDxfId="917"/>
    <tableColumn id="3" name="Espace" dataDxfId="916"/>
    <tableColumn id="2" name="Coût" dataDxfId="915"/>
    <tableColumn id="4" name="Temps" dataDxfId="914"/>
  </tableColumns>
  <tableStyleInfo name="TableStyleMedium9" showFirstColumn="0" showLastColumn="0" showRowStripes="1" showColumnStripes="0"/>
</table>
</file>

<file path=xl/tables/table97.xml><?xml version="1.0" encoding="utf-8"?>
<table xmlns="http://schemas.openxmlformats.org/spreadsheetml/2006/main" id="115" name="TRAINING_Goblin" displayName="TRAINING_Goblin" ref="I16:L22" totalsRowShown="0" headerRowDxfId="913" dataDxfId="911" headerRowBorderDxfId="912" tableBorderDxfId="910">
  <autoFilter ref="I16:L22"/>
  <tableColumns count="4">
    <tableColumn id="1" name="LVL" dataDxfId="909"/>
    <tableColumn id="3" name="Espace" dataDxfId="908"/>
    <tableColumn id="2" name="Coût" dataDxfId="907"/>
    <tableColumn id="4" name="Temps" dataDxfId="906"/>
  </tableColumns>
  <tableStyleInfo name="TableStyleMedium9" showFirstColumn="0" showLastColumn="0" showRowStripes="1" showColumnStripes="0"/>
</table>
</file>

<file path=xl/tables/table98.xml><?xml version="1.0" encoding="utf-8"?>
<table xmlns="http://schemas.openxmlformats.org/spreadsheetml/2006/main" id="116" name="TRAINING_Giant" displayName="TRAINING_Giant" ref="M16:P23" totalsRowShown="0" headerRowDxfId="905" dataDxfId="903" headerRowBorderDxfId="904" tableBorderDxfId="902">
  <autoFilter ref="M16:P23"/>
  <tableColumns count="4">
    <tableColumn id="1" name="LVL" dataDxfId="901"/>
    <tableColumn id="3" name="Espace" dataDxfId="900"/>
    <tableColumn id="2" name="Coût" dataDxfId="899"/>
    <tableColumn id="4" name="Temps" dataDxfId="898"/>
  </tableColumns>
  <tableStyleInfo name="TableStyleMedium9" showFirstColumn="0" showLastColumn="0" showRowStripes="1" showColumnStripes="0"/>
</table>
</file>

<file path=xl/tables/table99.xml><?xml version="1.0" encoding="utf-8"?>
<table xmlns="http://schemas.openxmlformats.org/spreadsheetml/2006/main" id="117" name="TRAINING_Wall_Breaker" displayName="TRAINING_Wall_Breaker" ref="Q16:T22" totalsRowShown="0" headerRowDxfId="897" dataDxfId="895" headerRowBorderDxfId="896" tableBorderDxfId="894">
  <autoFilter ref="Q16:T22"/>
  <tableColumns count="4">
    <tableColumn id="1" name="LVL" dataDxfId="893"/>
    <tableColumn id="3" name="Espace" dataDxfId="892"/>
    <tableColumn id="2" name="Coût" dataDxfId="891"/>
    <tableColumn id="4" name="Temps" dataDxfId="890"/>
  </tableColumns>
  <tableStyleInfo name="TableStyleMedium9" showFirstColumn="0" showLastColumn="0" showRowStripes="1" showColumnStripes="0"/>
</table>
</file>

<file path=xl/tables/table100.xml><?xml version="1.0" encoding="utf-8"?>
<table xmlns="http://schemas.openxmlformats.org/spreadsheetml/2006/main" id="118" name="TRAINING_Balloon" displayName="TRAINING_Balloon" ref="U16:X22" totalsRowShown="0" headerRowDxfId="889" dataDxfId="887" headerRowBorderDxfId="888" tableBorderDxfId="886">
  <autoFilter ref="U16:X22"/>
  <tableColumns count="4">
    <tableColumn id="1" name="LVL" dataDxfId="885"/>
    <tableColumn id="3" name="Espace" dataDxfId="884"/>
    <tableColumn id="2" name="Coût" dataDxfId="883"/>
    <tableColumn id="4" name="Temps" dataDxfId="882"/>
  </tableColumns>
  <tableStyleInfo name="TableStyleMedium9" showFirstColumn="0" showLastColumn="0" showRowStripes="1" showColumnStripes="0"/>
</table>
</file>

<file path=xl/tables/table101.xml><?xml version="1.0" encoding="utf-8"?>
<table xmlns="http://schemas.openxmlformats.org/spreadsheetml/2006/main" id="119" name="TRAINING_Wizard" displayName="TRAINING_Wizard" ref="Y16:AB22" totalsRowShown="0" headerRowDxfId="881" dataDxfId="879" headerRowBorderDxfId="880" tableBorderDxfId="878">
  <autoFilter ref="Y16:AB22"/>
  <tableColumns count="4">
    <tableColumn id="1" name="LVL" dataDxfId="877"/>
    <tableColumn id="3" name="Espace" dataDxfId="876"/>
    <tableColumn id="2" name="Coût" dataDxfId="875"/>
    <tableColumn id="4" name="Temps" dataDxfId="874"/>
  </tableColumns>
  <tableStyleInfo name="TableStyleMedium9" showFirstColumn="0" showLastColumn="0" showRowStripes="1" showColumnStripes="0"/>
</table>
</file>

<file path=xl/tables/table102.xml><?xml version="1.0" encoding="utf-8"?>
<table xmlns="http://schemas.openxmlformats.org/spreadsheetml/2006/main" id="120" name="TRAINING_Healer" displayName="TRAINING_Healer" ref="AC16:AF20" totalsRowShown="0" headerRowDxfId="873" dataDxfId="871" headerRowBorderDxfId="872" tableBorderDxfId="870">
  <autoFilter ref="AC16:AF20"/>
  <tableColumns count="4">
    <tableColumn id="1" name="LVL" dataDxfId="869"/>
    <tableColumn id="3" name="Espace" dataDxfId="868"/>
    <tableColumn id="2" name="Coût" dataDxfId="867"/>
    <tableColumn id="4" name="Temps" dataDxfId="866"/>
  </tableColumns>
  <tableStyleInfo name="TableStyleMedium9" showFirstColumn="0" showLastColumn="0" showRowStripes="1" showColumnStripes="0"/>
</table>
</file>

<file path=xl/tables/table103.xml><?xml version="1.0" encoding="utf-8"?>
<table xmlns="http://schemas.openxmlformats.org/spreadsheetml/2006/main" id="121" name="TRAINING_Dragon" displayName="TRAINING_Dragon" ref="AG16:AJ21" totalsRowShown="0" headerRowDxfId="865" dataDxfId="863" headerRowBorderDxfId="864" tableBorderDxfId="862" totalsRowBorderDxfId="861">
  <autoFilter ref="AG16:AJ21"/>
  <tableColumns count="4">
    <tableColumn id="1" name="LVL" dataDxfId="860"/>
    <tableColumn id="3" name="Espace" dataDxfId="859"/>
    <tableColumn id="2" name="Coût" dataDxfId="858"/>
    <tableColumn id="4" name="Temps" dataDxfId="857"/>
  </tableColumns>
  <tableStyleInfo name="TableStyleMedium9" showFirstColumn="0" showLastColumn="0" showRowStripes="1" showColumnStripes="0"/>
</table>
</file>

<file path=xl/tables/table104.xml><?xml version="1.0" encoding="utf-8"?>
<table xmlns="http://schemas.openxmlformats.org/spreadsheetml/2006/main" id="122" name="TRAINING_PEKKA" displayName="TRAINING_PEKKA" ref="AK16:AN21" totalsRowShown="0" headerRowDxfId="856" dataDxfId="854" headerRowBorderDxfId="855" tableBorderDxfId="853">
  <autoFilter ref="AK16:AN21"/>
  <tableColumns count="4">
    <tableColumn id="1" name="LVL" dataDxfId="852"/>
    <tableColumn id="3" name="Espace" dataDxfId="851"/>
    <tableColumn id="2" name="Coût" dataDxfId="850"/>
    <tableColumn id="4" name="Temps" dataDxfId="849"/>
  </tableColumns>
  <tableStyleInfo name="TableStyleMedium9" showFirstColumn="0" showLastColumn="0" showRowStripes="1" showColumnStripes="0"/>
</table>
</file>

<file path=xl/tables/table105.xml><?xml version="1.0" encoding="utf-8"?>
<table xmlns="http://schemas.openxmlformats.org/spreadsheetml/2006/main" id="123" name="TRAINING_Minion" displayName="TRAINING_Minion" ref="A29:D35" totalsRowShown="0" headerRowDxfId="848" dataDxfId="846" headerRowBorderDxfId="847" tableBorderDxfId="845">
  <autoFilter ref="A29:D35"/>
  <tableColumns count="4">
    <tableColumn id="1" name="LVL" dataDxfId="844"/>
    <tableColumn id="3" name="Espace" dataDxfId="843"/>
    <tableColumn id="2" name="Coût" dataDxfId="842"/>
    <tableColumn id="4" name="Temps" dataDxfId="841"/>
  </tableColumns>
  <tableStyleInfo name="TableStyleMedium9" showFirstColumn="0" showLastColumn="0" showRowStripes="1" showColumnStripes="0"/>
</table>
</file>

<file path=xl/tables/table106.xml><?xml version="1.0" encoding="utf-8"?>
<table xmlns="http://schemas.openxmlformats.org/spreadsheetml/2006/main" id="124" name="TRAINING_Hog_Rider" displayName="TRAINING_Hog_Rider" ref="E29:H34" totalsRowShown="0" headerRowDxfId="840" dataDxfId="838" headerRowBorderDxfId="839" tableBorderDxfId="837">
  <autoFilter ref="E29:H34"/>
  <tableColumns count="4">
    <tableColumn id="1" name="LVL" dataDxfId="836"/>
    <tableColumn id="3" name="Espace" dataDxfId="835"/>
    <tableColumn id="2" name="Coût" dataDxfId="834"/>
    <tableColumn id="4" name="Temps" dataDxfId="833"/>
  </tableColumns>
  <tableStyleInfo name="TableStyleMedium9" showFirstColumn="0" showLastColumn="0" showRowStripes="1" showColumnStripes="0"/>
</table>
</file>

<file path=xl/tables/table107.xml><?xml version="1.0" encoding="utf-8"?>
<table xmlns="http://schemas.openxmlformats.org/spreadsheetml/2006/main" id="125" name="TRAINING_Valkyrie" displayName="TRAINING_Valkyrie" ref="I29:L33" totalsRowShown="0" headerRowDxfId="832" dataDxfId="830" headerRowBorderDxfId="831" tableBorderDxfId="829">
  <autoFilter ref="I29:L33"/>
  <tableColumns count="4">
    <tableColumn id="1" name="LVL" dataDxfId="828"/>
    <tableColumn id="3" name="Espace" dataDxfId="827"/>
    <tableColumn id="2" name="Coût" dataDxfId="826"/>
    <tableColumn id="4" name="Temps" dataDxfId="825"/>
  </tableColumns>
  <tableStyleInfo name="TableStyleMedium9" showFirstColumn="0" showLastColumn="0" showRowStripes="1" showColumnStripes="0"/>
</table>
</file>

<file path=xl/tables/table108.xml><?xml version="1.0" encoding="utf-8"?>
<table xmlns="http://schemas.openxmlformats.org/spreadsheetml/2006/main" id="126" name="TRAINING_Golem" displayName="TRAINING_Golem" ref="M29:P34" totalsRowShown="0" headerRowDxfId="824" dataDxfId="822" headerRowBorderDxfId="823" tableBorderDxfId="821">
  <autoFilter ref="M29:P34"/>
  <tableColumns count="4">
    <tableColumn id="1" name="LVL" dataDxfId="820"/>
    <tableColumn id="3" name="Espace" dataDxfId="819"/>
    <tableColumn id="2" name="Coût" dataDxfId="818"/>
    <tableColumn id="4" name="Temps" dataDxfId="817"/>
  </tableColumns>
  <tableStyleInfo name="TableStyleMedium9" showFirstColumn="0" showLastColumn="0" showRowStripes="1" showColumnStripes="0"/>
</table>
</file>

<file path=xl/tables/table109.xml><?xml version="1.0" encoding="utf-8"?>
<table xmlns="http://schemas.openxmlformats.org/spreadsheetml/2006/main" id="127" name="TRAINING_Spell_Lightning" displayName="TRAINING_Spell_Lightning" ref="A4:D10" totalsRowShown="0" headerRowDxfId="816" dataDxfId="814" headerRowBorderDxfId="815" tableBorderDxfId="813">
  <autoFilter ref="A4:D10"/>
  <tableColumns count="4">
    <tableColumn id="1" name="LVL" dataDxfId="812"/>
    <tableColumn id="3" name="Espace" dataDxfId="811"/>
    <tableColumn id="2" name="Coût" dataDxfId="810"/>
    <tableColumn id="4" name="Temps" dataDxfId="809"/>
  </tableColumns>
  <tableStyleInfo name="TableStyleMedium9" showFirstColumn="0" showLastColumn="0" showRowStripes="1" showColumnStripes="0"/>
</table>
</file>

<file path=xl/tables/table110.xml><?xml version="1.0" encoding="utf-8"?>
<table xmlns="http://schemas.openxmlformats.org/spreadsheetml/2006/main" id="128" name="TRAINING_Spell_Healing" displayName="TRAINING_Spell_Healing" ref="E4:H10" totalsRowShown="0" headerRowDxfId="808" dataDxfId="806" headerRowBorderDxfId="807" tableBorderDxfId="805">
  <autoFilter ref="E4:H10"/>
  <tableColumns count="4">
    <tableColumn id="1" name="LVL" dataDxfId="804"/>
    <tableColumn id="3" name="Espace" dataDxfId="803"/>
    <tableColumn id="2" name="Coût" dataDxfId="802"/>
    <tableColumn id="4" name="Temps" dataDxfId="801"/>
  </tableColumns>
  <tableStyleInfo name="TableStyleMedium9" showFirstColumn="0" showLastColumn="0" showRowStripes="1" showColumnStripes="0"/>
</table>
</file>

<file path=xl/tables/table111.xml><?xml version="1.0" encoding="utf-8"?>
<table xmlns="http://schemas.openxmlformats.org/spreadsheetml/2006/main" id="129" name="TRAINING_Spell_Rage" displayName="TRAINING_Spell_Rage" ref="I4:L9" totalsRowShown="0" headerRowDxfId="800" dataDxfId="798" headerRowBorderDxfId="799" tableBorderDxfId="797">
  <autoFilter ref="I4:L9"/>
  <tableColumns count="4">
    <tableColumn id="1" name="LVL" dataDxfId="796"/>
    <tableColumn id="3" name="Espace" dataDxfId="795"/>
    <tableColumn id="2" name="Coût" dataDxfId="794"/>
    <tableColumn id="4" name="Temps" dataDxfId="793"/>
  </tableColumns>
  <tableStyleInfo name="TableStyleMedium9" showFirstColumn="0" showLastColumn="0" showRowStripes="1" showColumnStripes="0"/>
</table>
</file>

<file path=xl/tables/table112.xml><?xml version="1.0" encoding="utf-8"?>
<table xmlns="http://schemas.openxmlformats.org/spreadsheetml/2006/main" id="130" name="TRAINING_Spell_Jump" displayName="TRAINING_Spell_Jump" ref="M4:P7" totalsRowShown="0" headerRowDxfId="792" dataDxfId="790" headerRowBorderDxfId="791" tableBorderDxfId="789">
  <autoFilter ref="M4:P7"/>
  <tableColumns count="4">
    <tableColumn id="1" name="LVL" dataDxfId="788"/>
    <tableColumn id="3" name="Espace" dataDxfId="787"/>
    <tableColumn id="2" name="Coût" dataDxfId="786"/>
    <tableColumn id="4" name="Temps" dataDxfId="785"/>
  </tableColumns>
  <tableStyleInfo name="TableStyleMedium9" showFirstColumn="0" showLastColumn="0" showRowStripes="1" showColumnStripes="0"/>
</table>
</file>

<file path=xl/tables/table113.xml><?xml version="1.0" encoding="utf-8"?>
<table xmlns="http://schemas.openxmlformats.org/spreadsheetml/2006/main" id="131" name="TRAINING_Spell_Freeze" displayName="TRAINING_Spell_Freeze" ref="Q4:T9" totalsRowShown="0" headerRowDxfId="784" dataDxfId="782" headerRowBorderDxfId="783" tableBorderDxfId="781">
  <autoFilter ref="Q4:T9"/>
  <tableColumns count="4">
    <tableColumn id="1" name="LVL" dataDxfId="780"/>
    <tableColumn id="3" name="Espace" dataDxfId="779"/>
    <tableColumn id="2" name="Coût" dataDxfId="778"/>
    <tableColumn id="4" name="Temps" dataDxfId="777"/>
  </tableColumns>
  <tableStyleInfo name="TableStyleMedium9" showFirstColumn="0" showLastColumn="0" showRowStripes="1" showColumnStripes="0"/>
</table>
</file>

<file path=xl/tables/table114.xml><?xml version="1.0" encoding="utf-8"?>
<table xmlns="http://schemas.openxmlformats.org/spreadsheetml/2006/main" id="71" name="TRAINING_Barrack" displayName="TRAINING_Barrack" ref="AI29:AJ40" totalsRowShown="0" headerRowDxfId="776" dataDxfId="774" headerRowBorderDxfId="775">
  <autoFilter ref="AI29:AJ40"/>
  <tableColumns count="2">
    <tableColumn id="1" name="LVL" dataDxfId="773"/>
    <tableColumn id="2" name="Capacité" dataDxfId="772"/>
  </tableColumns>
  <tableStyleInfo name="TableStyleMedium9" showFirstColumn="0" showLastColumn="0" showRowStripes="1" showColumnStripes="0"/>
</table>
</file>

<file path=xl/tables/table115.xml><?xml version="1.0" encoding="utf-8"?>
<table xmlns="http://schemas.openxmlformats.org/spreadsheetml/2006/main" id="72" name="TRAINING_Spell_Factory" displayName="TRAINING_Spell_Factory" ref="AC29:AD34" totalsRowShown="0" headerRowDxfId="771" dataDxfId="769" headerRowBorderDxfId="770">
  <autoFilter ref="AC29:AD34"/>
  <tableColumns count="2">
    <tableColumn id="1" name="LVL" dataDxfId="768"/>
    <tableColumn id="2" name="Capacité" dataDxfId="767"/>
  </tableColumns>
  <tableStyleInfo name="TableStyleMedium9" showFirstColumn="0" showLastColumn="0" showRowStripes="1" showColumnStripes="0"/>
</table>
</file>

<file path=xl/tables/table116.xml><?xml version="1.0" encoding="utf-8"?>
<table xmlns="http://schemas.openxmlformats.org/spreadsheetml/2006/main" id="73" name="TRAINING_Dark_Barrack" displayName="TRAINING_Dark_Barrack" ref="AE29:AF36" totalsRowShown="0" headerRowDxfId="766" headerRowBorderDxfId="765">
  <autoFilter ref="AE29:AF36"/>
  <tableColumns count="2">
    <tableColumn id="1" name="LVL" dataDxfId="764"/>
    <tableColumn id="2" name="Capacité" dataDxfId="763"/>
  </tableColumns>
  <tableStyleInfo name="TableStyleMedium9" showFirstColumn="0" showLastColumn="0" showRowStripes="1" showColumnStripes="0"/>
</table>
</file>

<file path=xl/tables/table117.xml><?xml version="1.0" encoding="utf-8"?>
<table xmlns="http://schemas.openxmlformats.org/spreadsheetml/2006/main" id="74" name="TRAINING_Army_Camp" displayName="TRAINING_Army_Camp" ref="AG29:AH38" totalsRowShown="0" headerRowDxfId="762" dataDxfId="760" headerRowBorderDxfId="761">
  <autoFilter ref="AG29:AH38"/>
  <tableColumns count="2">
    <tableColumn id="1" name="LVL" dataDxfId="759"/>
    <tableColumn id="2" name="Capacité" dataDxfId="758"/>
  </tableColumns>
  <tableStyleInfo name="TableStyleMedium9" showFirstColumn="0" showLastColumn="0" showRowStripes="1" showColumnStripes="0"/>
</table>
</file>

<file path=xl/tables/table118.xml><?xml version="1.0" encoding="utf-8"?>
<table xmlns="http://schemas.openxmlformats.org/spreadsheetml/2006/main" id="78" name="TRAINING_Witch" displayName="TRAINING_Witch" ref="Q29:T31" totalsRowShown="0" headerRowDxfId="757" dataDxfId="755" headerRowBorderDxfId="756" tableBorderDxfId="754">
  <autoFilter ref="Q29:T31"/>
  <tableColumns count="4">
    <tableColumn id="1" name="LVL" dataDxfId="753"/>
    <tableColumn id="3" name="Espace" dataDxfId="752"/>
    <tableColumn id="2" name="Coût" dataDxfId="751"/>
    <tableColumn id="4" name="Temps" dataDxfId="750"/>
  </tableColumns>
  <tableStyleInfo name="TableStyleMedium9" showFirstColumn="0" showLastColumn="0" showRowStripes="1" showColumnStripes="0"/>
</table>
</file>

<file path=xl/tables/table119.xml><?xml version="1.0" encoding="utf-8"?>
<table xmlns="http://schemas.openxmlformats.org/spreadsheetml/2006/main" id="49" name="TRAINING_Lava_Hound" displayName="TRAINING_Lava_Hound" ref="U29:X32" totalsRowShown="0" headerRowDxfId="749" dataDxfId="747" headerRowBorderDxfId="748" tableBorderDxfId="746">
  <autoFilter ref="U29:X32"/>
  <tableColumns count="4">
    <tableColumn id="1" name="LVL" dataDxfId="745"/>
    <tableColumn id="3" name="Espace" dataDxfId="744"/>
    <tableColumn id="2" name="Coût" dataDxfId="743"/>
    <tableColumn id="4" name="Temps" dataDxfId="742"/>
  </tableColumns>
  <tableStyleInfo name="TableStyleMedium9" showFirstColumn="0" showLastColumn="0" showRowStripes="1" showColumnStripes="0"/>
</table>
</file>

<file path=xl/tables/table120.xml><?xml version="1.0" encoding="utf-8"?>
<table xmlns="http://schemas.openxmlformats.org/spreadsheetml/2006/main" id="146" name="TRAINING_Spell_Poison" displayName="TRAINING_Spell_Poison" ref="Y4:AB8" totalsRowShown="0" headerRowDxfId="741" dataDxfId="739" headerRowBorderDxfId="740" tableBorderDxfId="738">
  <autoFilter ref="Y4:AB8"/>
  <tableColumns count="4">
    <tableColumn id="1" name="LVL" dataDxfId="737"/>
    <tableColumn id="3" name="Espace" dataDxfId="736"/>
    <tableColumn id="2" name="Coût" dataDxfId="735"/>
    <tableColumn id="4" name="Temps" dataDxfId="734"/>
  </tableColumns>
  <tableStyleInfo name="TableStyleMedium9" showFirstColumn="0" showLastColumn="0" showRowStripes="1" showColumnStripes="0"/>
</table>
</file>

<file path=xl/tables/table121.xml><?xml version="1.0" encoding="utf-8"?>
<table xmlns="http://schemas.openxmlformats.org/spreadsheetml/2006/main" id="147" name="TRAINING_Spell_Earthquake" displayName="TRAINING_Spell_Earthquake" ref="AC4:AF8" totalsRowShown="0" headerRowDxfId="733" dataDxfId="731" headerRowBorderDxfId="732" tableBorderDxfId="730">
  <autoFilter ref="AC4:AF8"/>
  <tableColumns count="4">
    <tableColumn id="1" name="LVL" dataDxfId="729"/>
    <tableColumn id="3" name="Espace" dataDxfId="728"/>
    <tableColumn id="2" name="Coût" dataDxfId="727"/>
    <tableColumn id="4" name="Temps" dataDxfId="726"/>
  </tableColumns>
  <tableStyleInfo name="TableStyleMedium9" showFirstColumn="0" showLastColumn="0" showRowStripes="1" showColumnStripes="0"/>
</table>
</file>

<file path=xl/tables/table122.xml><?xml version="1.0" encoding="utf-8"?>
<table xmlns="http://schemas.openxmlformats.org/spreadsheetml/2006/main" id="148" name="TRAINING_Spell_Haste" displayName="TRAINING_Spell_Haste" ref="AG4:AJ8" totalsRowShown="0" headerRowDxfId="725" dataDxfId="723" headerRowBorderDxfId="724" tableBorderDxfId="722">
  <autoFilter ref="AG4:AJ8"/>
  <tableColumns count="4">
    <tableColumn id="1" name="LVL" dataDxfId="721"/>
    <tableColumn id="3" name="Espace" dataDxfId="720"/>
    <tableColumn id="2" name="Coût" dataDxfId="719"/>
    <tableColumn id="4" name="Temps" dataDxfId="718"/>
  </tableColumns>
  <tableStyleInfo name="TableStyleMedium9" showFirstColumn="0" showLastColumn="0" showRowStripes="1" showColumnStripes="0"/>
</table>
</file>

<file path=xl/tables/table123.xml><?xml version="1.0" encoding="utf-8"?>
<table xmlns="http://schemas.openxmlformats.org/spreadsheetml/2006/main" id="151" name="TRAINING_Dark_Spell_Factory" displayName="TRAINING_Dark_Spell_Factory" ref="AA29:AB32" totalsRowShown="0" headerRowDxfId="717" dataDxfId="715" headerRowBorderDxfId="716">
  <autoFilter ref="AA29:AB32"/>
  <tableColumns count="2">
    <tableColumn id="1" name="LVL" dataDxfId="714"/>
    <tableColumn id="2" name="Capacité" dataDxfId="713"/>
  </tableColumns>
  <tableStyleInfo name="TableStyleMedium9" showFirstColumn="0" showLastColumn="0" showRowStripes="1" showColumnStripes="0"/>
</table>
</file>

<file path=xl/tables/table124.xml><?xml version="1.0" encoding="utf-8"?>
<table xmlns="http://schemas.openxmlformats.org/spreadsheetml/2006/main" id="76" name="CALENDRIER" displayName="CALENDRIER" ref="A1:A1000" totalsRowShown="0" headerRowDxfId="712" dataDxfId="710" headerRowBorderDxfId="711" tableBorderDxfId="709">
  <autoFilter ref="A1:A1000"/>
  <tableColumns count="1">
    <tableColumn id="1" name="Calendrier" dataDxfId="708">
      <calculatedColumnFormula>$A1+#REF!</calculatedColumnFormula>
    </tableColumn>
  </tableColumns>
  <tableStyleInfo name="TableStyleMedium9" showFirstColumn="0" showLastColumn="0" showRowStripes="1" showColumnStripes="0"/>
</table>
</file>

<file path=xl/tables/table125.xml><?xml version="1.0" encoding="utf-8"?>
<table xmlns="http://schemas.openxmlformats.org/spreadsheetml/2006/main" id="77" name="TRANSLATION" displayName="TRANSLATION" ref="A2:B264" totalsRowShown="0" headerRowDxfId="707" dataDxfId="705" headerRowBorderDxfId="706" tableBorderDxfId="704" totalsRowBorderDxfId="703">
  <autoFilter ref="A2:B264"/>
  <sortState ref="A3:B262">
    <sortCondition ref="A254"/>
  </sortState>
  <tableColumns count="2">
    <tableColumn id="1" name="Français - FR" dataDxfId="702"/>
    <tableColumn id="2" name="English - EN" dataDxfId="701"/>
  </tableColumns>
  <tableStyleInfo name="TableStyleMedium9" showFirstColumn="0" showLastColumn="0" showRowStripes="1" showColumnStripes="0"/>
</table>
</file>

<file path=xl/tables/table126.xml><?xml version="1.0" encoding="utf-8"?>
<table xmlns="http://schemas.openxmlformats.org/spreadsheetml/2006/main" id="85" name="CHANGELOG86" displayName="CHANGELOG86" ref="A2:F61" totalsRowShown="0" headerRowDxfId="700" dataDxfId="698" headerRowBorderDxfId="699" tableBorderDxfId="697" totalsRowBorderDxfId="696">
  <autoFilter ref="A2:F61"/>
  <tableColumns count="6">
    <tableColumn id="1" name="Version" dataDxfId="695"/>
    <tableColumn id="5" name="Date" dataDxfId="694"/>
    <tableColumn id="2" name="Nom de Fichier" dataDxfId="693">
      <calculatedColumnFormula>"COC - Cost &amp; Time Calcultator " &amp; A3 &amp; ".xlsx"</calculatedColumnFormula>
    </tableColumn>
    <tableColumn id="6" name="Description " dataDxfId="692"/>
    <tableColumn id="3" name="Description" dataDxfId="691"/>
    <tableColumn id="4" name="Téléchargement" dataDxfId="690"/>
  </tableColumns>
  <tableStyleInfo name="TableStyleMedium9" showFirstColumn="0" showLastColumn="0" showRowStripes="1" showColumnStripes="0"/>
</table>
</file>

<file path=xl/tables/table127.xml><?xml version="1.0" encoding="utf-8"?>
<table xmlns="http://schemas.openxmlformats.org/spreadsheetml/2006/main" id="97" name="VALUE_Barbarian" displayName="VALUE_Barbarian" ref="A25:D32" totalsRowShown="0" headerRowDxfId="689" headerRowBorderDxfId="688" tableBorderDxfId="687" totalsRowBorderDxfId="686">
  <autoFilter ref="A25:D32"/>
  <tableColumns count="4">
    <tableColumn id="1" name="LVL" dataDxfId="685"/>
    <tableColumn id="3" name="Rang" dataDxfId="684">
      <calculatedColumnFormula>Paramètres!AO6</calculatedColumnFormula>
    </tableColumn>
    <tableColumn id="2" name="Valeur" dataDxfId="683" dataCellStyle="Milliers"/>
    <tableColumn id="4" name="Total" dataDxfId="682">
      <calculatedColumnFormula>VALUE_Barbarian[[#This Row],[Valeur]]*VALUE_Barbarian[[#This Row],[Rang]]</calculatedColumnFormula>
    </tableColumn>
  </tableColumns>
  <tableStyleInfo name="TableStyleMedium9" showFirstColumn="0" showLastColumn="0" showRowStripes="1" showColumnStripes="0"/>
</table>
</file>

<file path=xl/tables/table128.xml><?xml version="1.0" encoding="utf-8"?>
<table xmlns="http://schemas.openxmlformats.org/spreadsheetml/2006/main" id="99" name="VALUE_Archer" displayName="VALUE_Archer" ref="E25:H32" totalsRowShown="0" headerRowDxfId="681" dataDxfId="679" headerRowBorderDxfId="680" tableBorderDxfId="678">
  <autoFilter ref="E25:H32"/>
  <tableColumns count="4">
    <tableColumn id="1" name="LVL" dataDxfId="677"/>
    <tableColumn id="3" name="Rang" dataDxfId="676">
      <calculatedColumnFormula>Paramètres!AP6</calculatedColumnFormula>
    </tableColumn>
    <tableColumn id="2" name="Valeur" dataDxfId="675" dataCellStyle="Milliers"/>
    <tableColumn id="4" name="Total" dataDxfId="674">
      <calculatedColumnFormula>VALUE_Archer[[#This Row],[Valeur]]*VALUE_Archer[[#This Row],[Rang]]</calculatedColumnFormula>
    </tableColumn>
  </tableColumns>
  <tableStyleInfo name="TableStyleMedium9" showFirstColumn="0" showLastColumn="0" showRowStripes="1" showColumnStripes="0"/>
</table>
</file>

<file path=xl/tables/table129.xml><?xml version="1.0" encoding="utf-8"?>
<table xmlns="http://schemas.openxmlformats.org/spreadsheetml/2006/main" id="100" name="VALUE_Goblin" displayName="VALUE_Goblin" ref="I25:L31" totalsRowShown="0" headerRowDxfId="673" headerRowBorderDxfId="672" tableBorderDxfId="671">
  <autoFilter ref="I25:L31"/>
  <tableColumns count="4">
    <tableColumn id="1" name="LVL" dataDxfId="670"/>
    <tableColumn id="3" name="Rang" dataDxfId="669">
      <calculatedColumnFormula>Paramètres!AQ6</calculatedColumnFormula>
    </tableColumn>
    <tableColumn id="2" name="Valeur" dataDxfId="668" dataCellStyle="Milliers"/>
    <tableColumn id="4" name="Total" dataDxfId="667">
      <calculatedColumnFormula>VALUE_Goblin[[#This Row],[Valeur]]*VALUE_Goblin[[#This Row],[Rang]]</calculatedColumnFormula>
    </tableColumn>
  </tableColumns>
  <tableStyleInfo name="TableStyleMedium9" showFirstColumn="0" showLastColumn="0" showRowStripes="1" showColumnStripes="0"/>
</table>
</file>

<file path=xl/tables/table130.xml><?xml version="1.0" encoding="utf-8"?>
<table xmlns="http://schemas.openxmlformats.org/spreadsheetml/2006/main" id="101" name="VALUE_Giant" displayName="VALUE_Giant" ref="M25:P32" totalsRowShown="0" headerRowDxfId="666" dataDxfId="664" headerRowBorderDxfId="665" tableBorderDxfId="663">
  <autoFilter ref="M25:P32"/>
  <tableColumns count="4">
    <tableColumn id="1" name="LVL" dataDxfId="662"/>
    <tableColumn id="3" name="Rang" dataDxfId="661">
      <calculatedColumnFormula>Paramètres!AR6</calculatedColumnFormula>
    </tableColumn>
    <tableColumn id="2" name="Valeur" dataDxfId="660" dataCellStyle="Milliers"/>
    <tableColumn id="4" name="Total" dataDxfId="659">
      <calculatedColumnFormula>VALUE_Giant[[#This Row],[Valeur]]*VALUE_Giant[[#This Row],[Rang]]</calculatedColumnFormula>
    </tableColumn>
  </tableColumns>
  <tableStyleInfo name="TableStyleMedium9" showFirstColumn="0" showLastColumn="0" showRowStripes="1" showColumnStripes="0"/>
</table>
</file>

<file path=xl/tables/table131.xml><?xml version="1.0" encoding="utf-8"?>
<table xmlns="http://schemas.openxmlformats.org/spreadsheetml/2006/main" id="102" name="VALUE_Wall_Breaker" displayName="VALUE_Wall_Breaker" ref="Q25:T31" totalsRowShown="0" headerRowDxfId="658" dataDxfId="656" headerRowBorderDxfId="657" tableBorderDxfId="655">
  <autoFilter ref="Q25:T31"/>
  <tableColumns count="4">
    <tableColumn id="1" name="LVL" dataDxfId="654"/>
    <tableColumn id="3" name="Rang" dataDxfId="653">
      <calculatedColumnFormula>Paramètres!AS6</calculatedColumnFormula>
    </tableColumn>
    <tableColumn id="2" name="Valeur" dataDxfId="652" dataCellStyle="Milliers"/>
    <tableColumn id="4" name="Total" dataDxfId="651">
      <calculatedColumnFormula>VALUE_Wall_Breaker[[#This Row],[Valeur]]*VALUE_Wall_Breaker[[#This Row],[Rang]]</calculatedColumnFormula>
    </tableColumn>
  </tableColumns>
  <tableStyleInfo name="TableStyleMedium9" showFirstColumn="0" showLastColumn="0" showRowStripes="1" showColumnStripes="0"/>
</table>
</file>

<file path=xl/tables/table132.xml><?xml version="1.0" encoding="utf-8"?>
<table xmlns="http://schemas.openxmlformats.org/spreadsheetml/2006/main" id="103" name="VALUE_Balloon" displayName="VALUE_Balloon" ref="U25:X31" totalsRowShown="0" headerRowDxfId="650" dataDxfId="648" headerRowBorderDxfId="649" tableBorderDxfId="647">
  <autoFilter ref="U25:X31"/>
  <tableColumns count="4">
    <tableColumn id="1" name="LVL" dataDxfId="646"/>
    <tableColumn id="3" name="Rang" dataDxfId="645">
      <calculatedColumnFormula>Paramètres!AT6</calculatedColumnFormula>
    </tableColumn>
    <tableColumn id="2" name="Valeur" dataDxfId="644" dataCellStyle="Milliers"/>
    <tableColumn id="4" name="Total" dataDxfId="643">
      <calculatedColumnFormula>VALUE_Balloon[[#This Row],[Valeur]]*VALUE_Balloon[[#This Row],[Rang]]</calculatedColumnFormula>
    </tableColumn>
  </tableColumns>
  <tableStyleInfo name="TableStyleMedium9" showFirstColumn="0" showLastColumn="0" showRowStripes="1" showColumnStripes="0"/>
</table>
</file>

<file path=xl/tables/table133.xml><?xml version="1.0" encoding="utf-8"?>
<table xmlns="http://schemas.openxmlformats.org/spreadsheetml/2006/main" id="104" name="VALUE_Wizard" displayName="VALUE_Wizard" ref="Y25:AB31" totalsRowShown="0" headerRowDxfId="642" dataDxfId="640" headerRowBorderDxfId="641" tableBorderDxfId="639">
  <autoFilter ref="Y25:AB31"/>
  <tableColumns count="4">
    <tableColumn id="1" name="LVL" dataDxfId="638"/>
    <tableColumn id="3" name="Rang" dataDxfId="637">
      <calculatedColumnFormula>Paramètres!AU6</calculatedColumnFormula>
    </tableColumn>
    <tableColumn id="2" name="Valeur" dataDxfId="636" dataCellStyle="Milliers"/>
    <tableColumn id="4" name="Total" dataDxfId="635">
      <calculatedColumnFormula>VALUE_Wizard[[#This Row],[Valeur]]*VALUE_Wizard[[#This Row],[Rang]]</calculatedColumnFormula>
    </tableColumn>
  </tableColumns>
  <tableStyleInfo name="TableStyleMedium9" showFirstColumn="0" showLastColumn="0" showRowStripes="1" showColumnStripes="0"/>
</table>
</file>

<file path=xl/tables/table134.xml><?xml version="1.0" encoding="utf-8"?>
<table xmlns="http://schemas.openxmlformats.org/spreadsheetml/2006/main" id="105" name="VALUE_Healer" displayName="VALUE_Healer" ref="AC25:AF29" totalsRowShown="0" headerRowDxfId="634" dataDxfId="632" headerRowBorderDxfId="633" tableBorderDxfId="631">
  <autoFilter ref="AC25:AF29"/>
  <tableColumns count="4">
    <tableColumn id="1" name="LVL" dataDxfId="630"/>
    <tableColumn id="3" name="Rang" dataDxfId="629">
      <calculatedColumnFormula>Paramètres!AV6</calculatedColumnFormula>
    </tableColumn>
    <tableColumn id="2" name="Valeur" dataDxfId="628" dataCellStyle="Milliers"/>
    <tableColumn id="4" name="Total" dataDxfId="627">
      <calculatedColumnFormula>VALUE_Healer[[#This Row],[Valeur]]*VALUE_Healer[[#This Row],[Rang]]</calculatedColumnFormula>
    </tableColumn>
  </tableColumns>
  <tableStyleInfo name="TableStyleMedium9" showFirstColumn="0" showLastColumn="0" showRowStripes="1" showColumnStripes="0"/>
</table>
</file>

<file path=xl/tables/table135.xml><?xml version="1.0" encoding="utf-8"?>
<table xmlns="http://schemas.openxmlformats.org/spreadsheetml/2006/main" id="106" name="VALUE_Dragon" displayName="VALUE_Dragon" ref="AG25:AJ29" totalsRowShown="0" headerRowDxfId="626" dataDxfId="624" headerRowBorderDxfId="625" tableBorderDxfId="623" totalsRowBorderDxfId="622">
  <autoFilter ref="AG25:AJ29"/>
  <tableColumns count="4">
    <tableColumn id="1" name="LVL" dataDxfId="621"/>
    <tableColumn id="3" name="Rang" dataDxfId="620">
      <calculatedColumnFormula>Paramètres!AW6</calculatedColumnFormula>
    </tableColumn>
    <tableColumn id="2" name="Valeur" dataDxfId="619" dataCellStyle="Milliers"/>
    <tableColumn id="4" name="Total" dataDxfId="618">
      <calculatedColumnFormula>VALUE_Dragon[[#This Row],[Valeur]]*VALUE_Dragon[[#This Row],[Rang]]</calculatedColumnFormula>
    </tableColumn>
  </tableColumns>
  <tableStyleInfo name="TableStyleMedium9" showFirstColumn="0" showLastColumn="0" showRowStripes="1" showColumnStripes="0"/>
</table>
</file>

<file path=xl/tables/table136.xml><?xml version="1.0" encoding="utf-8"?>
<table xmlns="http://schemas.openxmlformats.org/spreadsheetml/2006/main" id="107" name="VALUE_PEKKA" displayName="VALUE_PEKKA" ref="AK25:AN30" totalsRowShown="0" headerRowDxfId="617" dataDxfId="615" headerRowBorderDxfId="616" tableBorderDxfId="614">
  <autoFilter ref="AK25:AN30"/>
  <tableColumns count="4">
    <tableColumn id="1" name="LVL" dataDxfId="613"/>
    <tableColumn id="3" name="Rang" dataDxfId="612">
      <calculatedColumnFormula>Paramètres!AX6</calculatedColumnFormula>
    </tableColumn>
    <tableColumn id="2" name="Valeur" dataDxfId="611"/>
    <tableColumn id="4" name="Total" dataDxfId="610">
      <calculatedColumnFormula>VALUE_PEKKA[[#This Row],[Valeur]]*VALUE_PEKKA[[#This Row],[Rang]]</calculatedColumnFormula>
    </tableColumn>
  </tableColumns>
  <tableStyleInfo name="TableStyleMedium9" showFirstColumn="0" showLastColumn="0" showRowStripes="1" showColumnStripes="0"/>
</table>
</file>

<file path=xl/tables/table137.xml><?xml version="1.0" encoding="utf-8"?>
<table xmlns="http://schemas.openxmlformats.org/spreadsheetml/2006/main" id="108" name="VALUE_Minion" displayName="VALUE_Minion" ref="A37:D43" totalsRowShown="0" headerRowDxfId="609" dataDxfId="607" headerRowBorderDxfId="608" tableBorderDxfId="606">
  <autoFilter ref="A37:D43"/>
  <tableColumns count="4">
    <tableColumn id="1" name="LVL" dataDxfId="605"/>
    <tableColumn id="3" name="Rang" dataDxfId="604">
      <calculatedColumnFormula>Paramètres!AY6</calculatedColumnFormula>
    </tableColumn>
    <tableColumn id="2" name="Valeur" dataDxfId="603" dataCellStyle="Milliers"/>
    <tableColumn id="4" name="Total" dataDxfId="602">
      <calculatedColumnFormula>VALUE_Minion[[#This Row],[Valeur]]*VALUE_Minion[[#This Row],[Rang]]</calculatedColumnFormula>
    </tableColumn>
  </tableColumns>
  <tableStyleInfo name="TableStyleMedium9" showFirstColumn="0" showLastColumn="0" showRowStripes="1" showColumnStripes="0"/>
</table>
</file>

<file path=xl/tables/table138.xml><?xml version="1.0" encoding="utf-8"?>
<table xmlns="http://schemas.openxmlformats.org/spreadsheetml/2006/main" id="109" name="VALUE_Hog_Rider" displayName="VALUE_Hog_Rider" ref="E37:H42" totalsRowShown="0" headerRowDxfId="601" dataDxfId="599" headerRowBorderDxfId="600" tableBorderDxfId="598">
  <autoFilter ref="E37:H42"/>
  <tableColumns count="4">
    <tableColumn id="1" name="LVL" dataDxfId="597"/>
    <tableColumn id="3" name="Rang" dataDxfId="596">
      <calculatedColumnFormula>Paramètres!AZ6</calculatedColumnFormula>
    </tableColumn>
    <tableColumn id="2" name="Valeur" dataDxfId="595" dataCellStyle="Milliers"/>
    <tableColumn id="4" name="Total" dataDxfId="594">
      <calculatedColumnFormula>VALUE_Hog_Rider[[#This Row],[Valeur]]*VALUE_Hog_Rider[[#This Row],[Rang]]</calculatedColumnFormula>
    </tableColumn>
  </tableColumns>
  <tableStyleInfo name="TableStyleMedium9" showFirstColumn="0" showLastColumn="0" showRowStripes="1" showColumnStripes="0"/>
</table>
</file>

<file path=xl/tables/table139.xml><?xml version="1.0" encoding="utf-8"?>
<table xmlns="http://schemas.openxmlformats.org/spreadsheetml/2006/main" id="110" name="VALUE_Valkyrie" displayName="VALUE_Valkyrie" ref="I37:L41" totalsRowShown="0" headerRowDxfId="593" dataDxfId="591" headerRowBorderDxfId="592" tableBorderDxfId="590">
  <autoFilter ref="I37:L41"/>
  <tableColumns count="4">
    <tableColumn id="1" name="LVL" dataDxfId="589"/>
    <tableColumn id="3" name="Rang" dataDxfId="588">
      <calculatedColumnFormula>Paramètres!BA6</calculatedColumnFormula>
    </tableColumn>
    <tableColumn id="2" name="Valeur" dataDxfId="587" dataCellStyle="Milliers"/>
    <tableColumn id="4" name="Total" dataDxfId="586">
      <calculatedColumnFormula>VALUE_Valkyrie[[#This Row],[Valeur]]*VALUE_Valkyrie[[#This Row],[Rang]]</calculatedColumnFormula>
    </tableColumn>
  </tableColumns>
  <tableStyleInfo name="TableStyleMedium9" showFirstColumn="0" showLastColumn="0" showRowStripes="1" showColumnStripes="0"/>
</table>
</file>

<file path=xl/tables/table140.xml><?xml version="1.0" encoding="utf-8"?>
<table xmlns="http://schemas.openxmlformats.org/spreadsheetml/2006/main" id="111" name="VALUE_Golem" displayName="VALUE_Golem" ref="M37:P42" totalsRowShown="0" headerRowDxfId="585" dataDxfId="583" headerRowBorderDxfId="584" tableBorderDxfId="582">
  <autoFilter ref="M37:P42"/>
  <tableColumns count="4">
    <tableColumn id="1" name="LVL" dataDxfId="581"/>
    <tableColumn id="3" name="Rang" dataDxfId="580">
      <calculatedColumnFormula>Paramètres!BB6</calculatedColumnFormula>
    </tableColumn>
    <tableColumn id="2" name="Valeur" dataDxfId="579"/>
    <tableColumn id="4" name="Total" dataDxfId="578">
      <calculatedColumnFormula>VALUE_Golem[[#This Row],[Valeur]]*VALUE_Golem[[#This Row],[Rang]]</calculatedColumnFormula>
    </tableColumn>
  </tableColumns>
  <tableStyleInfo name="TableStyleMedium9" showFirstColumn="0" showLastColumn="0" showRowStripes="1" showColumnStripes="0"/>
</table>
</file>

<file path=xl/tables/table141.xml><?xml version="1.0" encoding="utf-8"?>
<table xmlns="http://schemas.openxmlformats.org/spreadsheetml/2006/main" id="112" name="VALUE_Spell_Lightning" displayName="VALUE_Spell_Lightning" ref="A14:D20" totalsRowShown="0" headerRowDxfId="577" dataDxfId="575" headerRowBorderDxfId="576" tableBorderDxfId="574">
  <autoFilter ref="A14:D20"/>
  <tableColumns count="4">
    <tableColumn id="1" name="LVL" dataDxfId="573"/>
    <tableColumn id="3" name="Rang" dataDxfId="572">
      <calculatedColumnFormula>Paramètres!AG6</calculatedColumnFormula>
    </tableColumn>
    <tableColumn id="2" name="Valeur" dataDxfId="571"/>
    <tableColumn id="4" name="Total" dataDxfId="570">
      <calculatedColumnFormula>VALUE_Spell_Lightning[[#This Row],[Valeur]]*VALUE_Spell_Lightning[[#This Row],[Rang]]</calculatedColumnFormula>
    </tableColumn>
  </tableColumns>
  <tableStyleInfo name="TableStyleMedium9" showFirstColumn="0" showLastColumn="0" showRowStripes="1" showColumnStripes="0"/>
</table>
</file>

<file path=xl/tables/table142.xml><?xml version="1.0" encoding="utf-8"?>
<table xmlns="http://schemas.openxmlformats.org/spreadsheetml/2006/main" id="113" name="VALUE_Spell_Healing" displayName="VALUE_Spell_Healing" ref="E14:H20" totalsRowShown="0" headerRowDxfId="569" dataDxfId="567" headerRowBorderDxfId="568" tableBorderDxfId="566">
  <autoFilter ref="E14:H20"/>
  <tableColumns count="4">
    <tableColumn id="1" name="LVL" dataDxfId="565"/>
    <tableColumn id="3" name="Rang" dataDxfId="564">
      <calculatedColumnFormula>Paramètres!AH6</calculatedColumnFormula>
    </tableColumn>
    <tableColumn id="2" name="Valeur" dataDxfId="563"/>
    <tableColumn id="4" name="Total" dataDxfId="562">
      <calculatedColumnFormula>VALUE_Spell_Healing[[#This Row],[Valeur]]*VALUE_Spell_Healing[[#This Row],[Rang]]</calculatedColumnFormula>
    </tableColumn>
  </tableColumns>
  <tableStyleInfo name="TableStyleMedium9" showFirstColumn="0" showLastColumn="0" showRowStripes="1" showColumnStripes="0"/>
</table>
</file>

<file path=xl/tables/table143.xml><?xml version="1.0" encoding="utf-8"?>
<table xmlns="http://schemas.openxmlformats.org/spreadsheetml/2006/main" id="132" name="VALUE_Spell_Rage" displayName="VALUE_Spell_Rage" ref="I14:L19" totalsRowShown="0" headerRowDxfId="561" dataDxfId="559" headerRowBorderDxfId="560" tableBorderDxfId="558">
  <autoFilter ref="I14:L19"/>
  <tableColumns count="4">
    <tableColumn id="1" name="LVL" dataDxfId="557"/>
    <tableColumn id="3" name="Rang" dataDxfId="556">
      <calculatedColumnFormula>Paramètres!AI6</calculatedColumnFormula>
    </tableColumn>
    <tableColumn id="2" name="Valeur" dataDxfId="555"/>
    <tableColumn id="4" name="Total" dataDxfId="554">
      <calculatedColumnFormula>VALUE_Spell_Rage[[#This Row],[Valeur]]*VALUE_Spell_Rage[[#This Row],[Rang]]</calculatedColumnFormula>
    </tableColumn>
  </tableColumns>
  <tableStyleInfo name="TableStyleMedium9" showFirstColumn="0" showLastColumn="0" showRowStripes="1" showColumnStripes="0"/>
</table>
</file>

<file path=xl/tables/table144.xml><?xml version="1.0" encoding="utf-8"?>
<table xmlns="http://schemas.openxmlformats.org/spreadsheetml/2006/main" id="133" name="VALUE_Spell_Jump" displayName="VALUE_Spell_Jump" ref="M14:P17" totalsRowShown="0" headerRowDxfId="553" dataDxfId="551" headerRowBorderDxfId="552" tableBorderDxfId="550">
  <autoFilter ref="M14:P17"/>
  <tableColumns count="4">
    <tableColumn id="1" name="LVL" dataDxfId="549"/>
    <tableColumn id="3" name="Rang" dataDxfId="548">
      <calculatedColumnFormula>Paramètres!AJ6</calculatedColumnFormula>
    </tableColumn>
    <tableColumn id="2" name="Valeur" dataDxfId="547" dataCellStyle="Milliers"/>
    <tableColumn id="4" name="Total" dataDxfId="546">
      <calculatedColumnFormula>VALUE_Spell_Jump[[#This Row],[Valeur]]*VALUE_Spell_Jump[[#This Row],[Rang]]</calculatedColumnFormula>
    </tableColumn>
  </tableColumns>
  <tableStyleInfo name="TableStyleMedium9" showFirstColumn="0" showLastColumn="0" showRowStripes="1" showColumnStripes="0"/>
</table>
</file>

<file path=xl/tables/table145.xml><?xml version="1.0" encoding="utf-8"?>
<table xmlns="http://schemas.openxmlformats.org/spreadsheetml/2006/main" id="134" name="VALUE_Spell_Freeze" displayName="VALUE_Spell_Freeze" ref="Q14:T19" totalsRowShown="0" headerRowDxfId="545" dataDxfId="543" headerRowBorderDxfId="544" tableBorderDxfId="542">
  <autoFilter ref="Q14:T19"/>
  <tableColumns count="4">
    <tableColumn id="1" name="LVL" dataDxfId="541"/>
    <tableColumn id="3" name="Rang" dataDxfId="540">
      <calculatedColumnFormula>Paramètres!AK6</calculatedColumnFormula>
    </tableColumn>
    <tableColumn id="2" name="Valeur" dataDxfId="539"/>
    <tableColumn id="4" name="Total" dataDxfId="538">
      <calculatedColumnFormula>VALUE_Spell_Freeze[[#This Row],[Valeur]]*VALUE_Spell_Freeze[[#This Row],[Rang]]</calculatedColumnFormula>
    </tableColumn>
  </tableColumns>
  <tableStyleInfo name="TableStyleMedium9" showFirstColumn="0" showLastColumn="0" showRowStripes="1" showColumnStripes="0"/>
</table>
</file>

<file path=xl/tables/table146.xml><?xml version="1.0" encoding="utf-8"?>
<table xmlns="http://schemas.openxmlformats.org/spreadsheetml/2006/main" id="139" name="VALUE_Witch" displayName="VALUE_Witch" ref="Q37:T39" totalsRowShown="0" headerRowDxfId="537" dataDxfId="535" headerRowBorderDxfId="536" tableBorderDxfId="534">
  <autoFilter ref="Q37:T39"/>
  <tableColumns count="4">
    <tableColumn id="1" name="LVL" dataDxfId="533"/>
    <tableColumn id="3" name="Rang" dataDxfId="532">
      <calculatedColumnFormula>Paramètres!BC6</calculatedColumnFormula>
    </tableColumn>
    <tableColumn id="2" name="Valeur" dataDxfId="531" dataCellStyle="Milliers"/>
    <tableColumn id="4" name="Total" dataDxfId="530">
      <calculatedColumnFormula>VALUE_Witch[[#This Row],[Valeur]]*VALUE_Witch[[#This Row],[Rang]]</calculatedColumnFormula>
    </tableColumn>
  </tableColumns>
  <tableStyleInfo name="TableStyleMedium9" showFirstColumn="0" showLastColumn="0" showRowStripes="1" showColumnStripes="0"/>
</table>
</file>

<file path=xl/tables/table147.xml><?xml version="1.0" encoding="utf-8"?>
<table xmlns="http://schemas.openxmlformats.org/spreadsheetml/2006/main" id="140" name="VALUE_Lava_Hound" displayName="VALUE_Lava_Hound" ref="U37:X40" totalsRowShown="0" headerRowDxfId="529" dataDxfId="527" headerRowBorderDxfId="528" tableBorderDxfId="526">
  <autoFilter ref="U37:X40"/>
  <tableColumns count="4">
    <tableColumn id="1" name="LVL" dataDxfId="525"/>
    <tableColumn id="3" name="Rang" dataDxfId="524">
      <calculatedColumnFormula>Paramètres!BD6</calculatedColumnFormula>
    </tableColumn>
    <tableColumn id="2" name="Valeur" dataDxfId="523" dataCellStyle="Milliers"/>
    <tableColumn id="4" name="Total" dataDxfId="522">
      <calculatedColumnFormula>VALUE_Lava_Hound[[#This Row],[Valeur]]*VALUE_Lava_Hound[[#This Row],[Rang]]</calculatedColumnFormula>
    </tableColumn>
  </tableColumns>
  <tableStyleInfo name="TableStyleMedium9" showFirstColumn="0" showLastColumn="0" showRowStripes="1" showColumnStripes="0"/>
</table>
</file>

<file path=xl/tables/table148.xml><?xml version="1.0" encoding="utf-8"?>
<table xmlns="http://schemas.openxmlformats.org/spreadsheetml/2006/main" id="193" name="VALUE_Barrack" displayName="VALUE_Barrack" ref="E65:H75" totalsRowShown="0" dataDxfId="520" headerRowBorderDxfId="521" tableBorderDxfId="519">
  <autoFilter ref="E65:H75"/>
  <tableColumns count="4">
    <tableColumn id="1" name="LVL" dataDxfId="518"/>
    <tableColumn id="4" name="Rang" dataDxfId="517">
      <calculatedColumnFormula>Paramètres!H6</calculatedColumnFormula>
    </tableColumn>
    <tableColumn id="2" name="Valeur" dataDxfId="516"/>
    <tableColumn id="3" name="Total" dataDxfId="515">
      <calculatedColumnFormula>VALUE_Barrack[[#This Row],[Valeur]]*VALUE_Barrack[[#This Row],[Rang]]</calculatedColumnFormula>
    </tableColumn>
  </tableColumns>
  <tableStyleInfo name="TableStyleMedium9" showFirstColumn="0" showLastColumn="0" showRowStripes="1" showColumnStripes="0"/>
</table>
</file>

<file path=xl/tables/table149.xml><?xml version="1.0" encoding="utf-8"?>
<table xmlns="http://schemas.openxmlformats.org/spreadsheetml/2006/main" id="194" name="VALUE_Dark_Elixir_Storage" displayName="VALUE_Dark_Elixir_Storage" ref="M48:P54" totalsRowShown="0" dataDxfId="513" headerRowBorderDxfId="514" tableBorderDxfId="512">
  <autoFilter ref="M48:P54"/>
  <tableColumns count="4">
    <tableColumn id="1" name="LVL" dataDxfId="511"/>
    <tableColumn id="3" name="Rang" dataDxfId="510">
      <calculatedColumnFormula>Paramètres!G6</calculatedColumnFormula>
    </tableColumn>
    <tableColumn id="2" name="Valeur" dataDxfId="509"/>
    <tableColumn id="4" name="Total" dataDxfId="508">
      <calculatedColumnFormula>VALUE_Dark_Elixir_Storage[[#This Row],[Valeur]]*VALUE_Dark_Elixir_Storage[[#This Row],[Rang]]</calculatedColumnFormula>
    </tableColumn>
  </tableColumns>
  <tableStyleInfo name="TableStyleMedium9" showFirstColumn="0" showLastColumn="0" showRowStripes="1" showColumnStripes="0"/>
</table>
</file>

<file path=xl/tables/table150.xml><?xml version="1.0" encoding="utf-8"?>
<table xmlns="http://schemas.openxmlformats.org/spreadsheetml/2006/main" id="195" name="VALUE_Dark_Barrack" displayName="VALUE_Dark_Barrack" ref="A65:D71" totalsRowShown="0" dataDxfId="506" headerRowBorderDxfId="507" tableBorderDxfId="505" totalsRowBorderDxfId="504">
  <autoFilter ref="A65:D71"/>
  <tableColumns count="4">
    <tableColumn id="1" name="LVL" dataDxfId="503"/>
    <tableColumn id="3" name="Rang" dataDxfId="502">
      <calculatedColumnFormula>Paramètres!I6</calculatedColumnFormula>
    </tableColumn>
    <tableColumn id="2" name="Valeur" dataDxfId="501"/>
    <tableColumn id="4" name="Total" dataDxfId="500">
      <calculatedColumnFormula>VALUE_Dark_Barrack[[#This Row],[Valeur]]*VALUE_Dark_Barrack[[#This Row],[Rang]]</calculatedColumnFormula>
    </tableColumn>
  </tableColumns>
  <tableStyleInfo name="TableStyleMedium9" showFirstColumn="0" showLastColumn="0" showRowStripes="1" showColumnStripes="0"/>
</table>
</file>

<file path=xl/tables/table151.xml><?xml version="1.0" encoding="utf-8"?>
<table xmlns="http://schemas.openxmlformats.org/spreadsheetml/2006/main" id="196" name="VALUE_Gold_Mine" displayName="VALUE_Gold_Mine" ref="A48:D60" totalsRowShown="0" headerRowDxfId="499" dataDxfId="497" headerRowBorderDxfId="498" tableBorderDxfId="496" totalsRowBorderDxfId="495">
  <autoFilter ref="A48:D60"/>
  <tableColumns count="4">
    <tableColumn id="1" name="LVL" dataDxfId="494"/>
    <tableColumn id="3" name="Rang" dataDxfId="493">
      <calculatedColumnFormula>Paramètres!B6</calculatedColumnFormula>
    </tableColumn>
    <tableColumn id="2" name="Valeur" dataDxfId="492"/>
    <tableColumn id="4" name="Total" dataDxfId="491">
      <calculatedColumnFormula>VALUE_Gold_Mine[[#This Row],[Valeur]]*VALUE_Gold_Mine[[#This Row],[Rang]]</calculatedColumnFormula>
    </tableColumn>
  </tableColumns>
  <tableStyleInfo name="TableStyleMedium9" showFirstColumn="0" showLastColumn="0" showRowStripes="1" showColumnStripes="0"/>
</table>
</file>

<file path=xl/tables/table152.xml><?xml version="1.0" encoding="utf-8"?>
<table xmlns="http://schemas.openxmlformats.org/spreadsheetml/2006/main" id="197" name="VALUE_Elixir_Collector" displayName="VALUE_Elixir_Collector" ref="Q48:T60" totalsRowShown="0" dataDxfId="489" headerRowBorderDxfId="490" tableBorderDxfId="488" totalsRowBorderDxfId="487">
  <autoFilter ref="Q48:T60"/>
  <tableColumns count="4">
    <tableColumn id="1" name="LVL" dataDxfId="486"/>
    <tableColumn id="3" name="Rang" dataDxfId="485">
      <calculatedColumnFormula>Paramètres!C6</calculatedColumnFormula>
    </tableColumn>
    <tableColumn id="2" name="Valeur" dataDxfId="484"/>
    <tableColumn id="4" name="Total" dataDxfId="483">
      <calculatedColumnFormula>VALUE_Elixir_Collector[[#This Row],[Valeur]]*VALUE_Elixir_Collector[[#This Row],[Rang]]</calculatedColumnFormula>
    </tableColumn>
  </tableColumns>
  <tableStyleInfo name="TableStyleMedium9" showFirstColumn="0" showLastColumn="0" showRowStripes="1" showColumnStripes="0"/>
</table>
</file>

<file path=xl/tables/table153.xml><?xml version="1.0" encoding="utf-8"?>
<table xmlns="http://schemas.openxmlformats.org/spreadsheetml/2006/main" id="198" name="VALUE_Dark_Elixir_Drill" displayName="VALUE_Dark_Elixir_Drill" ref="E48:H54" totalsRowShown="0" dataDxfId="481" headerRowBorderDxfId="482" tableBorderDxfId="480" totalsRowBorderDxfId="479">
  <autoFilter ref="E48:H54"/>
  <tableColumns count="4">
    <tableColumn id="1" name="LVL" dataDxfId="478"/>
    <tableColumn id="3" name="Rang" dataDxfId="477">
      <calculatedColumnFormula>Paramètres!D6</calculatedColumnFormula>
    </tableColumn>
    <tableColumn id="2" name="Valeur" dataDxfId="476"/>
    <tableColumn id="4" name="Total" dataDxfId="475">
      <calculatedColumnFormula>VALUE_Dark_Elixir_Drill[[#This Row],[Valeur]]*VALUE_Dark_Elixir_Drill[[#This Row],[Rang]]</calculatedColumnFormula>
    </tableColumn>
  </tableColumns>
  <tableStyleInfo name="TableStyleMedium9" showFirstColumn="0" showLastColumn="0" showRowStripes="1" showColumnStripes="0"/>
</table>
</file>

<file path=xl/tables/table154.xml><?xml version="1.0" encoding="utf-8"?>
<table xmlns="http://schemas.openxmlformats.org/spreadsheetml/2006/main" id="199" name="VALUE_Gold_Storage" displayName="VALUE_Gold_Storage" ref="I48:L59" totalsRowShown="0" dataDxfId="473" headerRowBorderDxfId="474" tableBorderDxfId="472" totalsRowBorderDxfId="471">
  <autoFilter ref="I48:L59"/>
  <tableColumns count="4">
    <tableColumn id="1" name="LVL" dataDxfId="470"/>
    <tableColumn id="3" name="Rang" dataDxfId="469">
      <calculatedColumnFormula>Paramètres!E6</calculatedColumnFormula>
    </tableColumn>
    <tableColumn id="2" name="Valeur" dataDxfId="468"/>
    <tableColumn id="4" name="Total" dataDxfId="467">
      <calculatedColumnFormula>VALUE_Gold_Storage[[#This Row],[Valeur]]*VALUE_Gold_Storage[[#This Row],[Rang]]</calculatedColumnFormula>
    </tableColumn>
  </tableColumns>
  <tableStyleInfo name="TableStyleMedium9" showFirstColumn="0" showLastColumn="0" showRowStripes="1" showColumnStripes="0"/>
</table>
</file>

<file path=xl/tables/table155.xml><?xml version="1.0" encoding="utf-8"?>
<table xmlns="http://schemas.openxmlformats.org/spreadsheetml/2006/main" id="200" name="VALUE_Elixir_Storage" displayName="VALUE_Elixir_Storage" ref="U48:X59" totalsRowShown="0" dataDxfId="465" headerRowBorderDxfId="466" tableBorderDxfId="464" totalsRowBorderDxfId="463">
  <autoFilter ref="U48:X59"/>
  <tableColumns count="4">
    <tableColumn id="1" name="LVL" dataDxfId="462"/>
    <tableColumn id="3" name="Rang" dataDxfId="461">
      <calculatedColumnFormula>Paramètres!F6</calculatedColumnFormula>
    </tableColumn>
    <tableColumn id="2" name="Valeur" dataDxfId="460"/>
    <tableColumn id="4" name="Total" dataDxfId="459">
      <calculatedColumnFormula>VALUE_Elixir_Storage[[#This Row],[Valeur]]*VALUE_Elixir_Storage[[#This Row],[Rang]]</calculatedColumnFormula>
    </tableColumn>
  </tableColumns>
  <tableStyleInfo name="TableStyleMedium9" showFirstColumn="0" showLastColumn="0" showRowStripes="1" showColumnStripes="0"/>
</table>
</file>

<file path=xl/tables/table156.xml><?xml version="1.0" encoding="utf-8"?>
<table xmlns="http://schemas.openxmlformats.org/spreadsheetml/2006/main" id="201" name="VALUE_Army_Camp" displayName="VALUE_Army_Camp" ref="I65:L73" totalsRowShown="0" dataDxfId="457" headerRowBorderDxfId="458" tableBorderDxfId="456" totalsRowBorderDxfId="455">
  <autoFilter ref="I65:L73"/>
  <tableColumns count="4">
    <tableColumn id="1" name="LVL" dataDxfId="454"/>
    <tableColumn id="3" name="Rang" dataDxfId="453">
      <calculatedColumnFormula>Paramètres!J6</calculatedColumnFormula>
    </tableColumn>
    <tableColumn id="2" name="Valeur" dataDxfId="452"/>
    <tableColumn id="4" name="Total" dataDxfId="451">
      <calculatedColumnFormula>VALUE_Army_Camp[[#This Row],[Valeur]]*VALUE_Army_Camp[[#This Row],[Rang]]</calculatedColumnFormula>
    </tableColumn>
  </tableColumns>
  <tableStyleInfo name="TableStyleMedium9" showFirstColumn="0" showLastColumn="0" showRowStripes="1" showColumnStripes="0"/>
</table>
</file>

<file path=xl/tables/table157.xml><?xml version="1.0" encoding="utf-8"?>
<table xmlns="http://schemas.openxmlformats.org/spreadsheetml/2006/main" id="202" name="VALUE_Laboratory" displayName="VALUE_Laboratory" ref="M65:P73" totalsRowShown="0" dataDxfId="449" headerRowBorderDxfId="450" tableBorderDxfId="448" totalsRowBorderDxfId="447">
  <autoFilter ref="M65:P73"/>
  <tableColumns count="4">
    <tableColumn id="1" name="LVL" dataDxfId="446"/>
    <tableColumn id="3" name="Rang" dataDxfId="445">
      <calculatedColumnFormula>Paramètres!K6</calculatedColumnFormula>
    </tableColumn>
    <tableColumn id="2" name="Valeur" dataDxfId="444"/>
    <tableColumn id="4" name="Total" dataDxfId="443">
      <calculatedColumnFormula>VALUE_Laboratory[[#This Row],[Valeur]]*VALUE_Laboratory[[#This Row],[Rang]]</calculatedColumnFormula>
    </tableColumn>
  </tableColumns>
  <tableStyleInfo name="TableStyleMedium9" showFirstColumn="0" showLastColumn="0" showRowStripes="1" showColumnStripes="0"/>
</table>
</file>

<file path=xl/tables/table158.xml><?xml version="1.0" encoding="utf-8"?>
<table xmlns="http://schemas.openxmlformats.org/spreadsheetml/2006/main" id="203" name="VALUE_Spell_Factory" displayName="VALUE_Spell_Factory" ref="Q65:T70" totalsRowShown="0" headerRowBorderDxfId="442" tableBorderDxfId="441" totalsRowBorderDxfId="440">
  <autoFilter ref="Q65:T70"/>
  <tableColumns count="4">
    <tableColumn id="1" name="LVL" dataDxfId="439"/>
    <tableColumn id="3" name="Rang" dataDxfId="438">
      <calculatedColumnFormula>Paramètres!L6</calculatedColumnFormula>
    </tableColumn>
    <tableColumn id="2" name="Valeur" dataDxfId="437" dataCellStyle="Milliers"/>
    <tableColumn id="4" name="Total" dataDxfId="436">
      <calculatedColumnFormula>VALUE_Spell_Factory[[#This Row],[Valeur]]*VALUE_Spell_Factory[[#This Row],[Rang]]</calculatedColumnFormula>
    </tableColumn>
  </tableColumns>
  <tableStyleInfo name="TableStyleMedium9" showFirstColumn="0" showLastColumn="0" showRowStripes="1" showColumnStripes="0"/>
</table>
</file>

<file path=xl/tables/table159.xml><?xml version="1.0" encoding="utf-8"?>
<table xmlns="http://schemas.openxmlformats.org/spreadsheetml/2006/main" id="204" name="VALUE_Clan_Castle" displayName="VALUE_Clan_Castle" ref="Z48:AC54" totalsRowShown="0" dataDxfId="434" headerRowBorderDxfId="435" tableBorderDxfId="433" totalsRowBorderDxfId="432">
  <autoFilter ref="Z48:AC54"/>
  <tableColumns count="4">
    <tableColumn id="1" name="LVL" dataDxfId="431"/>
    <tableColumn id="3" name="Rang" dataDxfId="430">
      <calculatedColumnFormula>Paramètres!AD6</calculatedColumnFormula>
    </tableColumn>
    <tableColumn id="2" name="Valeur" dataDxfId="429"/>
    <tableColumn id="4" name="Total" dataDxfId="428">
      <calculatedColumnFormula>VALUE_Clan_Castle[[#This Row],[Valeur]]*VALUE_Clan_Castle[[#This Row],[Rang]]</calculatedColumnFormula>
    </tableColumn>
  </tableColumns>
  <tableStyleInfo name="TableStyleMedium9" showFirstColumn="0" showLastColumn="0" showRowStripes="1" showColumnStripes="0"/>
</table>
</file>

<file path=xl/tables/table160.xml><?xml version="1.0" encoding="utf-8"?>
<table xmlns="http://schemas.openxmlformats.org/spreadsheetml/2006/main" id="205" name="VALUE_Wizard_Tower" displayName="VALUE_Wizard_Tower" ref="U80:X88" totalsRowShown="0" headerRowDxfId="427" dataDxfId="425" headerRowBorderDxfId="426" tableBorderDxfId="424">
  <autoFilter ref="U80:X88"/>
  <tableColumns count="4">
    <tableColumn id="1" name="LVL" dataDxfId="423"/>
    <tableColumn id="4" name="Rang" dataDxfId="422">
      <calculatedColumnFormula>Paramètres!S6</calculatedColumnFormula>
    </tableColumn>
    <tableColumn id="2" name="Valeur" dataDxfId="421" dataCellStyle="Milliers"/>
    <tableColumn id="3" name="Total" dataDxfId="420">
      <calculatedColumnFormula>VALUE_Wizard_Tower[[#This Row],[Valeur]]*VALUE_Wizard_Tower[[#This Row],[Rang]]</calculatedColumnFormula>
    </tableColumn>
  </tableColumns>
  <tableStyleInfo name="TableStyleMedium9" showFirstColumn="0" showLastColumn="0" showRowStripes="1" showColumnStripes="0"/>
</table>
</file>

<file path=xl/tables/table161.xml><?xml version="1.0" encoding="utf-8"?>
<table xmlns="http://schemas.openxmlformats.org/spreadsheetml/2006/main" id="206" name="VALUE_Mortar" displayName="VALUE_Mortar" ref="M80:P88" totalsRowShown="0" headerRowDxfId="419" dataDxfId="417" headerRowBorderDxfId="418" tableBorderDxfId="416">
  <autoFilter ref="M80:P88"/>
  <tableColumns count="4">
    <tableColumn id="1" name="LVL" dataDxfId="415"/>
    <tableColumn id="3" name="Rang" dataDxfId="414">
      <calculatedColumnFormula>Paramètres!Q6</calculatedColumnFormula>
    </tableColumn>
    <tableColumn id="2" name="Valeur" dataDxfId="413" dataCellStyle="Milliers"/>
    <tableColumn id="4" name="Total" dataDxfId="412">
      <calculatedColumnFormula>VALUE_Mortar[[#This Row],[Valeur]]*VALUE_Mortar[[#This Row],[Rang]]</calculatedColumnFormula>
    </tableColumn>
  </tableColumns>
  <tableStyleInfo name="TableStyleMedium9" showFirstColumn="0" showLastColumn="0" showRowStripes="1" showColumnStripes="0"/>
</table>
</file>

<file path=xl/tables/table162.xml><?xml version="1.0" encoding="utf-8"?>
<table xmlns="http://schemas.openxmlformats.org/spreadsheetml/2006/main" id="207" name="VALUE_Air_Defense" displayName="VALUE_Air_Defense" ref="Q80:T88" totalsRowShown="0" headerRowDxfId="411" headerRowBorderDxfId="410" tableBorderDxfId="409">
  <autoFilter ref="Q80:T88"/>
  <tableColumns count="4">
    <tableColumn id="1" name="LVL" dataDxfId="408"/>
    <tableColumn id="3" name="Rang" dataDxfId="407">
      <calculatedColumnFormula>Paramètres!R6</calculatedColumnFormula>
    </tableColumn>
    <tableColumn id="2" name="Valeur" dataDxfId="406" dataCellStyle="Milliers"/>
    <tableColumn id="4" name="Total" dataDxfId="405">
      <calculatedColumnFormula>VALUE_Air_Defense[[#This Row],[Valeur]]*VALUE_Air_Defense[[#This Row],[Rang]]</calculatedColumnFormula>
    </tableColumn>
  </tableColumns>
  <tableStyleInfo name="TableStyleMedium9" showFirstColumn="0" showLastColumn="0" showRowStripes="1" showColumnStripes="0"/>
</table>
</file>

<file path=xl/tables/table163.xml><?xml version="1.0" encoding="utf-8"?>
<table xmlns="http://schemas.openxmlformats.org/spreadsheetml/2006/main" id="208" name="VALUE_Cannon" displayName="VALUE_Cannon" ref="E80:H93" totalsRowShown="0" headerRowDxfId="404" dataDxfId="402" headerRowBorderDxfId="403" tableBorderDxfId="401" totalsRowBorderDxfId="400">
  <autoFilter ref="E80:H93"/>
  <tableColumns count="4">
    <tableColumn id="1" name="LVL" dataDxfId="399"/>
    <tableColumn id="3" name="Rang" dataDxfId="398">
      <calculatedColumnFormula>Paramètres!O6</calculatedColumnFormula>
    </tableColumn>
    <tableColumn id="2" name="Valeur" dataDxfId="397" dataCellStyle="Milliers"/>
    <tableColumn id="4" name="Total" dataDxfId="396">
      <calculatedColumnFormula>VALUE_Cannon[[#This Row],[Valeur]]*VALUE_Cannon[[#This Row],[Rang]]</calculatedColumnFormula>
    </tableColumn>
  </tableColumns>
  <tableStyleInfo name="TableStyleMedium9" showFirstColumn="0" showLastColumn="0" showRowStripes="1" showColumnStripes="0"/>
</table>
</file>

<file path=xl/tables/table164.xml><?xml version="1.0" encoding="utf-8"?>
<table xmlns="http://schemas.openxmlformats.org/spreadsheetml/2006/main" id="209" name="VALUE_Archer_Tower" displayName="VALUE_Archer_Tower" ref="I80:L93" totalsRowShown="0" headerRowDxfId="395" dataDxfId="393" headerRowBorderDxfId="394" tableBorderDxfId="392" totalsRowBorderDxfId="391">
  <autoFilter ref="I80:L93"/>
  <tableColumns count="4">
    <tableColumn id="1" name="LVL" dataDxfId="390"/>
    <tableColumn id="3" name="Rang" dataDxfId="389">
      <calculatedColumnFormula>Paramètres!P6</calculatedColumnFormula>
    </tableColumn>
    <tableColumn id="2" name="Valeur" dataDxfId="388" dataCellStyle="Milliers"/>
    <tableColumn id="4" name="Total" dataDxfId="387">
      <calculatedColumnFormula>VALUE_Archer_Tower[[#This Row],[Valeur]]*VALUE_Archer_Tower[[#This Row],[Rang]]</calculatedColumnFormula>
    </tableColumn>
  </tableColumns>
  <tableStyleInfo name="TableStyleMedium9" showFirstColumn="0" showLastColumn="0" showRowStripes="1" showColumnStripes="0"/>
</table>
</file>

<file path=xl/tables/table165.xml><?xml version="1.0" encoding="utf-8"?>
<table xmlns="http://schemas.openxmlformats.org/spreadsheetml/2006/main" id="210" name="VALUE_Wall" displayName="VALUE_Wall" ref="A80:D91" totalsRowShown="0" headerRowDxfId="386" dataDxfId="384" headerRowBorderDxfId="385" tableBorderDxfId="383" totalsRowBorderDxfId="382">
  <autoFilter ref="A80:D91"/>
  <tableColumns count="4">
    <tableColumn id="1" name="LVL" dataDxfId="381"/>
    <tableColumn id="3" name="Rang" dataDxfId="380">
      <calculatedColumnFormula>Paramètres!N6</calculatedColumnFormula>
    </tableColumn>
    <tableColumn id="2" name="Valeur" dataDxfId="379" dataCellStyle="Milliers"/>
    <tableColumn id="4" name="Total" dataDxfId="378">
      <calculatedColumnFormula>VALUE_Wall[[#This Row],[Valeur]]*VALUE_Wall[[#This Row],[Rang]]</calculatedColumnFormula>
    </tableColumn>
  </tableColumns>
  <tableStyleInfo name="TableStyleMedium9" showFirstColumn="0" showLastColumn="0" showRowStripes="1" showColumnStripes="0"/>
</table>
</file>

<file path=xl/tables/table166.xml><?xml version="1.0" encoding="utf-8"?>
<table xmlns="http://schemas.openxmlformats.org/spreadsheetml/2006/main" id="211" name="VALUE_Hidden_Tesla" displayName="VALUE_Hidden_Tesla" ref="AC80:AF88" totalsRowShown="0" headerRowDxfId="377" dataDxfId="375" headerRowBorderDxfId="376" tableBorderDxfId="374" totalsRowBorderDxfId="373">
  <autoFilter ref="AC80:AF88"/>
  <tableColumns count="4">
    <tableColumn id="1" name="LVL" dataDxfId="372"/>
    <tableColumn id="3" name="Rang" dataDxfId="371">
      <calculatedColumnFormula>Paramètres!U6</calculatedColumnFormula>
    </tableColumn>
    <tableColumn id="2" name="Valeur" dataDxfId="370" dataCellStyle="Milliers"/>
    <tableColumn id="4" name="Total" dataDxfId="369">
      <calculatedColumnFormula>VALUE_Hidden_Tesla[[#This Row],[Valeur]]*VALUE_Hidden_Tesla[[#This Row],[Rang]]</calculatedColumnFormula>
    </tableColumn>
  </tableColumns>
  <tableStyleInfo name="TableStyleMedium9" showFirstColumn="0" showLastColumn="0" showRowStripes="1" showColumnStripes="0"/>
</table>
</file>

<file path=xl/tables/table167.xml><?xml version="1.0" encoding="utf-8"?>
<table xmlns="http://schemas.openxmlformats.org/spreadsheetml/2006/main" id="212" name="VALUE_XBow" displayName="VALUE_XBow" ref="AG80:AJ84" totalsRowShown="0" headerRowDxfId="368" dataDxfId="366" headerRowBorderDxfId="367" tableBorderDxfId="365" totalsRowBorderDxfId="364">
  <autoFilter ref="AG80:AJ84"/>
  <tableColumns count="4">
    <tableColumn id="1" name="LVL" dataDxfId="363"/>
    <tableColumn id="3" name="Rang" dataDxfId="362">
      <calculatedColumnFormula>Paramètres!V6</calculatedColumnFormula>
    </tableColumn>
    <tableColumn id="2" name="Valeur" dataDxfId="361" dataCellStyle="Milliers"/>
    <tableColumn id="4" name="Total" dataDxfId="360">
      <calculatedColumnFormula>VALUE_XBow[[#This Row],[Valeur]]*VALUE_XBow[[#This Row],[Rang]]</calculatedColumnFormula>
    </tableColumn>
  </tableColumns>
  <tableStyleInfo name="TableStyleMedium9" showFirstColumn="0" showLastColumn="0" showRowStripes="1" showColumnStripes="0"/>
</table>
</file>

<file path=xl/tables/table168.xml><?xml version="1.0" encoding="utf-8"?>
<table xmlns="http://schemas.openxmlformats.org/spreadsheetml/2006/main" id="213" name="VALUE_Inferno_Tower" displayName="VALUE_Inferno_Tower" ref="AK80:AN83" totalsRowShown="0" headerRowDxfId="359" dataDxfId="357" headerRowBorderDxfId="358" tableBorderDxfId="356" totalsRowBorderDxfId="355">
  <autoFilter ref="AK80:AN83"/>
  <tableColumns count="4">
    <tableColumn id="1" name="LVL" dataDxfId="354"/>
    <tableColumn id="3" name="Rang" dataDxfId="353">
      <calculatedColumnFormula>Paramètres!AK6</calculatedColumnFormula>
    </tableColumn>
    <tableColumn id="2" name="Valeur" dataDxfId="352" dataCellStyle="Milliers"/>
    <tableColumn id="4" name="Total" dataDxfId="351">
      <calculatedColumnFormula>VALUE_Inferno_Tower[[#This Row],[Valeur]]*VALUE_Inferno_Tower[[#This Row],[Rang]]</calculatedColumnFormula>
    </tableColumn>
  </tableColumns>
  <tableStyleInfo name="TableStyleMedium9" showFirstColumn="0" showLastColumn="0" showRowStripes="1" showColumnStripes="0"/>
</table>
</file>

<file path=xl/tables/table169.xml><?xml version="1.0" encoding="utf-8"?>
<table xmlns="http://schemas.openxmlformats.org/spreadsheetml/2006/main" id="214" name="VALUE_Barbarian_King" displayName="VALUE_Barbarian_King" ref="A109:D149" totalsRowShown="0" headerRowDxfId="350" dataDxfId="348" headerRowBorderDxfId="349" tableBorderDxfId="347" totalsRowBorderDxfId="346">
  <autoFilter ref="A109:D149"/>
  <tableColumns count="4">
    <tableColumn id="1" name="LVL" dataDxfId="345"/>
    <tableColumn id="3" name="Rang" dataDxfId="344">
      <calculatedColumnFormula>Paramètres!BF6</calculatedColumnFormula>
    </tableColumn>
    <tableColumn id="2" name="Valeur" dataDxfId="343" dataCellStyle="Milliers"/>
    <tableColumn id="4" name="Total" dataDxfId="342">
      <calculatedColumnFormula>VALUE_Barbarian_King[[#This Row],[Valeur]]*VALUE_Barbarian_King[[#This Row],[Rang]]</calculatedColumnFormula>
    </tableColumn>
  </tableColumns>
  <tableStyleInfo name="TableStyleMedium9" showFirstColumn="0" showLastColumn="0" showRowStripes="1" showColumnStripes="0"/>
</table>
</file>

<file path=xl/tables/table170.xml><?xml version="1.0" encoding="utf-8"?>
<table xmlns="http://schemas.openxmlformats.org/spreadsheetml/2006/main" id="215" name="VALUE_Archer_Queen" displayName="VALUE_Archer_Queen" ref="E109:H149" totalsRowShown="0" headerRowDxfId="341" dataDxfId="339" headerRowBorderDxfId="340" tableBorderDxfId="338" totalsRowBorderDxfId="337">
  <autoFilter ref="E109:H149"/>
  <tableColumns count="4">
    <tableColumn id="1" name="LVL" dataDxfId="336"/>
    <tableColumn id="3" name="Rang" dataDxfId="335">
      <calculatedColumnFormula>Paramètres!BG6</calculatedColumnFormula>
    </tableColumn>
    <tableColumn id="2" name="Valeur" dataDxfId="334" dataCellStyle="Milliers"/>
    <tableColumn id="4" name="Total" dataDxfId="333">
      <calculatedColumnFormula>VALUE_Archer_Queen[[#This Row],[Valeur]]*VALUE_Archer_Queen[[#This Row],[Rang]]</calculatedColumnFormula>
    </tableColumn>
  </tableColumns>
  <tableStyleInfo name="TableStyleMedium9" showFirstColumn="0" showLastColumn="0" showRowStripes="1" showColumnStripes="0"/>
</table>
</file>

<file path=xl/tables/table171.xml><?xml version="1.0" encoding="utf-8"?>
<table xmlns="http://schemas.openxmlformats.org/spreadsheetml/2006/main" id="216" name="VALUE_Town_Home" displayName="VALUE_Town_Home" ref="AD48:AG58" totalsRowShown="0" dataDxfId="331" headerRowBorderDxfId="332" tableBorderDxfId="330" totalsRowBorderDxfId="329">
  <autoFilter ref="AD48:AG58"/>
  <tableColumns count="4">
    <tableColumn id="1" name="LVL" dataDxfId="328"/>
    <tableColumn id="3" name="Rang" dataDxfId="327">
      <calculatedColumnFormula>Paramètres!AE6</calculatedColumnFormula>
    </tableColumn>
    <tableColumn id="2" name="Valeur" dataDxfId="326"/>
    <tableColumn id="4" name="Total" dataDxfId="325">
      <calculatedColumnFormula>VALUE_Town_Home[[#This Row],[Valeur]]*VALUE_Town_Home[[#This Row],[Rang]]</calculatedColumnFormula>
    </tableColumn>
  </tableColumns>
  <tableStyleInfo name="TableStyleMedium9" showFirstColumn="0" showLastColumn="0" showRowStripes="1" showColumnStripes="0"/>
</table>
</file>

<file path=xl/tables/table172.xml><?xml version="1.0" encoding="utf-8"?>
<table xmlns="http://schemas.openxmlformats.org/spreadsheetml/2006/main" id="237" name="VALUE_Giant_Bomb" displayName="VALUE_Giant_Bomb" ref="I98:L102" totalsRowShown="0" headerRowDxfId="324" headerRowBorderDxfId="323" tableBorderDxfId="322">
  <autoFilter ref="I98:L102"/>
  <tableColumns count="4">
    <tableColumn id="1" name="LVL" dataDxfId="321"/>
    <tableColumn id="3" name="Rang" dataDxfId="320">
      <calculatedColumnFormula>Paramètres!Z6</calculatedColumnFormula>
    </tableColumn>
    <tableColumn id="2" name="Valeur" dataDxfId="319" dataCellStyle="Milliers"/>
    <tableColumn id="4" name="Total" dataDxfId="318">
      <calculatedColumnFormula>VALUE_Giant_Bomb[[#This Row],[Valeur]]*VALUE_Giant_Bomb[[#This Row],[Rang]]</calculatedColumnFormula>
    </tableColumn>
  </tableColumns>
  <tableStyleInfo name="TableStyleMedium9" showFirstColumn="0" showLastColumn="0" showRowStripes="1" showColumnStripes="0"/>
</table>
</file>

<file path=xl/tables/table173.xml><?xml version="1.0" encoding="utf-8"?>
<table xmlns="http://schemas.openxmlformats.org/spreadsheetml/2006/main" id="238" name="VALUE_Spring_Trap" displayName="VALUE_Spring_Trap" ref="E98:H99" totalsRowShown="0" headerRowDxfId="317" headerRowBorderDxfId="316" tableBorderDxfId="315">
  <autoFilter ref="E98:H99"/>
  <tableColumns count="4">
    <tableColumn id="1" name="LVL" dataDxfId="314"/>
    <tableColumn id="3" name="Rang" dataDxfId="313">
      <calculatedColumnFormula>Paramètres!Y6</calculatedColumnFormula>
    </tableColumn>
    <tableColumn id="2" name="Valeur" dataDxfId="312" dataCellStyle="Milliers"/>
    <tableColumn id="4" name="Total" dataDxfId="311">
      <calculatedColumnFormula>VALUE_Spring_Trap[Valeur]*VALUE_Spring_Trap[Rang]</calculatedColumnFormula>
    </tableColumn>
  </tableColumns>
  <tableStyleInfo name="TableStyleMedium9" showFirstColumn="0" showLastColumn="0" showRowStripes="1" showColumnStripes="0"/>
</table>
</file>

<file path=xl/tables/table174.xml><?xml version="1.0" encoding="utf-8"?>
<table xmlns="http://schemas.openxmlformats.org/spreadsheetml/2006/main" id="239" name="VALUE_Bomb" displayName="VALUE_Bomb" ref="A98:D104" totalsRowShown="0" headerRowDxfId="310" headerRowBorderDxfId="309" tableBorderDxfId="308" totalsRowBorderDxfId="307">
  <autoFilter ref="A98:D104"/>
  <tableColumns count="4">
    <tableColumn id="1" name="LVL" dataDxfId="306"/>
    <tableColumn id="4" name="Rang" dataDxfId="305">
      <calculatedColumnFormula>Paramètres!X6</calculatedColumnFormula>
    </tableColumn>
    <tableColumn id="2" name="Valeur" dataDxfId="304" dataCellStyle="Milliers"/>
    <tableColumn id="3" name="Total" dataDxfId="303">
      <calculatedColumnFormula>VALUE_Bomb[[#This Row],[Valeur]]*VALUE_Bomb[[#This Row],[Rang]]</calculatedColumnFormula>
    </tableColumn>
  </tableColumns>
  <tableStyleInfo name="TableStyleMedium15" showFirstColumn="0" showLastColumn="0" showRowStripes="1" showColumnStripes="0"/>
</table>
</file>

<file path=xl/tables/table175.xml><?xml version="1.0" encoding="utf-8"?>
<table xmlns="http://schemas.openxmlformats.org/spreadsheetml/2006/main" id="240" name="VALUE_Air_Bomb" displayName="VALUE_Air_Bomb" ref="M98:P102" totalsRowShown="0" headerRowDxfId="302" headerRowBorderDxfId="301" tableBorderDxfId="300">
  <autoFilter ref="M98:P102"/>
  <tableColumns count="4">
    <tableColumn id="1" name="LVL" dataDxfId="299"/>
    <tableColumn id="4" name="Rang" dataDxfId="298">
      <calculatedColumnFormula>Paramètres!AA6</calculatedColumnFormula>
    </tableColumn>
    <tableColumn id="2" name="Valeur" dataDxfId="297" dataCellStyle="Milliers"/>
    <tableColumn id="3" name="Total" dataDxfId="296">
      <calculatedColumnFormula>VALUE_Air_Bomb[[#This Row],[Valeur]]*VALUE_Air_Bomb[[#This Row],[Rang]]</calculatedColumnFormula>
    </tableColumn>
  </tableColumns>
  <tableStyleInfo name="TableStyleLight9" showFirstColumn="0" showLastColumn="0" showRowStripes="1" showColumnStripes="0"/>
</table>
</file>

<file path=xl/tables/table176.xml><?xml version="1.0" encoding="utf-8"?>
<table xmlns="http://schemas.openxmlformats.org/spreadsheetml/2006/main" id="241" name="VALUE_Seeking_Air_Mine" displayName="VALUE_Seeking_Air_Mine" ref="Q98:T101" totalsRowShown="0" headerRowDxfId="295" headerRowBorderDxfId="294" tableBorderDxfId="293">
  <autoFilter ref="Q98:T101"/>
  <tableColumns count="4">
    <tableColumn id="1" name="LVL" dataDxfId="292"/>
    <tableColumn id="4" name="Rang" dataDxfId="291">
      <calculatedColumnFormula>Paramètres!AB6</calculatedColumnFormula>
    </tableColumn>
    <tableColumn id="2" name="Valeur" dataDxfId="290" dataCellStyle="Milliers"/>
    <tableColumn id="3" name="Total" dataDxfId="289">
      <calculatedColumnFormula>VALUE_Seeking_Air_Mine[[#This Row],[Valeur]]*VALUE_Seeking_Air_Mine[[#This Row],[Rang]]</calculatedColumnFormula>
    </tableColumn>
  </tableColumns>
  <tableStyleInfo name="TableStyleLight9" showFirstColumn="0" showLastColumn="0" showRowStripes="1" showColumnStripes="0"/>
</table>
</file>

<file path=xl/tables/table177.xml><?xml version="1.0" encoding="utf-8"?>
<table xmlns="http://schemas.openxmlformats.org/spreadsheetml/2006/main" id="242" name="VALUE_Skeleton_Trap" displayName="VALUE_Skeleton_Trap" ref="U98:X101" totalsRowShown="0" headerRowDxfId="288" headerRowBorderDxfId="287" tableBorderDxfId="286">
  <autoFilter ref="U98:X101"/>
  <tableColumns count="4">
    <tableColumn id="1" name="LVL" dataDxfId="285"/>
    <tableColumn id="4" name="Rang" dataDxfId="284">
      <calculatedColumnFormula>Paramètres!AC6</calculatedColumnFormula>
    </tableColumn>
    <tableColumn id="2" name="Valeur" dataDxfId="283" dataCellStyle="Milliers"/>
    <tableColumn id="3" name="Total" dataDxfId="282">
      <calculatedColumnFormula>VALUE_Skeleton_Trap[[#This Row],[Valeur]]*VALUE_Skeleton_Trap[[#This Row],[Rang]]</calculatedColumnFormula>
    </tableColumn>
  </tableColumns>
  <tableStyleInfo name="TableStyleLight9" showFirstColumn="0" showLastColumn="0" showRowStripes="1" showColumnStripes="0"/>
</table>
</file>

<file path=xl/tables/table178.xml><?xml version="1.0" encoding="utf-8"?>
<table xmlns="http://schemas.openxmlformats.org/spreadsheetml/2006/main" id="244" name="VALUE_Air_Sweeper" displayName="VALUE_Air_Sweeper" ref="Y80:AB86" totalsRowShown="0" headerRowDxfId="281" dataDxfId="279" headerRowBorderDxfId="280" tableBorderDxfId="278" totalsRowBorderDxfId="277">
  <autoFilter ref="Y80:AB86"/>
  <tableColumns count="4">
    <tableColumn id="1" name="LVL" dataDxfId="276"/>
    <tableColumn id="3" name="Rang" dataDxfId="275">
      <calculatedColumnFormula>Paramètres!T6</calculatedColumnFormula>
    </tableColumn>
    <tableColumn id="2" name="Valeur" dataDxfId="274" dataCellStyle="Milliers"/>
    <tableColumn id="4" name="Total" dataDxfId="273">
      <calculatedColumnFormula>VALUE_Air_Sweeper[[#This Row],[Valeur]]*VALUE_Air_Sweeper[[#This Row],[Rang]]</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printerSettings" Target="../printerSettings/printerSettings7.bin"/><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table" Target="../tables/table18.xml"/><Relationship Id="rId13" Type="http://schemas.openxmlformats.org/officeDocument/2006/relationships/table" Target="../tables/table23.xml"/><Relationship Id="rId3" Type="http://schemas.openxmlformats.org/officeDocument/2006/relationships/table" Target="../tables/table13.xml"/><Relationship Id="rId7" Type="http://schemas.openxmlformats.org/officeDocument/2006/relationships/table" Target="../tables/table17.xml"/><Relationship Id="rId12" Type="http://schemas.openxmlformats.org/officeDocument/2006/relationships/table" Target="../tables/table22.xml"/><Relationship Id="rId17" Type="http://schemas.openxmlformats.org/officeDocument/2006/relationships/table" Target="../tables/table27.xml"/><Relationship Id="rId2" Type="http://schemas.openxmlformats.org/officeDocument/2006/relationships/table" Target="../tables/table12.xml"/><Relationship Id="rId16" Type="http://schemas.openxmlformats.org/officeDocument/2006/relationships/table" Target="../tables/table26.xml"/><Relationship Id="rId1" Type="http://schemas.openxmlformats.org/officeDocument/2006/relationships/printerSettings" Target="../printerSettings/printerSettings9.bin"/><Relationship Id="rId6" Type="http://schemas.openxmlformats.org/officeDocument/2006/relationships/table" Target="../tables/table16.xml"/><Relationship Id="rId11" Type="http://schemas.openxmlformats.org/officeDocument/2006/relationships/table" Target="../tables/table21.xml"/><Relationship Id="rId5" Type="http://schemas.openxmlformats.org/officeDocument/2006/relationships/table" Target="../tables/table15.xml"/><Relationship Id="rId15" Type="http://schemas.openxmlformats.org/officeDocument/2006/relationships/table" Target="../tables/table25.xml"/><Relationship Id="rId10" Type="http://schemas.openxmlformats.org/officeDocument/2006/relationships/table" Target="../tables/table20.xml"/><Relationship Id="rId4" Type="http://schemas.openxmlformats.org/officeDocument/2006/relationships/table" Target="../tables/table14.xml"/><Relationship Id="rId9" Type="http://schemas.openxmlformats.org/officeDocument/2006/relationships/table" Target="../tables/table19.xml"/><Relationship Id="rId14" Type="http://schemas.openxmlformats.org/officeDocument/2006/relationships/table" Target="../tables/table24.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29.xml"/><Relationship Id="rId2" Type="http://schemas.openxmlformats.org/officeDocument/2006/relationships/table" Target="../tables/table2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3" Type="http://schemas.openxmlformats.org/officeDocument/2006/relationships/table" Target="../tables/table41.xml"/><Relationship Id="rId18" Type="http://schemas.openxmlformats.org/officeDocument/2006/relationships/table" Target="../tables/table46.xml"/><Relationship Id="rId26" Type="http://schemas.openxmlformats.org/officeDocument/2006/relationships/table" Target="../tables/table54.xml"/><Relationship Id="rId39" Type="http://schemas.openxmlformats.org/officeDocument/2006/relationships/table" Target="../tables/table67.xml"/><Relationship Id="rId21" Type="http://schemas.openxmlformats.org/officeDocument/2006/relationships/table" Target="../tables/table49.xml"/><Relationship Id="rId34" Type="http://schemas.openxmlformats.org/officeDocument/2006/relationships/table" Target="../tables/table62.xml"/><Relationship Id="rId42" Type="http://schemas.openxmlformats.org/officeDocument/2006/relationships/table" Target="../tables/table70.xml"/><Relationship Id="rId47" Type="http://schemas.openxmlformats.org/officeDocument/2006/relationships/table" Target="../tables/table75.xml"/><Relationship Id="rId50" Type="http://schemas.openxmlformats.org/officeDocument/2006/relationships/table" Target="../tables/table78.xml"/><Relationship Id="rId55" Type="http://schemas.openxmlformats.org/officeDocument/2006/relationships/table" Target="../tables/table83.xml"/><Relationship Id="rId7" Type="http://schemas.openxmlformats.org/officeDocument/2006/relationships/table" Target="../tables/table35.xml"/><Relationship Id="rId2" Type="http://schemas.openxmlformats.org/officeDocument/2006/relationships/table" Target="../tables/table30.xml"/><Relationship Id="rId16" Type="http://schemas.openxmlformats.org/officeDocument/2006/relationships/table" Target="../tables/table44.xml"/><Relationship Id="rId29" Type="http://schemas.openxmlformats.org/officeDocument/2006/relationships/table" Target="../tables/table57.xml"/><Relationship Id="rId11" Type="http://schemas.openxmlformats.org/officeDocument/2006/relationships/table" Target="../tables/table39.xml"/><Relationship Id="rId24" Type="http://schemas.openxmlformats.org/officeDocument/2006/relationships/table" Target="../tables/table52.xml"/><Relationship Id="rId32" Type="http://schemas.openxmlformats.org/officeDocument/2006/relationships/table" Target="../tables/table60.xml"/><Relationship Id="rId37" Type="http://schemas.openxmlformats.org/officeDocument/2006/relationships/table" Target="../tables/table65.xml"/><Relationship Id="rId40" Type="http://schemas.openxmlformats.org/officeDocument/2006/relationships/table" Target="../tables/table68.xml"/><Relationship Id="rId45" Type="http://schemas.openxmlformats.org/officeDocument/2006/relationships/table" Target="../tables/table73.xml"/><Relationship Id="rId53" Type="http://schemas.openxmlformats.org/officeDocument/2006/relationships/table" Target="../tables/table81.xml"/><Relationship Id="rId5" Type="http://schemas.openxmlformats.org/officeDocument/2006/relationships/table" Target="../tables/table33.xml"/><Relationship Id="rId19" Type="http://schemas.openxmlformats.org/officeDocument/2006/relationships/table" Target="../tables/table47.xml"/><Relationship Id="rId4" Type="http://schemas.openxmlformats.org/officeDocument/2006/relationships/table" Target="../tables/table32.xml"/><Relationship Id="rId9" Type="http://schemas.openxmlformats.org/officeDocument/2006/relationships/table" Target="../tables/table37.xml"/><Relationship Id="rId14" Type="http://schemas.openxmlformats.org/officeDocument/2006/relationships/table" Target="../tables/table42.xml"/><Relationship Id="rId22" Type="http://schemas.openxmlformats.org/officeDocument/2006/relationships/table" Target="../tables/table50.xml"/><Relationship Id="rId27" Type="http://schemas.openxmlformats.org/officeDocument/2006/relationships/table" Target="../tables/table55.xml"/><Relationship Id="rId30" Type="http://schemas.openxmlformats.org/officeDocument/2006/relationships/table" Target="../tables/table58.xml"/><Relationship Id="rId35" Type="http://schemas.openxmlformats.org/officeDocument/2006/relationships/table" Target="../tables/table63.xml"/><Relationship Id="rId43" Type="http://schemas.openxmlformats.org/officeDocument/2006/relationships/table" Target="../tables/table71.xml"/><Relationship Id="rId48" Type="http://schemas.openxmlformats.org/officeDocument/2006/relationships/table" Target="../tables/table76.xml"/><Relationship Id="rId56" Type="http://schemas.openxmlformats.org/officeDocument/2006/relationships/table" Target="../tables/table84.xml"/><Relationship Id="rId8" Type="http://schemas.openxmlformats.org/officeDocument/2006/relationships/table" Target="../tables/table36.xml"/><Relationship Id="rId51" Type="http://schemas.openxmlformats.org/officeDocument/2006/relationships/table" Target="../tables/table79.xml"/><Relationship Id="rId3" Type="http://schemas.openxmlformats.org/officeDocument/2006/relationships/table" Target="../tables/table31.xml"/><Relationship Id="rId12" Type="http://schemas.openxmlformats.org/officeDocument/2006/relationships/table" Target="../tables/table40.xml"/><Relationship Id="rId17" Type="http://schemas.openxmlformats.org/officeDocument/2006/relationships/table" Target="../tables/table45.xml"/><Relationship Id="rId25" Type="http://schemas.openxmlformats.org/officeDocument/2006/relationships/table" Target="../tables/table53.xml"/><Relationship Id="rId33" Type="http://schemas.openxmlformats.org/officeDocument/2006/relationships/table" Target="../tables/table61.xml"/><Relationship Id="rId38" Type="http://schemas.openxmlformats.org/officeDocument/2006/relationships/table" Target="../tables/table66.xml"/><Relationship Id="rId46" Type="http://schemas.openxmlformats.org/officeDocument/2006/relationships/table" Target="../tables/table74.xml"/><Relationship Id="rId20" Type="http://schemas.openxmlformats.org/officeDocument/2006/relationships/table" Target="../tables/table48.xml"/><Relationship Id="rId41" Type="http://schemas.openxmlformats.org/officeDocument/2006/relationships/table" Target="../tables/table69.xml"/><Relationship Id="rId54" Type="http://schemas.openxmlformats.org/officeDocument/2006/relationships/table" Target="../tables/table82.xml"/><Relationship Id="rId1" Type="http://schemas.openxmlformats.org/officeDocument/2006/relationships/printerSettings" Target="../printerSettings/printerSettings11.bin"/><Relationship Id="rId6" Type="http://schemas.openxmlformats.org/officeDocument/2006/relationships/table" Target="../tables/table34.xml"/><Relationship Id="rId15" Type="http://schemas.openxmlformats.org/officeDocument/2006/relationships/table" Target="../tables/table43.xml"/><Relationship Id="rId23" Type="http://schemas.openxmlformats.org/officeDocument/2006/relationships/table" Target="../tables/table51.xml"/><Relationship Id="rId28" Type="http://schemas.openxmlformats.org/officeDocument/2006/relationships/table" Target="../tables/table56.xml"/><Relationship Id="rId36" Type="http://schemas.openxmlformats.org/officeDocument/2006/relationships/table" Target="../tables/table64.xml"/><Relationship Id="rId49" Type="http://schemas.openxmlformats.org/officeDocument/2006/relationships/table" Target="../tables/table77.xml"/><Relationship Id="rId57" Type="http://schemas.openxmlformats.org/officeDocument/2006/relationships/table" Target="../tables/table85.xml"/><Relationship Id="rId10" Type="http://schemas.openxmlformats.org/officeDocument/2006/relationships/table" Target="../tables/table38.xml"/><Relationship Id="rId31" Type="http://schemas.openxmlformats.org/officeDocument/2006/relationships/table" Target="../tables/table59.xml"/><Relationship Id="rId44" Type="http://schemas.openxmlformats.org/officeDocument/2006/relationships/table" Target="../tables/table72.xml"/><Relationship Id="rId52" Type="http://schemas.openxmlformats.org/officeDocument/2006/relationships/table" Target="../tables/table80.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87.xml"/><Relationship Id="rId7" Type="http://schemas.openxmlformats.org/officeDocument/2006/relationships/table" Target="../tables/table91.xml"/><Relationship Id="rId2" Type="http://schemas.openxmlformats.org/officeDocument/2006/relationships/table" Target="../tables/table86.xml"/><Relationship Id="rId1" Type="http://schemas.openxmlformats.org/officeDocument/2006/relationships/printerSettings" Target="../printerSettings/printerSettings12.bin"/><Relationship Id="rId6" Type="http://schemas.openxmlformats.org/officeDocument/2006/relationships/table" Target="../tables/table90.xml"/><Relationship Id="rId5" Type="http://schemas.openxmlformats.org/officeDocument/2006/relationships/table" Target="../tables/table89.xml"/><Relationship Id="rId4" Type="http://schemas.openxmlformats.org/officeDocument/2006/relationships/table" Target="../tables/table88.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93.xml"/><Relationship Id="rId2" Type="http://schemas.openxmlformats.org/officeDocument/2006/relationships/table" Target="../tables/table92.xml"/><Relationship Id="rId1" Type="http://schemas.openxmlformats.org/officeDocument/2006/relationships/printerSettings" Target="../printerSettings/printerSettings13.bin"/><Relationship Id="rId4" Type="http://schemas.openxmlformats.org/officeDocument/2006/relationships/table" Target="../tables/table94.xml"/></Relationships>
</file>

<file path=xl/worksheets/_rels/sheet14.xml.rels><?xml version="1.0" encoding="UTF-8" standalone="yes"?>
<Relationships xmlns="http://schemas.openxmlformats.org/package/2006/relationships"><Relationship Id="rId8" Type="http://schemas.openxmlformats.org/officeDocument/2006/relationships/table" Target="../tables/table101.xml"/><Relationship Id="rId13" Type="http://schemas.openxmlformats.org/officeDocument/2006/relationships/table" Target="../tables/table106.xml"/><Relationship Id="rId18" Type="http://schemas.openxmlformats.org/officeDocument/2006/relationships/table" Target="../tables/table111.xml"/><Relationship Id="rId26" Type="http://schemas.openxmlformats.org/officeDocument/2006/relationships/table" Target="../tables/table119.xml"/><Relationship Id="rId3" Type="http://schemas.openxmlformats.org/officeDocument/2006/relationships/table" Target="../tables/table96.xml"/><Relationship Id="rId21" Type="http://schemas.openxmlformats.org/officeDocument/2006/relationships/table" Target="../tables/table114.xml"/><Relationship Id="rId7" Type="http://schemas.openxmlformats.org/officeDocument/2006/relationships/table" Target="../tables/table100.xml"/><Relationship Id="rId12" Type="http://schemas.openxmlformats.org/officeDocument/2006/relationships/table" Target="../tables/table105.xml"/><Relationship Id="rId17" Type="http://schemas.openxmlformats.org/officeDocument/2006/relationships/table" Target="../tables/table110.xml"/><Relationship Id="rId25" Type="http://schemas.openxmlformats.org/officeDocument/2006/relationships/table" Target="../tables/table118.xml"/><Relationship Id="rId2" Type="http://schemas.openxmlformats.org/officeDocument/2006/relationships/table" Target="../tables/table95.xml"/><Relationship Id="rId16" Type="http://schemas.openxmlformats.org/officeDocument/2006/relationships/table" Target="../tables/table109.xml"/><Relationship Id="rId20" Type="http://schemas.openxmlformats.org/officeDocument/2006/relationships/table" Target="../tables/table113.xml"/><Relationship Id="rId29" Type="http://schemas.openxmlformats.org/officeDocument/2006/relationships/table" Target="../tables/table122.xml"/><Relationship Id="rId1" Type="http://schemas.openxmlformats.org/officeDocument/2006/relationships/printerSettings" Target="../printerSettings/printerSettings14.bin"/><Relationship Id="rId6" Type="http://schemas.openxmlformats.org/officeDocument/2006/relationships/table" Target="../tables/table99.xml"/><Relationship Id="rId11" Type="http://schemas.openxmlformats.org/officeDocument/2006/relationships/table" Target="../tables/table104.xml"/><Relationship Id="rId24" Type="http://schemas.openxmlformats.org/officeDocument/2006/relationships/table" Target="../tables/table117.xml"/><Relationship Id="rId5" Type="http://schemas.openxmlformats.org/officeDocument/2006/relationships/table" Target="../tables/table98.xml"/><Relationship Id="rId15" Type="http://schemas.openxmlformats.org/officeDocument/2006/relationships/table" Target="../tables/table108.xml"/><Relationship Id="rId23" Type="http://schemas.openxmlformats.org/officeDocument/2006/relationships/table" Target="../tables/table116.xml"/><Relationship Id="rId28" Type="http://schemas.openxmlformats.org/officeDocument/2006/relationships/table" Target="../tables/table121.xml"/><Relationship Id="rId10" Type="http://schemas.openxmlformats.org/officeDocument/2006/relationships/table" Target="../tables/table103.xml"/><Relationship Id="rId19" Type="http://schemas.openxmlformats.org/officeDocument/2006/relationships/table" Target="../tables/table112.xml"/><Relationship Id="rId4" Type="http://schemas.openxmlformats.org/officeDocument/2006/relationships/table" Target="../tables/table97.xml"/><Relationship Id="rId9" Type="http://schemas.openxmlformats.org/officeDocument/2006/relationships/table" Target="../tables/table102.xml"/><Relationship Id="rId14" Type="http://schemas.openxmlformats.org/officeDocument/2006/relationships/table" Target="../tables/table107.xml"/><Relationship Id="rId22" Type="http://schemas.openxmlformats.org/officeDocument/2006/relationships/table" Target="../tables/table115.xml"/><Relationship Id="rId27" Type="http://schemas.openxmlformats.org/officeDocument/2006/relationships/table" Target="../tables/table120.xml"/><Relationship Id="rId30" Type="http://schemas.openxmlformats.org/officeDocument/2006/relationships/table" Target="../tables/table123.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24.xml"/></Relationships>
</file>

<file path=xl/worksheets/_rels/sheet16.xml.rels><?xml version="1.0" encoding="UTF-8" standalone="yes"?>
<Relationships xmlns="http://schemas.openxmlformats.org/package/2006/relationships"><Relationship Id="rId2" Type="http://schemas.openxmlformats.org/officeDocument/2006/relationships/table" Target="../tables/table12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table" Target="../tables/table126.xml"/><Relationship Id="rId2" Type="http://schemas.openxmlformats.org/officeDocument/2006/relationships/printerSettings" Target="../printerSettings/printerSettings18.bin"/><Relationship Id="rId1" Type="http://schemas.openxmlformats.org/officeDocument/2006/relationships/hyperlink" Target="http://www.fichier-xls.fr/2015/05/30/coc-calcultator-v4-17-04-vierge/" TargetMode="External"/></Relationships>
</file>

<file path=xl/worksheets/_rels/sheet20.xml.rels><?xml version="1.0" encoding="UTF-8" standalone="yes"?>
<Relationships xmlns="http://schemas.openxmlformats.org/package/2006/relationships"><Relationship Id="rId13" Type="http://schemas.openxmlformats.org/officeDocument/2006/relationships/table" Target="../tables/table139.xml"/><Relationship Id="rId18" Type="http://schemas.openxmlformats.org/officeDocument/2006/relationships/table" Target="../tables/table144.xml"/><Relationship Id="rId26" Type="http://schemas.openxmlformats.org/officeDocument/2006/relationships/table" Target="../tables/table152.xml"/><Relationship Id="rId39" Type="http://schemas.openxmlformats.org/officeDocument/2006/relationships/table" Target="../tables/table165.xml"/><Relationship Id="rId21" Type="http://schemas.openxmlformats.org/officeDocument/2006/relationships/table" Target="../tables/table147.xml"/><Relationship Id="rId34" Type="http://schemas.openxmlformats.org/officeDocument/2006/relationships/table" Target="../tables/table160.xml"/><Relationship Id="rId42" Type="http://schemas.openxmlformats.org/officeDocument/2006/relationships/table" Target="../tables/table168.xml"/><Relationship Id="rId47" Type="http://schemas.openxmlformats.org/officeDocument/2006/relationships/table" Target="../tables/table173.xml"/><Relationship Id="rId50" Type="http://schemas.openxmlformats.org/officeDocument/2006/relationships/table" Target="../tables/table176.xml"/><Relationship Id="rId7" Type="http://schemas.openxmlformats.org/officeDocument/2006/relationships/table" Target="../tables/table133.xml"/><Relationship Id="rId2" Type="http://schemas.openxmlformats.org/officeDocument/2006/relationships/table" Target="../tables/table128.xml"/><Relationship Id="rId16" Type="http://schemas.openxmlformats.org/officeDocument/2006/relationships/table" Target="../tables/table142.xml"/><Relationship Id="rId29" Type="http://schemas.openxmlformats.org/officeDocument/2006/relationships/table" Target="../tables/table155.xml"/><Relationship Id="rId11" Type="http://schemas.openxmlformats.org/officeDocument/2006/relationships/table" Target="../tables/table137.xml"/><Relationship Id="rId24" Type="http://schemas.openxmlformats.org/officeDocument/2006/relationships/table" Target="../tables/table150.xml"/><Relationship Id="rId32" Type="http://schemas.openxmlformats.org/officeDocument/2006/relationships/table" Target="../tables/table158.xml"/><Relationship Id="rId37" Type="http://schemas.openxmlformats.org/officeDocument/2006/relationships/table" Target="../tables/table163.xml"/><Relationship Id="rId40" Type="http://schemas.openxmlformats.org/officeDocument/2006/relationships/table" Target="../tables/table166.xml"/><Relationship Id="rId45" Type="http://schemas.openxmlformats.org/officeDocument/2006/relationships/table" Target="../tables/table171.xml"/><Relationship Id="rId5" Type="http://schemas.openxmlformats.org/officeDocument/2006/relationships/table" Target="../tables/table131.xml"/><Relationship Id="rId15" Type="http://schemas.openxmlformats.org/officeDocument/2006/relationships/table" Target="../tables/table141.xml"/><Relationship Id="rId23" Type="http://schemas.openxmlformats.org/officeDocument/2006/relationships/table" Target="../tables/table149.xml"/><Relationship Id="rId28" Type="http://schemas.openxmlformats.org/officeDocument/2006/relationships/table" Target="../tables/table154.xml"/><Relationship Id="rId36" Type="http://schemas.openxmlformats.org/officeDocument/2006/relationships/table" Target="../tables/table162.xml"/><Relationship Id="rId49" Type="http://schemas.openxmlformats.org/officeDocument/2006/relationships/table" Target="../tables/table175.xml"/><Relationship Id="rId10" Type="http://schemas.openxmlformats.org/officeDocument/2006/relationships/table" Target="../tables/table136.xml"/><Relationship Id="rId19" Type="http://schemas.openxmlformats.org/officeDocument/2006/relationships/table" Target="../tables/table145.xml"/><Relationship Id="rId31" Type="http://schemas.openxmlformats.org/officeDocument/2006/relationships/table" Target="../tables/table157.xml"/><Relationship Id="rId44" Type="http://schemas.openxmlformats.org/officeDocument/2006/relationships/table" Target="../tables/table170.xml"/><Relationship Id="rId52" Type="http://schemas.openxmlformats.org/officeDocument/2006/relationships/table" Target="../tables/table178.xml"/><Relationship Id="rId4" Type="http://schemas.openxmlformats.org/officeDocument/2006/relationships/table" Target="../tables/table130.xml"/><Relationship Id="rId9" Type="http://schemas.openxmlformats.org/officeDocument/2006/relationships/table" Target="../tables/table135.xml"/><Relationship Id="rId14" Type="http://schemas.openxmlformats.org/officeDocument/2006/relationships/table" Target="../tables/table140.xml"/><Relationship Id="rId22" Type="http://schemas.openxmlformats.org/officeDocument/2006/relationships/table" Target="../tables/table148.xml"/><Relationship Id="rId27" Type="http://schemas.openxmlformats.org/officeDocument/2006/relationships/table" Target="../tables/table153.xml"/><Relationship Id="rId30" Type="http://schemas.openxmlformats.org/officeDocument/2006/relationships/table" Target="../tables/table156.xml"/><Relationship Id="rId35" Type="http://schemas.openxmlformats.org/officeDocument/2006/relationships/table" Target="../tables/table161.xml"/><Relationship Id="rId43" Type="http://schemas.openxmlformats.org/officeDocument/2006/relationships/table" Target="../tables/table169.xml"/><Relationship Id="rId48" Type="http://schemas.openxmlformats.org/officeDocument/2006/relationships/table" Target="../tables/table174.xml"/><Relationship Id="rId8" Type="http://schemas.openxmlformats.org/officeDocument/2006/relationships/table" Target="../tables/table134.xml"/><Relationship Id="rId51" Type="http://schemas.openxmlformats.org/officeDocument/2006/relationships/table" Target="../tables/table177.xml"/><Relationship Id="rId3" Type="http://schemas.openxmlformats.org/officeDocument/2006/relationships/table" Target="../tables/table129.xml"/><Relationship Id="rId12" Type="http://schemas.openxmlformats.org/officeDocument/2006/relationships/table" Target="../tables/table138.xml"/><Relationship Id="rId17" Type="http://schemas.openxmlformats.org/officeDocument/2006/relationships/table" Target="../tables/table143.xml"/><Relationship Id="rId25" Type="http://schemas.openxmlformats.org/officeDocument/2006/relationships/table" Target="../tables/table151.xml"/><Relationship Id="rId33" Type="http://schemas.openxmlformats.org/officeDocument/2006/relationships/table" Target="../tables/table159.xml"/><Relationship Id="rId38" Type="http://schemas.openxmlformats.org/officeDocument/2006/relationships/table" Target="../tables/table164.xml"/><Relationship Id="rId46" Type="http://schemas.openxmlformats.org/officeDocument/2006/relationships/table" Target="../tables/table172.xml"/><Relationship Id="rId20" Type="http://schemas.openxmlformats.org/officeDocument/2006/relationships/table" Target="../tables/table146.xml"/><Relationship Id="rId41" Type="http://schemas.openxmlformats.org/officeDocument/2006/relationships/table" Target="../tables/table167.xml"/><Relationship Id="rId1" Type="http://schemas.openxmlformats.org/officeDocument/2006/relationships/table" Target="../tables/table127.xml"/><Relationship Id="rId6" Type="http://schemas.openxmlformats.org/officeDocument/2006/relationships/table" Target="../tables/table13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tabColor theme="9" tint="-0.249977111117893"/>
  </sheetPr>
  <dimension ref="A1:BP71"/>
  <sheetViews>
    <sheetView tabSelected="1" zoomScaleNormal="100" workbookViewId="0">
      <pane xSplit="8" ySplit="7" topLeftCell="I18" activePane="bottomRight" state="frozen"/>
      <selection activeCell="A4" sqref="A4"/>
      <selection pane="topRight" activeCell="A4" sqref="A4"/>
      <selection pane="bottomLeft" activeCell="A4" sqref="A4"/>
      <selection pane="bottomRight" activeCell="E2" sqref="E2"/>
    </sheetView>
  </sheetViews>
  <sheetFormatPr baseColWidth="10" defaultColWidth="11.42578125" defaultRowHeight="15" x14ac:dyDescent="0.25"/>
  <cols>
    <col min="1" max="1" width="17.28515625" style="478" customWidth="1"/>
    <col min="2" max="2" width="3.7109375" style="478" customWidth="1"/>
    <col min="3" max="4" width="8.7109375" style="478" customWidth="1"/>
    <col min="5" max="5" width="10.140625" style="478" customWidth="1"/>
    <col min="6" max="6" width="8.7109375" style="478" customWidth="1"/>
    <col min="7" max="7" width="8.7109375" style="478" hidden="1" customWidth="1"/>
    <col min="8" max="8" width="7.7109375" style="478" customWidth="1"/>
    <col min="9" max="23" width="7" style="478" customWidth="1"/>
    <col min="24" max="26" width="7.140625" style="478" customWidth="1"/>
    <col min="27" max="68" width="7" style="478" customWidth="1"/>
    <col min="69" max="16384" width="11.42578125" style="478"/>
  </cols>
  <sheetData>
    <row r="1" spans="1:68" ht="23.25" thickBot="1" x14ac:dyDescent="0.3">
      <c r="A1" s="1041" t="s">
        <v>291</v>
      </c>
      <c r="B1" s="1042"/>
      <c r="C1" s="474" t="s">
        <v>478</v>
      </c>
      <c r="D1" s="475" t="s">
        <v>479</v>
      </c>
      <c r="E1" s="477" t="s">
        <v>480</v>
      </c>
      <c r="F1" s="470" t="s">
        <v>495</v>
      </c>
      <c r="G1" s="895">
        <f>Paramètres!BJ2</f>
        <v>1</v>
      </c>
      <c r="I1" s="1055" t="s">
        <v>261</v>
      </c>
      <c r="J1" s="1050"/>
      <c r="K1" s="490" t="s">
        <v>29</v>
      </c>
      <c r="L1" s="1016" t="s">
        <v>499</v>
      </c>
      <c r="M1" s="1017"/>
      <c r="N1" s="1031" t="s">
        <v>501</v>
      </c>
      <c r="O1" s="1017"/>
      <c r="P1" s="1031" t="s">
        <v>502</v>
      </c>
      <c r="Q1" s="1050"/>
      <c r="S1" s="1038" t="s">
        <v>515</v>
      </c>
      <c r="T1" s="1039"/>
      <c r="U1" s="1039"/>
      <c r="V1" s="1039"/>
      <c r="W1" s="1039"/>
      <c r="X1" s="1039"/>
      <c r="Y1" s="1039"/>
      <c r="Z1" s="1040"/>
      <c r="AG1" s="464"/>
      <c r="AH1" s="464"/>
      <c r="AK1" s="464"/>
      <c r="AL1" s="464"/>
      <c r="AM1" s="464"/>
      <c r="AN1" s="464"/>
      <c r="AO1" s="464"/>
      <c r="AP1" s="464"/>
      <c r="AQ1" s="464"/>
      <c r="AR1" s="464"/>
      <c r="AS1" s="464"/>
      <c r="AT1" s="464"/>
      <c r="AU1" s="464"/>
      <c r="AV1" s="464"/>
      <c r="AW1" s="464"/>
      <c r="AX1" s="464"/>
      <c r="AY1" s="464"/>
      <c r="AZ1" s="464"/>
      <c r="BA1" s="464"/>
      <c r="BB1" s="464"/>
      <c r="BC1" s="464"/>
      <c r="BD1" s="464"/>
      <c r="BE1" s="464"/>
      <c r="BF1" s="464"/>
      <c r="BG1" s="464"/>
      <c r="BH1" s="464"/>
      <c r="BI1" s="464"/>
      <c r="BJ1" s="464"/>
      <c r="BK1" s="464"/>
      <c r="BL1" s="464"/>
    </row>
    <row r="2" spans="1:68" ht="16.5" thickTop="1" thickBot="1" x14ac:dyDescent="0.3">
      <c r="A2" s="1043">
        <f>Paramètres!$BI$2</f>
        <v>1</v>
      </c>
      <c r="B2" s="1044"/>
      <c r="C2" s="696">
        <v>42187.691527777781</v>
      </c>
      <c r="D2" s="697">
        <v>1</v>
      </c>
      <c r="E2" s="696">
        <v>42193.691527777781</v>
      </c>
      <c r="F2" s="481" t="s">
        <v>494</v>
      </c>
      <c r="G2" s="464"/>
      <c r="H2" s="464"/>
      <c r="I2" s="1018">
        <f>period_selected</f>
        <v>42193.691527777781</v>
      </c>
      <c r="J2" s="1019"/>
      <c r="K2" s="509">
        <v>0</v>
      </c>
      <c r="L2" s="1032">
        <v>0</v>
      </c>
      <c r="M2" s="1032"/>
      <c r="N2" s="1034">
        <v>0</v>
      </c>
      <c r="O2" s="1035"/>
      <c r="P2" s="1051">
        <v>0</v>
      </c>
      <c r="Q2" s="1052"/>
      <c r="S2" s="518"/>
      <c r="T2" s="1056" t="s">
        <v>491</v>
      </c>
      <c r="U2" s="1057"/>
      <c r="V2" s="1057"/>
      <c r="W2" s="519"/>
      <c r="X2" s="1056" t="s">
        <v>486</v>
      </c>
      <c r="Y2" s="1057"/>
      <c r="Z2" s="1058"/>
      <c r="AL2" s="464"/>
      <c r="AM2" s="464"/>
      <c r="AT2" s="464"/>
      <c r="AU2" s="464"/>
      <c r="AV2" s="464"/>
      <c r="AW2" s="464"/>
      <c r="AX2" s="464"/>
      <c r="AY2" s="464"/>
      <c r="AZ2" s="464"/>
      <c r="BA2" s="464"/>
      <c r="BB2" s="464"/>
      <c r="BC2" s="464"/>
      <c r="BD2" s="464"/>
      <c r="BE2" s="464"/>
      <c r="BF2" s="464"/>
      <c r="BG2" s="464"/>
      <c r="BH2" s="464"/>
      <c r="BI2" s="464"/>
      <c r="BJ2" s="464"/>
      <c r="BK2" s="464"/>
      <c r="BL2" s="464"/>
      <c r="BM2" s="464"/>
      <c r="BN2" s="464"/>
      <c r="BO2" s="464"/>
    </row>
    <row r="3" spans="1:68" ht="15.75" customHeight="1" x14ac:dyDescent="0.25">
      <c r="A3" s="1022" t="s">
        <v>471</v>
      </c>
      <c r="B3" s="1023"/>
      <c r="C3" s="1023"/>
      <c r="D3" s="1023"/>
      <c r="E3" s="1023"/>
      <c r="F3" s="1023"/>
      <c r="G3" s="1023"/>
      <c r="H3" s="1024"/>
      <c r="I3" s="1020">
        <f>$I2+$D$2</f>
        <v>42194.691527777781</v>
      </c>
      <c r="J3" s="1021"/>
      <c r="K3" s="510">
        <v>0</v>
      </c>
      <c r="L3" s="1033">
        <v>0</v>
      </c>
      <c r="M3" s="1033"/>
      <c r="N3" s="1036">
        <v>0</v>
      </c>
      <c r="O3" s="1037"/>
      <c r="P3" s="1053">
        <v>0</v>
      </c>
      <c r="Q3" s="1054"/>
      <c r="S3" s="480"/>
      <c r="T3" s="1064" t="s">
        <v>492</v>
      </c>
      <c r="U3" s="1065"/>
      <c r="V3" s="1065"/>
      <c r="W3" s="479"/>
      <c r="X3" s="1059" t="s">
        <v>488</v>
      </c>
      <c r="Y3" s="1060"/>
      <c r="Z3" s="1061"/>
    </row>
    <row r="4" spans="1:68" x14ac:dyDescent="0.25">
      <c r="A4" s="1025"/>
      <c r="B4" s="1026"/>
      <c r="C4" s="1026"/>
      <c r="D4" s="1026"/>
      <c r="E4" s="1026"/>
      <c r="F4" s="1026"/>
      <c r="G4" s="1026"/>
      <c r="H4" s="1027"/>
      <c r="I4" s="1020">
        <f>$I3+$D$2</f>
        <v>42195.691527777781</v>
      </c>
      <c r="J4" s="1021"/>
      <c r="K4" s="510">
        <v>0</v>
      </c>
      <c r="L4" s="1033">
        <v>0</v>
      </c>
      <c r="M4" s="1033"/>
      <c r="N4" s="1036">
        <v>0</v>
      </c>
      <c r="O4" s="1037"/>
      <c r="P4" s="1053">
        <v>0</v>
      </c>
      <c r="Q4" s="1054"/>
      <c r="S4" s="520"/>
      <c r="T4" s="1064" t="s">
        <v>487</v>
      </c>
      <c r="U4" s="1066"/>
      <c r="V4" s="1066"/>
      <c r="W4" s="516"/>
      <c r="X4" s="516"/>
      <c r="Y4" s="516"/>
      <c r="Z4" s="517"/>
    </row>
    <row r="5" spans="1:68" ht="15.75" thickBot="1" x14ac:dyDescent="0.3">
      <c r="A5" s="1025"/>
      <c r="B5" s="1026"/>
      <c r="C5" s="1026"/>
      <c r="D5" s="1026"/>
      <c r="E5" s="1026"/>
      <c r="F5" s="1026"/>
      <c r="G5" s="1026"/>
      <c r="H5" s="1027"/>
      <c r="I5" s="1045">
        <f>$I4+$D$2</f>
        <v>42196.691527777781</v>
      </c>
      <c r="J5" s="1046"/>
      <c r="K5" s="511">
        <v>0</v>
      </c>
      <c r="L5" s="1047">
        <v>0</v>
      </c>
      <c r="M5" s="1047"/>
      <c r="N5" s="1048">
        <v>0</v>
      </c>
      <c r="O5" s="1049"/>
      <c r="P5" s="1068">
        <v>0</v>
      </c>
      <c r="Q5" s="1069"/>
      <c r="S5" s="522"/>
      <c r="T5" s="1062" t="s">
        <v>505</v>
      </c>
      <c r="U5" s="1063"/>
      <c r="V5" s="1063"/>
      <c r="W5" s="521"/>
      <c r="X5" s="1062" t="s">
        <v>489</v>
      </c>
      <c r="Y5" s="1063"/>
      <c r="Z5" s="1067"/>
    </row>
    <row r="6" spans="1:68" ht="15.75" hidden="1" thickBot="1" x14ac:dyDescent="0.3">
      <c r="A6" s="1028"/>
      <c r="B6" s="1029"/>
      <c r="C6" s="1029"/>
      <c r="D6" s="1029"/>
      <c r="E6" s="1029"/>
      <c r="F6" s="1029"/>
      <c r="G6" s="1029"/>
      <c r="H6" s="1030"/>
      <c r="I6" s="899">
        <f>SUM(I8:I36)+SUM(I62:I71)</f>
        <v>0</v>
      </c>
      <c r="J6" s="899">
        <f>SUM(J8:J36)+SUM(J62:J71)</f>
        <v>0</v>
      </c>
      <c r="K6" s="899">
        <f>SUM(K8:K36)+SUM(K62:K71)</f>
        <v>0</v>
      </c>
      <c r="L6" s="899">
        <f>SUM(L8:L36)+SUM(L62:L71)</f>
        <v>0</v>
      </c>
      <c r="M6" s="899">
        <f>SUM(M8:M36)+SUM(M62:M71)</f>
        <v>0</v>
      </c>
      <c r="N6" s="899">
        <f>SUM(N8:N36)+SUM(N62:N71)</f>
        <v>0</v>
      </c>
      <c r="O6" s="899">
        <f>SUM(O8:O36)+SUM(O62:O71)</f>
        <v>0</v>
      </c>
      <c r="P6" s="899">
        <f>SUM(P8:P36)+SUM(P62:P71)</f>
        <v>0</v>
      </c>
      <c r="Q6" s="899">
        <f>SUM(Q8:Q36)+SUM(Q62:Q71)</f>
        <v>0</v>
      </c>
      <c r="R6" s="899">
        <f>SUM(R8:R36)+SUM(R62:R71)</f>
        <v>0</v>
      </c>
      <c r="S6" s="899">
        <f>SUM(S8:S36)+SUM(S62:S71)</f>
        <v>0</v>
      </c>
      <c r="T6" s="899">
        <f>SUM(T8:T36)+SUM(T62:T71)</f>
        <v>0</v>
      </c>
      <c r="U6" s="899">
        <f>SUM(U8:U36)+SUM(U62:U71)</f>
        <v>0</v>
      </c>
      <c r="V6" s="899">
        <f>SUM(V8:V36)+SUM(V62:V71)</f>
        <v>0</v>
      </c>
      <c r="W6" s="899">
        <f>SUM(W8:W36)+SUM(W62:W71)</f>
        <v>0</v>
      </c>
      <c r="X6" s="899">
        <f>SUM(X8:X36)+SUM(X62:X71)</f>
        <v>0</v>
      </c>
      <c r="Y6" s="899">
        <f>SUM(Y8:Y36)+SUM(Y62:Y71)</f>
        <v>0</v>
      </c>
      <c r="Z6" s="899">
        <f>SUM(Z8:Z36)+SUM(Z62:Z71)</f>
        <v>0</v>
      </c>
      <c r="AA6" s="899">
        <f>SUM(AA8:AA36)+SUM(AA62:AA71)</f>
        <v>0</v>
      </c>
      <c r="AB6" s="899">
        <f>SUM(AB8:AB36)+SUM(AB62:AB71)</f>
        <v>0</v>
      </c>
      <c r="AC6" s="899">
        <f>SUM(AC8:AC36)+SUM(AC62:AC71)</f>
        <v>0</v>
      </c>
      <c r="AD6" s="899">
        <f>SUM(AD8:AD36)+SUM(AD62:AD71)</f>
        <v>0</v>
      </c>
      <c r="AE6" s="899">
        <f>SUM(AE8:AE36)+SUM(AE62:AE71)</f>
        <v>0</v>
      </c>
      <c r="AF6" s="899">
        <f>SUM(AF8:AF36)+SUM(AF62:AF71)</f>
        <v>0</v>
      </c>
      <c r="AG6" s="899">
        <f>SUM(AG8:AG36)+SUM(AG62:AG71)</f>
        <v>0</v>
      </c>
      <c r="AH6" s="899">
        <f>SUM(AH8:AH36)+SUM(AH62:AH71)</f>
        <v>0</v>
      </c>
      <c r="AI6" s="899">
        <f>SUM(AI8:AI36)+SUM(AI62:AI71)</f>
        <v>0</v>
      </c>
      <c r="AJ6" s="899">
        <f>SUM(AJ8:AJ36)+SUM(AJ62:AJ71)</f>
        <v>0</v>
      </c>
      <c r="AK6" s="899">
        <f>SUM(AK8:AK36)+SUM(AK62:AK71)</f>
        <v>0</v>
      </c>
      <c r="AL6" s="899">
        <f>SUM(AL8:AL36)+SUM(AL62:AL71)</f>
        <v>0</v>
      </c>
      <c r="AM6" s="899">
        <f>SUM(AM8:AM36)+SUM(AM62:AM71)</f>
        <v>0</v>
      </c>
      <c r="AN6" s="899">
        <f>SUM(AN8:AN36)+SUM(AN62:AN71)</f>
        <v>0</v>
      </c>
      <c r="AO6" s="899">
        <f>SUM(AO8:AO36)+SUM(AO62:AO71)</f>
        <v>0</v>
      </c>
      <c r="AP6" s="899">
        <f>SUM(AP8:AP36)+SUM(AP62:AP71)</f>
        <v>0</v>
      </c>
      <c r="AQ6" s="899">
        <f>SUM(AQ8:AQ36)+SUM(AQ62:AQ71)</f>
        <v>0</v>
      </c>
      <c r="AR6" s="899">
        <f>SUM(AR8:AR36)+SUM(AR62:AR71)</f>
        <v>0</v>
      </c>
      <c r="AS6" s="899">
        <f>SUM(AS8:AS36)+SUM(AS62:AS71)</f>
        <v>0</v>
      </c>
      <c r="AT6" s="899">
        <f>SUM(AT8:AT36)+SUM(AT62:AT71)</f>
        <v>0</v>
      </c>
      <c r="AU6" s="899">
        <f>SUM(AU8:AU36)+SUM(AU62:AU71)</f>
        <v>0</v>
      </c>
      <c r="AV6" s="899">
        <f>SUM(AV8:AV36)+SUM(AV62:AV71)</f>
        <v>0</v>
      </c>
      <c r="AW6" s="899">
        <f>SUM(AW8:AW36)+SUM(AW62:AW71)</f>
        <v>0</v>
      </c>
      <c r="AX6" s="899">
        <f>SUM(AX8:AX36)+SUM(AX62:AX71)</f>
        <v>0</v>
      </c>
      <c r="AY6" s="899">
        <f>SUM(AY8:AY36)+SUM(AY62:AY71)</f>
        <v>0</v>
      </c>
      <c r="AZ6" s="899">
        <f>SUM(AZ8:AZ36)+SUM(AZ62:AZ71)</f>
        <v>0</v>
      </c>
      <c r="BA6" s="899">
        <f>SUM(BA8:BA36)+SUM(BA62:BA71)</f>
        <v>0</v>
      </c>
      <c r="BB6" s="899">
        <f>SUM(BB8:BB36)+SUM(BB62:BB71)</f>
        <v>0</v>
      </c>
      <c r="BC6" s="899">
        <f>SUM(BC8:BC36)+SUM(BC62:BC71)</f>
        <v>0</v>
      </c>
      <c r="BD6" s="899">
        <f>SUM(BD8:BD36)+SUM(BD62:BD71)</f>
        <v>0</v>
      </c>
      <c r="BE6" s="899">
        <f>SUM(BE8:BE36)+SUM(BE62:BE71)</f>
        <v>0</v>
      </c>
      <c r="BF6" s="899">
        <f>SUM(BF8:BF36)+SUM(BF62:BF71)</f>
        <v>0</v>
      </c>
      <c r="BG6" s="899">
        <f>SUM(BG8:BG36)+SUM(BG62:BG71)</f>
        <v>0</v>
      </c>
      <c r="BH6" s="899">
        <f>SUM(BH8:BH36)+SUM(BH62:BH71)</f>
        <v>0</v>
      </c>
      <c r="BI6" s="899">
        <f>SUM(BI8:BI36)+SUM(BI62:BI71)</f>
        <v>0</v>
      </c>
      <c r="BJ6" s="899">
        <f>SUM(BJ8:BJ36)+SUM(BJ62:BJ71)</f>
        <v>0</v>
      </c>
      <c r="BK6" s="899">
        <f>SUM(BK8:BK36)+SUM(BK62:BK71)</f>
        <v>0</v>
      </c>
      <c r="BL6" s="899">
        <f>SUM(BL8:BL36)+SUM(BL62:BL71)</f>
        <v>0</v>
      </c>
      <c r="BM6" s="899">
        <f>SUM(BM8:BM36)+SUM(BM62:BM71)</f>
        <v>0</v>
      </c>
      <c r="BN6" s="899">
        <f>SUM(BN8:BN36)+SUM(BN62:BN71)</f>
        <v>0</v>
      </c>
      <c r="BO6" s="899">
        <f>SUM(BO8:BO36)+SUM(BO62:BO71)</f>
        <v>0</v>
      </c>
      <c r="BP6" s="899">
        <f>SUM(BP8:BP36)+SUM(BP62:BP71)</f>
        <v>0</v>
      </c>
    </row>
    <row r="7" spans="1:68" ht="34.5" thickBot="1" x14ac:dyDescent="0.3">
      <c r="A7" s="600" t="s">
        <v>482</v>
      </c>
      <c r="B7" s="601" t="s">
        <v>30</v>
      </c>
      <c r="C7" s="602" t="s">
        <v>258</v>
      </c>
      <c r="D7" s="603" t="s">
        <v>483</v>
      </c>
      <c r="E7" s="603" t="s">
        <v>484</v>
      </c>
      <c r="F7" s="603" t="s">
        <v>485</v>
      </c>
      <c r="G7" s="603" t="s">
        <v>490</v>
      </c>
      <c r="H7" s="604" t="s">
        <v>486</v>
      </c>
      <c r="I7" s="597">
        <f>$C$2</f>
        <v>42187.691527777781</v>
      </c>
      <c r="J7" s="598">
        <f>I$7+$D$2</f>
        <v>42188.691527777781</v>
      </c>
      <c r="K7" s="598">
        <f t="shared" ref="K7:BP7" si="0">J$7+$D$2</f>
        <v>42189.691527777781</v>
      </c>
      <c r="L7" s="598">
        <f t="shared" si="0"/>
        <v>42190.691527777781</v>
      </c>
      <c r="M7" s="598">
        <f t="shared" si="0"/>
        <v>42191.691527777781</v>
      </c>
      <c r="N7" s="598">
        <f t="shared" si="0"/>
        <v>42192.691527777781</v>
      </c>
      <c r="O7" s="598">
        <f t="shared" si="0"/>
        <v>42193.691527777781</v>
      </c>
      <c r="P7" s="598">
        <f t="shared" si="0"/>
        <v>42194.691527777781</v>
      </c>
      <c r="Q7" s="598">
        <f t="shared" si="0"/>
        <v>42195.691527777781</v>
      </c>
      <c r="R7" s="598">
        <f t="shared" si="0"/>
        <v>42196.691527777781</v>
      </c>
      <c r="S7" s="598">
        <f>R$7+$D$2</f>
        <v>42197.691527777781</v>
      </c>
      <c r="T7" s="598">
        <f t="shared" si="0"/>
        <v>42198.691527777781</v>
      </c>
      <c r="U7" s="598">
        <f t="shared" si="0"/>
        <v>42199.691527777781</v>
      </c>
      <c r="V7" s="598">
        <f>U$7+$D$2</f>
        <v>42200.691527777781</v>
      </c>
      <c r="W7" s="598">
        <f t="shared" si="0"/>
        <v>42201.691527777781</v>
      </c>
      <c r="X7" s="598">
        <f t="shared" si="0"/>
        <v>42202.691527777781</v>
      </c>
      <c r="Y7" s="598">
        <f t="shared" si="0"/>
        <v>42203.691527777781</v>
      </c>
      <c r="Z7" s="598">
        <f t="shared" si="0"/>
        <v>42204.691527777781</v>
      </c>
      <c r="AA7" s="598">
        <f t="shared" si="0"/>
        <v>42205.691527777781</v>
      </c>
      <c r="AB7" s="598">
        <f>AA$7+$D$2</f>
        <v>42206.691527777781</v>
      </c>
      <c r="AC7" s="598">
        <f t="shared" si="0"/>
        <v>42207.691527777781</v>
      </c>
      <c r="AD7" s="598">
        <f t="shared" si="0"/>
        <v>42208.691527777781</v>
      </c>
      <c r="AE7" s="598">
        <f t="shared" si="0"/>
        <v>42209.691527777781</v>
      </c>
      <c r="AF7" s="598">
        <f t="shared" si="0"/>
        <v>42210.691527777781</v>
      </c>
      <c r="AG7" s="598">
        <f t="shared" si="0"/>
        <v>42211.691527777781</v>
      </c>
      <c r="AH7" s="598">
        <f t="shared" si="0"/>
        <v>42212.691527777781</v>
      </c>
      <c r="AI7" s="598">
        <f t="shared" si="0"/>
        <v>42213.691527777781</v>
      </c>
      <c r="AJ7" s="598">
        <f t="shared" si="0"/>
        <v>42214.691527777781</v>
      </c>
      <c r="AK7" s="598">
        <f t="shared" si="0"/>
        <v>42215.691527777781</v>
      </c>
      <c r="AL7" s="598">
        <f t="shared" si="0"/>
        <v>42216.691527777781</v>
      </c>
      <c r="AM7" s="598">
        <f t="shared" si="0"/>
        <v>42217.691527777781</v>
      </c>
      <c r="AN7" s="598">
        <f t="shared" si="0"/>
        <v>42218.691527777781</v>
      </c>
      <c r="AO7" s="598">
        <f t="shared" si="0"/>
        <v>42219.691527777781</v>
      </c>
      <c r="AP7" s="598">
        <f t="shared" si="0"/>
        <v>42220.691527777781</v>
      </c>
      <c r="AQ7" s="598">
        <f t="shared" si="0"/>
        <v>42221.691527777781</v>
      </c>
      <c r="AR7" s="598">
        <f t="shared" si="0"/>
        <v>42222.691527777781</v>
      </c>
      <c r="AS7" s="598">
        <f t="shared" si="0"/>
        <v>42223.691527777781</v>
      </c>
      <c r="AT7" s="598">
        <f t="shared" si="0"/>
        <v>42224.691527777781</v>
      </c>
      <c r="AU7" s="598">
        <f t="shared" si="0"/>
        <v>42225.691527777781</v>
      </c>
      <c r="AV7" s="598">
        <f t="shared" si="0"/>
        <v>42226.691527777781</v>
      </c>
      <c r="AW7" s="598">
        <f t="shared" si="0"/>
        <v>42227.691527777781</v>
      </c>
      <c r="AX7" s="598">
        <f t="shared" si="0"/>
        <v>42228.691527777781</v>
      </c>
      <c r="AY7" s="598">
        <f t="shared" si="0"/>
        <v>42229.691527777781</v>
      </c>
      <c r="AZ7" s="598">
        <f t="shared" si="0"/>
        <v>42230.691527777781</v>
      </c>
      <c r="BA7" s="598">
        <f t="shared" si="0"/>
        <v>42231.691527777781</v>
      </c>
      <c r="BB7" s="598">
        <f t="shared" si="0"/>
        <v>42232.691527777781</v>
      </c>
      <c r="BC7" s="598">
        <f t="shared" si="0"/>
        <v>42233.691527777781</v>
      </c>
      <c r="BD7" s="598">
        <f t="shared" si="0"/>
        <v>42234.691527777781</v>
      </c>
      <c r="BE7" s="598">
        <f t="shared" si="0"/>
        <v>42235.691527777781</v>
      </c>
      <c r="BF7" s="598">
        <f t="shared" si="0"/>
        <v>42236.691527777781</v>
      </c>
      <c r="BG7" s="598">
        <f t="shared" si="0"/>
        <v>42237.691527777781</v>
      </c>
      <c r="BH7" s="598">
        <f t="shared" si="0"/>
        <v>42238.691527777781</v>
      </c>
      <c r="BI7" s="598">
        <f t="shared" si="0"/>
        <v>42239.691527777781</v>
      </c>
      <c r="BJ7" s="598">
        <f t="shared" si="0"/>
        <v>42240.691527777781</v>
      </c>
      <c r="BK7" s="598">
        <f t="shared" si="0"/>
        <v>42241.691527777781</v>
      </c>
      <c r="BL7" s="598">
        <f t="shared" si="0"/>
        <v>42242.691527777781</v>
      </c>
      <c r="BM7" s="598">
        <f t="shared" si="0"/>
        <v>42243.691527777781</v>
      </c>
      <c r="BN7" s="598">
        <f t="shared" si="0"/>
        <v>42244.691527777781</v>
      </c>
      <c r="BO7" s="598">
        <f t="shared" si="0"/>
        <v>42245.691527777781</v>
      </c>
      <c r="BP7" s="599">
        <f t="shared" si="0"/>
        <v>42246.691527777781</v>
      </c>
    </row>
    <row r="8" spans="1:68" ht="16.5" thickBot="1" x14ac:dyDescent="0.3">
      <c r="A8" s="1013" t="s">
        <v>448</v>
      </c>
      <c r="B8" s="1014"/>
      <c r="C8" s="1014"/>
      <c r="D8" s="1014"/>
      <c r="E8" s="1014"/>
      <c r="F8" s="1014"/>
      <c r="G8" s="1014"/>
      <c r="H8" s="1015"/>
      <c r="I8" s="897">
        <f t="shared" ref="I8:X24" si="1">IF(ISERROR(Plan),0,Plan)</f>
        <v>0</v>
      </c>
      <c r="J8" s="897">
        <f t="shared" si="1"/>
        <v>0</v>
      </c>
      <c r="K8" s="897">
        <f t="shared" si="1"/>
        <v>0</v>
      </c>
      <c r="L8" s="897">
        <f t="shared" si="1"/>
        <v>0</v>
      </c>
      <c r="M8" s="897">
        <f t="shared" si="1"/>
        <v>0</v>
      </c>
      <c r="N8" s="897">
        <f t="shared" si="1"/>
        <v>0</v>
      </c>
      <c r="O8" s="897">
        <f t="shared" si="1"/>
        <v>0</v>
      </c>
      <c r="P8" s="897">
        <f t="shared" si="1"/>
        <v>0</v>
      </c>
      <c r="Q8" s="897">
        <f t="shared" si="1"/>
        <v>0</v>
      </c>
      <c r="R8" s="897">
        <f t="shared" si="1"/>
        <v>0</v>
      </c>
      <c r="S8" s="897">
        <f t="shared" si="1"/>
        <v>0</v>
      </c>
      <c r="T8" s="897">
        <f t="shared" si="1"/>
        <v>0</v>
      </c>
      <c r="U8" s="897">
        <f t="shared" si="1"/>
        <v>0</v>
      </c>
      <c r="V8" s="897">
        <f t="shared" si="1"/>
        <v>0</v>
      </c>
      <c r="W8" s="897">
        <f t="shared" si="1"/>
        <v>0</v>
      </c>
      <c r="X8" s="897">
        <f t="shared" si="1"/>
        <v>0</v>
      </c>
      <c r="Y8" s="897">
        <f t="shared" ref="Y8:BP8" si="2">IF(ISERROR(Plan),0,Plan)</f>
        <v>0</v>
      </c>
      <c r="Z8" s="897">
        <f t="shared" si="2"/>
        <v>0</v>
      </c>
      <c r="AA8" s="897">
        <f t="shared" si="2"/>
        <v>0</v>
      </c>
      <c r="AB8" s="897">
        <f t="shared" si="2"/>
        <v>0</v>
      </c>
      <c r="AC8" s="897">
        <f t="shared" si="2"/>
        <v>0</v>
      </c>
      <c r="AD8" s="897">
        <f t="shared" si="2"/>
        <v>0</v>
      </c>
      <c r="AE8" s="897">
        <f t="shared" si="2"/>
        <v>0</v>
      </c>
      <c r="AF8" s="897">
        <f t="shared" si="2"/>
        <v>0</v>
      </c>
      <c r="AG8" s="897">
        <f t="shared" si="2"/>
        <v>0</v>
      </c>
      <c r="AH8" s="897">
        <f t="shared" si="2"/>
        <v>0</v>
      </c>
      <c r="AI8" s="897">
        <f t="shared" si="2"/>
        <v>0</v>
      </c>
      <c r="AJ8" s="897">
        <f t="shared" si="2"/>
        <v>0</v>
      </c>
      <c r="AK8" s="897">
        <f t="shared" si="2"/>
        <v>0</v>
      </c>
      <c r="AL8" s="897">
        <f t="shared" si="2"/>
        <v>0</v>
      </c>
      <c r="AM8" s="897">
        <f t="shared" si="2"/>
        <v>0</v>
      </c>
      <c r="AN8" s="897">
        <f t="shared" si="2"/>
        <v>0</v>
      </c>
      <c r="AO8" s="897">
        <f t="shared" si="2"/>
        <v>0</v>
      </c>
      <c r="AP8" s="897">
        <f t="shared" si="2"/>
        <v>0</v>
      </c>
      <c r="AQ8" s="897">
        <f t="shared" si="2"/>
        <v>0</v>
      </c>
      <c r="AR8" s="897">
        <f t="shared" si="2"/>
        <v>0</v>
      </c>
      <c r="AS8" s="897">
        <f t="shared" si="2"/>
        <v>0</v>
      </c>
      <c r="AT8" s="897">
        <f t="shared" si="2"/>
        <v>0</v>
      </c>
      <c r="AU8" s="897">
        <f t="shared" si="2"/>
        <v>0</v>
      </c>
      <c r="AV8" s="897">
        <f t="shared" si="2"/>
        <v>0</v>
      </c>
      <c r="AW8" s="897">
        <f t="shared" si="2"/>
        <v>0</v>
      </c>
      <c r="AX8" s="897">
        <f t="shared" si="2"/>
        <v>0</v>
      </c>
      <c r="AY8" s="897">
        <f t="shared" si="2"/>
        <v>0</v>
      </c>
      <c r="AZ8" s="897">
        <f t="shared" si="2"/>
        <v>0</v>
      </c>
      <c r="BA8" s="897">
        <f t="shared" si="2"/>
        <v>0</v>
      </c>
      <c r="BB8" s="897">
        <f t="shared" si="2"/>
        <v>0</v>
      </c>
      <c r="BC8" s="897">
        <f t="shared" si="2"/>
        <v>0</v>
      </c>
      <c r="BD8" s="897">
        <f t="shared" si="2"/>
        <v>0</v>
      </c>
      <c r="BE8" s="897">
        <f t="shared" si="2"/>
        <v>0</v>
      </c>
      <c r="BF8" s="897">
        <f t="shared" si="2"/>
        <v>0</v>
      </c>
      <c r="BG8" s="897">
        <f t="shared" si="2"/>
        <v>0</v>
      </c>
      <c r="BH8" s="897">
        <f t="shared" si="2"/>
        <v>0</v>
      </c>
      <c r="BI8" s="897">
        <f t="shared" si="2"/>
        <v>0</v>
      </c>
      <c r="BJ8" s="897">
        <f t="shared" si="2"/>
        <v>0</v>
      </c>
      <c r="BK8" s="897">
        <f t="shared" si="2"/>
        <v>0</v>
      </c>
      <c r="BL8" s="897">
        <f t="shared" si="2"/>
        <v>0</v>
      </c>
      <c r="BM8" s="897">
        <f t="shared" si="2"/>
        <v>0</v>
      </c>
      <c r="BN8" s="897">
        <f t="shared" si="2"/>
        <v>0</v>
      </c>
      <c r="BO8" s="897">
        <f t="shared" si="2"/>
        <v>0</v>
      </c>
      <c r="BP8" s="897">
        <f t="shared" si="2"/>
        <v>0</v>
      </c>
    </row>
    <row r="9" spans="1:68" ht="13.5" customHeight="1" x14ac:dyDescent="0.25">
      <c r="A9" s="482" t="s">
        <v>176</v>
      </c>
      <c r="B9" s="483"/>
      <c r="C9" s="463" t="str">
        <f>IF($B9&lt;&gt;"",VLOOKUP($B9,COSTS_Gold_Mine[#All],2),"")</f>
        <v/>
      </c>
      <c r="D9" s="497" t="str">
        <f>IF($B9&lt;&gt;"",VLOOKUP($B9,COSTS_Gold_Mine[#All],3)/24,"")</f>
        <v/>
      </c>
      <c r="E9" s="499"/>
      <c r="F9" s="512"/>
      <c r="G9" s="500" t="str">
        <f t="shared" ref="G9:G14" si="3">IF($D9&lt;&gt;"",$D9,"")</f>
        <v/>
      </c>
      <c r="H9" s="501"/>
      <c r="I9" s="898">
        <f t="shared" ref="I9:X37" si="4">IF(ISERROR(Plan),0,Plan)</f>
        <v>0</v>
      </c>
      <c r="J9" s="898">
        <f t="shared" si="1"/>
        <v>0</v>
      </c>
      <c r="K9" s="898">
        <f t="shared" si="1"/>
        <v>0</v>
      </c>
      <c r="L9" s="898">
        <f t="shared" si="1"/>
        <v>0</v>
      </c>
      <c r="M9" s="898">
        <f t="shared" si="1"/>
        <v>0</v>
      </c>
      <c r="N9" s="898">
        <f t="shared" si="1"/>
        <v>0</v>
      </c>
      <c r="O9" s="898">
        <f t="shared" si="1"/>
        <v>0</v>
      </c>
      <c r="P9" s="898">
        <f t="shared" si="1"/>
        <v>0</v>
      </c>
      <c r="Q9" s="898">
        <f t="shared" si="1"/>
        <v>0</v>
      </c>
      <c r="R9" s="896">
        <f t="shared" si="1"/>
        <v>0</v>
      </c>
      <c r="S9" s="896">
        <f t="shared" ref="S9:AB25" si="5">IF(ISERROR(Plan),0,Plan)</f>
        <v>0</v>
      </c>
      <c r="T9" s="896">
        <f t="shared" si="5"/>
        <v>0</v>
      </c>
      <c r="U9" s="896">
        <f t="shared" si="5"/>
        <v>0</v>
      </c>
      <c r="V9" s="896">
        <f t="shared" si="5"/>
        <v>0</v>
      </c>
      <c r="W9" s="896">
        <f t="shared" si="5"/>
        <v>0</v>
      </c>
      <c r="X9" s="896">
        <f t="shared" si="5"/>
        <v>0</v>
      </c>
      <c r="Y9" s="896">
        <f t="shared" si="5"/>
        <v>0</v>
      </c>
      <c r="Z9" s="896">
        <f t="shared" si="5"/>
        <v>0</v>
      </c>
      <c r="AA9" s="896">
        <f t="shared" si="5"/>
        <v>0</v>
      </c>
      <c r="AB9" s="896">
        <f t="shared" si="5"/>
        <v>0</v>
      </c>
      <c r="AC9" s="896">
        <f t="shared" ref="AC9:AL25" si="6">IF(ISERROR(Plan),0,Plan)</f>
        <v>0</v>
      </c>
      <c r="AD9" s="896">
        <f t="shared" si="6"/>
        <v>0</v>
      </c>
      <c r="AE9" s="896">
        <f t="shared" si="6"/>
        <v>0</v>
      </c>
      <c r="AF9" s="896">
        <f t="shared" si="6"/>
        <v>0</v>
      </c>
      <c r="AG9" s="896">
        <f t="shared" si="6"/>
        <v>0</v>
      </c>
      <c r="AH9" s="896">
        <f t="shared" si="6"/>
        <v>0</v>
      </c>
      <c r="AI9" s="896">
        <f t="shared" si="6"/>
        <v>0</v>
      </c>
      <c r="AJ9" s="896">
        <f t="shared" si="6"/>
        <v>0</v>
      </c>
      <c r="AK9" s="896">
        <f t="shared" si="6"/>
        <v>0</v>
      </c>
      <c r="AL9" s="896">
        <f t="shared" si="6"/>
        <v>0</v>
      </c>
      <c r="AM9" s="896">
        <f t="shared" ref="AM9:AV25" si="7">IF(ISERROR(Plan),0,Plan)</f>
        <v>0</v>
      </c>
      <c r="AN9" s="896">
        <f t="shared" si="7"/>
        <v>0</v>
      </c>
      <c r="AO9" s="896">
        <f t="shared" si="7"/>
        <v>0</v>
      </c>
      <c r="AP9" s="896">
        <f t="shared" si="7"/>
        <v>0</v>
      </c>
      <c r="AQ9" s="896">
        <f t="shared" si="7"/>
        <v>0</v>
      </c>
      <c r="AR9" s="896">
        <f t="shared" si="7"/>
        <v>0</v>
      </c>
      <c r="AS9" s="896">
        <f t="shared" si="7"/>
        <v>0</v>
      </c>
      <c r="AT9" s="896">
        <f t="shared" si="7"/>
        <v>0</v>
      </c>
      <c r="AU9" s="896">
        <f t="shared" si="7"/>
        <v>0</v>
      </c>
      <c r="AV9" s="896">
        <f t="shared" si="7"/>
        <v>0</v>
      </c>
      <c r="AW9" s="896">
        <f t="shared" ref="AW9:BF25" si="8">IF(ISERROR(Plan),0,Plan)</f>
        <v>0</v>
      </c>
      <c r="AX9" s="896">
        <f t="shared" si="8"/>
        <v>0</v>
      </c>
      <c r="AY9" s="896">
        <f t="shared" si="8"/>
        <v>0</v>
      </c>
      <c r="AZ9" s="896">
        <f t="shared" si="8"/>
        <v>0</v>
      </c>
      <c r="BA9" s="896">
        <f t="shared" si="8"/>
        <v>0</v>
      </c>
      <c r="BB9" s="896">
        <f t="shared" si="8"/>
        <v>0</v>
      </c>
      <c r="BC9" s="896">
        <f t="shared" si="8"/>
        <v>0</v>
      </c>
      <c r="BD9" s="896">
        <f t="shared" si="8"/>
        <v>0</v>
      </c>
      <c r="BE9" s="896">
        <f t="shared" si="8"/>
        <v>0</v>
      </c>
      <c r="BF9" s="896">
        <f t="shared" si="8"/>
        <v>0</v>
      </c>
      <c r="BG9" s="896">
        <f t="shared" ref="BG9:BP25" si="9">IF(ISERROR(Plan),0,Plan)</f>
        <v>0</v>
      </c>
      <c r="BH9" s="896">
        <f t="shared" si="9"/>
        <v>0</v>
      </c>
      <c r="BI9" s="896">
        <f t="shared" si="9"/>
        <v>0</v>
      </c>
      <c r="BJ9" s="896">
        <f t="shared" si="9"/>
        <v>0</v>
      </c>
      <c r="BK9" s="896">
        <f t="shared" si="9"/>
        <v>0</v>
      </c>
      <c r="BL9" s="896">
        <f t="shared" si="9"/>
        <v>0</v>
      </c>
      <c r="BM9" s="896">
        <f t="shared" si="9"/>
        <v>0</v>
      </c>
      <c r="BN9" s="896">
        <f t="shared" si="9"/>
        <v>0</v>
      </c>
      <c r="BO9" s="896">
        <f t="shared" si="9"/>
        <v>0</v>
      </c>
      <c r="BP9" s="896">
        <f t="shared" si="9"/>
        <v>0</v>
      </c>
    </row>
    <row r="10" spans="1:68" x14ac:dyDescent="0.25">
      <c r="A10" s="476" t="s">
        <v>210</v>
      </c>
      <c r="B10" s="473"/>
      <c r="C10" s="486" t="str">
        <f>IF($B10&lt;&gt;"",VLOOKUP($B10,COSTS_Elixir_Collector[#All],2),"")</f>
        <v/>
      </c>
      <c r="D10" s="494" t="str">
        <f>IF($B10&lt;&gt;"",VLOOKUP($B10,COSTS_Elixir_Collector[#All],3)/24,"")</f>
        <v/>
      </c>
      <c r="E10" s="499"/>
      <c r="F10" s="512"/>
      <c r="G10" s="500" t="str">
        <f t="shared" si="3"/>
        <v/>
      </c>
      <c r="H10" s="503"/>
      <c r="I10" s="898">
        <f t="shared" si="4"/>
        <v>0</v>
      </c>
      <c r="J10" s="898">
        <f t="shared" si="1"/>
        <v>0</v>
      </c>
      <c r="K10" s="898">
        <f t="shared" si="1"/>
        <v>0</v>
      </c>
      <c r="L10" s="898">
        <f t="shared" si="1"/>
        <v>0</v>
      </c>
      <c r="M10" s="898">
        <f t="shared" si="1"/>
        <v>0</v>
      </c>
      <c r="N10" s="898">
        <f t="shared" si="1"/>
        <v>0</v>
      </c>
      <c r="O10" s="898">
        <f t="shared" si="1"/>
        <v>0</v>
      </c>
      <c r="P10" s="898">
        <f t="shared" si="1"/>
        <v>0</v>
      </c>
      <c r="Q10" s="898">
        <f t="shared" si="1"/>
        <v>0</v>
      </c>
      <c r="R10" s="896">
        <f t="shared" si="1"/>
        <v>0</v>
      </c>
      <c r="S10" s="896">
        <f t="shared" si="5"/>
        <v>0</v>
      </c>
      <c r="T10" s="896">
        <f t="shared" si="5"/>
        <v>0</v>
      </c>
      <c r="U10" s="896">
        <f t="shared" si="5"/>
        <v>0</v>
      </c>
      <c r="V10" s="896">
        <f t="shared" si="5"/>
        <v>0</v>
      </c>
      <c r="W10" s="896">
        <f t="shared" si="5"/>
        <v>0</v>
      </c>
      <c r="X10" s="896">
        <f t="shared" si="5"/>
        <v>0</v>
      </c>
      <c r="Y10" s="896">
        <f t="shared" si="5"/>
        <v>0</v>
      </c>
      <c r="Z10" s="896">
        <f t="shared" si="5"/>
        <v>0</v>
      </c>
      <c r="AA10" s="896">
        <f t="shared" si="5"/>
        <v>0</v>
      </c>
      <c r="AB10" s="896">
        <f t="shared" si="5"/>
        <v>0</v>
      </c>
      <c r="AC10" s="896">
        <f t="shared" si="6"/>
        <v>0</v>
      </c>
      <c r="AD10" s="896">
        <f t="shared" si="6"/>
        <v>0</v>
      </c>
      <c r="AE10" s="896">
        <f t="shared" si="6"/>
        <v>0</v>
      </c>
      <c r="AF10" s="896">
        <f t="shared" si="6"/>
        <v>0</v>
      </c>
      <c r="AG10" s="896">
        <f t="shared" si="6"/>
        <v>0</v>
      </c>
      <c r="AH10" s="896">
        <f t="shared" si="6"/>
        <v>0</v>
      </c>
      <c r="AI10" s="896">
        <f t="shared" si="6"/>
        <v>0</v>
      </c>
      <c r="AJ10" s="896">
        <f t="shared" si="6"/>
        <v>0</v>
      </c>
      <c r="AK10" s="896">
        <f t="shared" si="6"/>
        <v>0</v>
      </c>
      <c r="AL10" s="896">
        <f t="shared" si="6"/>
        <v>0</v>
      </c>
      <c r="AM10" s="896">
        <f t="shared" si="7"/>
        <v>0</v>
      </c>
      <c r="AN10" s="896">
        <f t="shared" si="7"/>
        <v>0</v>
      </c>
      <c r="AO10" s="896">
        <f t="shared" si="7"/>
        <v>0</v>
      </c>
      <c r="AP10" s="896">
        <f t="shared" si="7"/>
        <v>0</v>
      </c>
      <c r="AQ10" s="896">
        <f t="shared" si="7"/>
        <v>0</v>
      </c>
      <c r="AR10" s="896">
        <f t="shared" si="7"/>
        <v>0</v>
      </c>
      <c r="AS10" s="896">
        <f t="shared" si="7"/>
        <v>0</v>
      </c>
      <c r="AT10" s="896">
        <f t="shared" si="7"/>
        <v>0</v>
      </c>
      <c r="AU10" s="896">
        <f t="shared" si="7"/>
        <v>0</v>
      </c>
      <c r="AV10" s="896">
        <f t="shared" si="7"/>
        <v>0</v>
      </c>
      <c r="AW10" s="896">
        <f t="shared" si="8"/>
        <v>0</v>
      </c>
      <c r="AX10" s="896">
        <f t="shared" si="8"/>
        <v>0</v>
      </c>
      <c r="AY10" s="896">
        <f t="shared" si="8"/>
        <v>0</v>
      </c>
      <c r="AZ10" s="896">
        <f t="shared" si="8"/>
        <v>0</v>
      </c>
      <c r="BA10" s="896">
        <f t="shared" si="8"/>
        <v>0</v>
      </c>
      <c r="BB10" s="896">
        <f t="shared" si="8"/>
        <v>0</v>
      </c>
      <c r="BC10" s="896">
        <f t="shared" si="8"/>
        <v>0</v>
      </c>
      <c r="BD10" s="896">
        <f t="shared" si="8"/>
        <v>0</v>
      </c>
      <c r="BE10" s="896">
        <f t="shared" si="8"/>
        <v>0</v>
      </c>
      <c r="BF10" s="896">
        <f t="shared" si="8"/>
        <v>0</v>
      </c>
      <c r="BG10" s="896">
        <f t="shared" si="9"/>
        <v>0</v>
      </c>
      <c r="BH10" s="896">
        <f t="shared" si="9"/>
        <v>0</v>
      </c>
      <c r="BI10" s="896">
        <f t="shared" si="9"/>
        <v>0</v>
      </c>
      <c r="BJ10" s="896">
        <f t="shared" si="9"/>
        <v>0</v>
      </c>
      <c r="BK10" s="896">
        <f t="shared" si="9"/>
        <v>0</v>
      </c>
      <c r="BL10" s="896">
        <f t="shared" si="9"/>
        <v>0</v>
      </c>
      <c r="BM10" s="896">
        <f t="shared" si="9"/>
        <v>0</v>
      </c>
      <c r="BN10" s="896">
        <f t="shared" si="9"/>
        <v>0</v>
      </c>
      <c r="BO10" s="896">
        <f t="shared" si="9"/>
        <v>0</v>
      </c>
      <c r="BP10" s="896">
        <f t="shared" si="9"/>
        <v>0</v>
      </c>
    </row>
    <row r="11" spans="1:68" x14ac:dyDescent="0.25">
      <c r="A11" s="476" t="s">
        <v>211</v>
      </c>
      <c r="B11" s="473"/>
      <c r="C11" s="487" t="str">
        <f>IF($B11&lt;&gt;"",VLOOKUP($B11,COSTS_Dark_Elixir_Drill[#All],2),"")</f>
        <v/>
      </c>
      <c r="D11" s="494" t="str">
        <f>IF($B11&lt;&gt;"",VLOOKUP($B11,COSTS_Dark_Elixir_Drill[#All],3)/24,"")</f>
        <v/>
      </c>
      <c r="E11" s="499"/>
      <c r="F11" s="512"/>
      <c r="G11" s="500" t="str">
        <f t="shared" si="3"/>
        <v/>
      </c>
      <c r="H11" s="503"/>
      <c r="I11" s="898">
        <f t="shared" si="4"/>
        <v>0</v>
      </c>
      <c r="J11" s="898">
        <f t="shared" si="1"/>
        <v>0</v>
      </c>
      <c r="K11" s="898">
        <f t="shared" si="1"/>
        <v>0</v>
      </c>
      <c r="L11" s="898">
        <f t="shared" si="1"/>
        <v>0</v>
      </c>
      <c r="M11" s="898">
        <f t="shared" si="1"/>
        <v>0</v>
      </c>
      <c r="N11" s="898">
        <f t="shared" si="1"/>
        <v>0</v>
      </c>
      <c r="O11" s="898">
        <f t="shared" si="1"/>
        <v>0</v>
      </c>
      <c r="P11" s="898">
        <f t="shared" si="1"/>
        <v>0</v>
      </c>
      <c r="Q11" s="898">
        <f t="shared" si="1"/>
        <v>0</v>
      </c>
      <c r="R11" s="896">
        <f t="shared" si="1"/>
        <v>0</v>
      </c>
      <c r="S11" s="896">
        <f t="shared" si="5"/>
        <v>0</v>
      </c>
      <c r="T11" s="896">
        <f t="shared" si="5"/>
        <v>0</v>
      </c>
      <c r="U11" s="896">
        <f t="shared" si="5"/>
        <v>0</v>
      </c>
      <c r="V11" s="896">
        <f t="shared" si="5"/>
        <v>0</v>
      </c>
      <c r="W11" s="896">
        <f t="shared" si="5"/>
        <v>0</v>
      </c>
      <c r="X11" s="896">
        <f t="shared" si="5"/>
        <v>0</v>
      </c>
      <c r="Y11" s="896">
        <f t="shared" si="5"/>
        <v>0</v>
      </c>
      <c r="Z11" s="896">
        <f t="shared" si="5"/>
        <v>0</v>
      </c>
      <c r="AA11" s="896">
        <f t="shared" si="5"/>
        <v>0</v>
      </c>
      <c r="AB11" s="896">
        <f t="shared" si="5"/>
        <v>0</v>
      </c>
      <c r="AC11" s="896">
        <f t="shared" si="6"/>
        <v>0</v>
      </c>
      <c r="AD11" s="896">
        <f t="shared" si="6"/>
        <v>0</v>
      </c>
      <c r="AE11" s="896">
        <f t="shared" si="6"/>
        <v>0</v>
      </c>
      <c r="AF11" s="896">
        <f t="shared" si="6"/>
        <v>0</v>
      </c>
      <c r="AG11" s="896">
        <f t="shared" si="6"/>
        <v>0</v>
      </c>
      <c r="AH11" s="896">
        <f t="shared" si="6"/>
        <v>0</v>
      </c>
      <c r="AI11" s="896">
        <f t="shared" si="6"/>
        <v>0</v>
      </c>
      <c r="AJ11" s="896">
        <f t="shared" si="6"/>
        <v>0</v>
      </c>
      <c r="AK11" s="896">
        <f t="shared" si="6"/>
        <v>0</v>
      </c>
      <c r="AL11" s="896">
        <f t="shared" si="6"/>
        <v>0</v>
      </c>
      <c r="AM11" s="896">
        <f t="shared" si="7"/>
        <v>0</v>
      </c>
      <c r="AN11" s="896">
        <f t="shared" si="7"/>
        <v>0</v>
      </c>
      <c r="AO11" s="896">
        <f t="shared" si="7"/>
        <v>0</v>
      </c>
      <c r="AP11" s="896">
        <f t="shared" si="7"/>
        <v>0</v>
      </c>
      <c r="AQ11" s="896">
        <f t="shared" si="7"/>
        <v>0</v>
      </c>
      <c r="AR11" s="896">
        <f t="shared" si="7"/>
        <v>0</v>
      </c>
      <c r="AS11" s="896">
        <f t="shared" si="7"/>
        <v>0</v>
      </c>
      <c r="AT11" s="896">
        <f t="shared" si="7"/>
        <v>0</v>
      </c>
      <c r="AU11" s="896">
        <f t="shared" si="7"/>
        <v>0</v>
      </c>
      <c r="AV11" s="896">
        <f t="shared" si="7"/>
        <v>0</v>
      </c>
      <c r="AW11" s="896">
        <f t="shared" si="8"/>
        <v>0</v>
      </c>
      <c r="AX11" s="896">
        <f t="shared" si="8"/>
        <v>0</v>
      </c>
      <c r="AY11" s="896">
        <f t="shared" si="8"/>
        <v>0</v>
      </c>
      <c r="AZ11" s="896">
        <f t="shared" si="8"/>
        <v>0</v>
      </c>
      <c r="BA11" s="896">
        <f t="shared" si="8"/>
        <v>0</v>
      </c>
      <c r="BB11" s="896">
        <f t="shared" si="8"/>
        <v>0</v>
      </c>
      <c r="BC11" s="896">
        <f t="shared" si="8"/>
        <v>0</v>
      </c>
      <c r="BD11" s="896">
        <f t="shared" si="8"/>
        <v>0</v>
      </c>
      <c r="BE11" s="896">
        <f t="shared" si="8"/>
        <v>0</v>
      </c>
      <c r="BF11" s="896">
        <f t="shared" si="8"/>
        <v>0</v>
      </c>
      <c r="BG11" s="896">
        <f t="shared" si="9"/>
        <v>0</v>
      </c>
      <c r="BH11" s="896">
        <f t="shared" si="9"/>
        <v>0</v>
      </c>
      <c r="BI11" s="896">
        <f t="shared" si="9"/>
        <v>0</v>
      </c>
      <c r="BJ11" s="896">
        <f t="shared" si="9"/>
        <v>0</v>
      </c>
      <c r="BK11" s="896">
        <f t="shared" si="9"/>
        <v>0</v>
      </c>
      <c r="BL11" s="896">
        <f t="shared" si="9"/>
        <v>0</v>
      </c>
      <c r="BM11" s="896">
        <f t="shared" si="9"/>
        <v>0</v>
      </c>
      <c r="BN11" s="896">
        <f t="shared" si="9"/>
        <v>0</v>
      </c>
      <c r="BO11" s="896">
        <f t="shared" si="9"/>
        <v>0</v>
      </c>
      <c r="BP11" s="896">
        <f t="shared" si="9"/>
        <v>0</v>
      </c>
    </row>
    <row r="12" spans="1:68" x14ac:dyDescent="0.25">
      <c r="A12" s="476" t="s">
        <v>212</v>
      </c>
      <c r="B12" s="473"/>
      <c r="C12" s="487" t="str">
        <f>IF($B12&lt;&gt;"",VLOOKUP($B12,COSTS_Gold_Storage[#All],2),"")</f>
        <v/>
      </c>
      <c r="D12" s="494" t="str">
        <f>IF($B12&lt;&gt;"",VLOOKUP($B12,COSTS_Gold_Storage[#All],3)/24,"")</f>
        <v/>
      </c>
      <c r="E12" s="499"/>
      <c r="F12" s="512"/>
      <c r="G12" s="500" t="str">
        <f t="shared" si="3"/>
        <v/>
      </c>
      <c r="H12" s="503"/>
      <c r="I12" s="898">
        <f t="shared" si="4"/>
        <v>0</v>
      </c>
      <c r="J12" s="898">
        <f t="shared" si="1"/>
        <v>0</v>
      </c>
      <c r="K12" s="898">
        <f t="shared" si="1"/>
        <v>0</v>
      </c>
      <c r="L12" s="898">
        <f t="shared" ref="L12:L13" si="10">IF(ISERROR(Plan),0,Plan)</f>
        <v>0</v>
      </c>
      <c r="M12" s="898">
        <f t="shared" si="1"/>
        <v>0</v>
      </c>
      <c r="N12" s="898">
        <f t="shared" si="1"/>
        <v>0</v>
      </c>
      <c r="O12" s="898">
        <f t="shared" si="1"/>
        <v>0</v>
      </c>
      <c r="P12" s="898">
        <f t="shared" si="1"/>
        <v>0</v>
      </c>
      <c r="Q12" s="898">
        <f t="shared" si="1"/>
        <v>0</v>
      </c>
      <c r="R12" s="896">
        <f t="shared" si="1"/>
        <v>0</v>
      </c>
      <c r="S12" s="896">
        <f t="shared" si="5"/>
        <v>0</v>
      </c>
      <c r="T12" s="896">
        <f t="shared" si="5"/>
        <v>0</v>
      </c>
      <c r="U12" s="896">
        <f t="shared" si="5"/>
        <v>0</v>
      </c>
      <c r="V12" s="896">
        <f t="shared" si="5"/>
        <v>0</v>
      </c>
      <c r="W12" s="896">
        <f t="shared" si="5"/>
        <v>0</v>
      </c>
      <c r="X12" s="896">
        <f t="shared" si="5"/>
        <v>0</v>
      </c>
      <c r="Y12" s="896">
        <f t="shared" si="5"/>
        <v>0</v>
      </c>
      <c r="Z12" s="896">
        <f t="shared" si="5"/>
        <v>0</v>
      </c>
      <c r="AA12" s="896">
        <f t="shared" si="5"/>
        <v>0</v>
      </c>
      <c r="AB12" s="896">
        <f t="shared" si="5"/>
        <v>0</v>
      </c>
      <c r="AC12" s="896">
        <f t="shared" si="6"/>
        <v>0</v>
      </c>
      <c r="AD12" s="896">
        <f t="shared" si="6"/>
        <v>0</v>
      </c>
      <c r="AE12" s="896">
        <f t="shared" si="6"/>
        <v>0</v>
      </c>
      <c r="AF12" s="896">
        <f t="shared" si="6"/>
        <v>0</v>
      </c>
      <c r="AG12" s="896">
        <f t="shared" si="6"/>
        <v>0</v>
      </c>
      <c r="AH12" s="896">
        <f t="shared" si="6"/>
        <v>0</v>
      </c>
      <c r="AI12" s="896">
        <f t="shared" si="6"/>
        <v>0</v>
      </c>
      <c r="AJ12" s="896">
        <f t="shared" si="6"/>
        <v>0</v>
      </c>
      <c r="AK12" s="896">
        <f t="shared" si="6"/>
        <v>0</v>
      </c>
      <c r="AL12" s="896">
        <f t="shared" si="6"/>
        <v>0</v>
      </c>
      <c r="AM12" s="896">
        <f t="shared" si="7"/>
        <v>0</v>
      </c>
      <c r="AN12" s="896">
        <f t="shared" si="7"/>
        <v>0</v>
      </c>
      <c r="AO12" s="896">
        <f t="shared" si="7"/>
        <v>0</v>
      </c>
      <c r="AP12" s="896">
        <f t="shared" si="7"/>
        <v>0</v>
      </c>
      <c r="AQ12" s="896">
        <f t="shared" si="7"/>
        <v>0</v>
      </c>
      <c r="AR12" s="896">
        <f t="shared" si="7"/>
        <v>0</v>
      </c>
      <c r="AS12" s="896">
        <f t="shared" si="7"/>
        <v>0</v>
      </c>
      <c r="AT12" s="896">
        <f t="shared" si="7"/>
        <v>0</v>
      </c>
      <c r="AU12" s="896">
        <f t="shared" si="7"/>
        <v>0</v>
      </c>
      <c r="AV12" s="896">
        <f t="shared" si="7"/>
        <v>0</v>
      </c>
      <c r="AW12" s="896">
        <f t="shared" si="8"/>
        <v>0</v>
      </c>
      <c r="AX12" s="896">
        <f t="shared" si="8"/>
        <v>0</v>
      </c>
      <c r="AY12" s="896">
        <f t="shared" si="8"/>
        <v>0</v>
      </c>
      <c r="AZ12" s="896">
        <f t="shared" si="8"/>
        <v>0</v>
      </c>
      <c r="BA12" s="896">
        <f t="shared" si="8"/>
        <v>0</v>
      </c>
      <c r="BB12" s="896">
        <f t="shared" si="8"/>
        <v>0</v>
      </c>
      <c r="BC12" s="896">
        <f t="shared" si="8"/>
        <v>0</v>
      </c>
      <c r="BD12" s="896">
        <f t="shared" si="8"/>
        <v>0</v>
      </c>
      <c r="BE12" s="896">
        <f t="shared" si="8"/>
        <v>0</v>
      </c>
      <c r="BF12" s="896">
        <f t="shared" si="8"/>
        <v>0</v>
      </c>
      <c r="BG12" s="896">
        <f t="shared" si="9"/>
        <v>0</v>
      </c>
      <c r="BH12" s="896">
        <f t="shared" si="9"/>
        <v>0</v>
      </c>
      <c r="BI12" s="896">
        <f t="shared" si="9"/>
        <v>0</v>
      </c>
      <c r="BJ12" s="896">
        <f t="shared" si="9"/>
        <v>0</v>
      </c>
      <c r="BK12" s="896">
        <f t="shared" si="9"/>
        <v>0</v>
      </c>
      <c r="BL12" s="896">
        <f t="shared" si="9"/>
        <v>0</v>
      </c>
      <c r="BM12" s="896">
        <f t="shared" si="9"/>
        <v>0</v>
      </c>
      <c r="BN12" s="896">
        <f t="shared" si="9"/>
        <v>0</v>
      </c>
      <c r="BO12" s="896">
        <f t="shared" si="9"/>
        <v>0</v>
      </c>
      <c r="BP12" s="896">
        <f t="shared" si="9"/>
        <v>0</v>
      </c>
    </row>
    <row r="13" spans="1:68" x14ac:dyDescent="0.25">
      <c r="A13" s="476" t="s">
        <v>453</v>
      </c>
      <c r="B13" s="473"/>
      <c r="C13" s="486" t="str">
        <f>IF($B13&lt;&gt;"",VLOOKUP($B13,COSTS_Elixir_Storage[#All],2),"")</f>
        <v/>
      </c>
      <c r="D13" s="494" t="str">
        <f>IF($B13&lt;&gt;"",VLOOKUP($B13,COSTS_Elixir_Storage[#All],3)/24,"")</f>
        <v/>
      </c>
      <c r="E13" s="499"/>
      <c r="F13" s="512"/>
      <c r="G13" s="500" t="str">
        <f t="shared" si="3"/>
        <v/>
      </c>
      <c r="H13" s="503"/>
      <c r="I13" s="898">
        <f t="shared" si="4"/>
        <v>0</v>
      </c>
      <c r="J13" s="898">
        <f t="shared" si="1"/>
        <v>0</v>
      </c>
      <c r="K13" s="898">
        <f t="shared" si="1"/>
        <v>0</v>
      </c>
      <c r="L13" s="898">
        <f t="shared" si="10"/>
        <v>0</v>
      </c>
      <c r="M13" s="898">
        <f t="shared" si="1"/>
        <v>0</v>
      </c>
      <c r="N13" s="898">
        <f t="shared" si="1"/>
        <v>0</v>
      </c>
      <c r="O13" s="898">
        <f t="shared" si="1"/>
        <v>0</v>
      </c>
      <c r="P13" s="898">
        <f t="shared" si="1"/>
        <v>0</v>
      </c>
      <c r="Q13" s="898">
        <f t="shared" si="1"/>
        <v>0</v>
      </c>
      <c r="R13" s="896">
        <f t="shared" si="1"/>
        <v>0</v>
      </c>
      <c r="S13" s="896">
        <f t="shared" si="5"/>
        <v>0</v>
      </c>
      <c r="T13" s="896">
        <f t="shared" si="5"/>
        <v>0</v>
      </c>
      <c r="U13" s="896">
        <f t="shared" si="5"/>
        <v>0</v>
      </c>
      <c r="V13" s="896">
        <f t="shared" si="5"/>
        <v>0</v>
      </c>
      <c r="W13" s="896">
        <f t="shared" si="5"/>
        <v>0</v>
      </c>
      <c r="X13" s="896">
        <f t="shared" si="5"/>
        <v>0</v>
      </c>
      <c r="Y13" s="896">
        <f t="shared" si="5"/>
        <v>0</v>
      </c>
      <c r="Z13" s="896">
        <f t="shared" si="5"/>
        <v>0</v>
      </c>
      <c r="AA13" s="896">
        <f t="shared" si="5"/>
        <v>0</v>
      </c>
      <c r="AB13" s="896">
        <f t="shared" si="5"/>
        <v>0</v>
      </c>
      <c r="AC13" s="896">
        <f t="shared" si="6"/>
        <v>0</v>
      </c>
      <c r="AD13" s="896">
        <f t="shared" si="6"/>
        <v>0</v>
      </c>
      <c r="AE13" s="896">
        <f t="shared" si="6"/>
        <v>0</v>
      </c>
      <c r="AF13" s="896">
        <f t="shared" si="6"/>
        <v>0</v>
      </c>
      <c r="AG13" s="896">
        <f t="shared" si="6"/>
        <v>0</v>
      </c>
      <c r="AH13" s="896">
        <f t="shared" si="6"/>
        <v>0</v>
      </c>
      <c r="AI13" s="896">
        <f t="shared" si="6"/>
        <v>0</v>
      </c>
      <c r="AJ13" s="896">
        <f t="shared" si="6"/>
        <v>0</v>
      </c>
      <c r="AK13" s="896">
        <f t="shared" si="6"/>
        <v>0</v>
      </c>
      <c r="AL13" s="896">
        <f t="shared" si="6"/>
        <v>0</v>
      </c>
      <c r="AM13" s="896">
        <f t="shared" si="7"/>
        <v>0</v>
      </c>
      <c r="AN13" s="896">
        <f t="shared" si="7"/>
        <v>0</v>
      </c>
      <c r="AO13" s="896">
        <f t="shared" si="7"/>
        <v>0</v>
      </c>
      <c r="AP13" s="896">
        <f t="shared" si="7"/>
        <v>0</v>
      </c>
      <c r="AQ13" s="896">
        <f t="shared" si="7"/>
        <v>0</v>
      </c>
      <c r="AR13" s="896">
        <f t="shared" si="7"/>
        <v>0</v>
      </c>
      <c r="AS13" s="896">
        <f t="shared" si="7"/>
        <v>0</v>
      </c>
      <c r="AT13" s="896">
        <f t="shared" si="7"/>
        <v>0</v>
      </c>
      <c r="AU13" s="896">
        <f t="shared" si="7"/>
        <v>0</v>
      </c>
      <c r="AV13" s="896">
        <f t="shared" si="7"/>
        <v>0</v>
      </c>
      <c r="AW13" s="896">
        <f t="shared" si="8"/>
        <v>0</v>
      </c>
      <c r="AX13" s="896">
        <f t="shared" si="8"/>
        <v>0</v>
      </c>
      <c r="AY13" s="896">
        <f t="shared" si="8"/>
        <v>0</v>
      </c>
      <c r="AZ13" s="896">
        <f t="shared" si="8"/>
        <v>0</v>
      </c>
      <c r="BA13" s="896">
        <f t="shared" si="8"/>
        <v>0</v>
      </c>
      <c r="BB13" s="896">
        <f t="shared" si="8"/>
        <v>0</v>
      </c>
      <c r="BC13" s="896">
        <f t="shared" si="8"/>
        <v>0</v>
      </c>
      <c r="BD13" s="896">
        <f t="shared" si="8"/>
        <v>0</v>
      </c>
      <c r="BE13" s="896">
        <f t="shared" si="8"/>
        <v>0</v>
      </c>
      <c r="BF13" s="896">
        <f t="shared" si="8"/>
        <v>0</v>
      </c>
      <c r="BG13" s="896">
        <f t="shared" si="9"/>
        <v>0</v>
      </c>
      <c r="BH13" s="896">
        <f t="shared" si="9"/>
        <v>0</v>
      </c>
      <c r="BI13" s="896">
        <f t="shared" si="9"/>
        <v>0</v>
      </c>
      <c r="BJ13" s="896">
        <f t="shared" si="9"/>
        <v>0</v>
      </c>
      <c r="BK13" s="896">
        <f t="shared" si="9"/>
        <v>0</v>
      </c>
      <c r="BL13" s="896">
        <f t="shared" si="9"/>
        <v>0</v>
      </c>
      <c r="BM13" s="896">
        <f t="shared" si="9"/>
        <v>0</v>
      </c>
      <c r="BN13" s="896">
        <f t="shared" si="9"/>
        <v>0</v>
      </c>
      <c r="BO13" s="896">
        <f t="shared" si="9"/>
        <v>0</v>
      </c>
      <c r="BP13" s="896">
        <f t="shared" si="9"/>
        <v>0</v>
      </c>
    </row>
    <row r="14" spans="1:68" ht="15.75" thickBot="1" x14ac:dyDescent="0.3">
      <c r="A14" s="476" t="s">
        <v>452</v>
      </c>
      <c r="B14" s="473"/>
      <c r="C14" s="487" t="str">
        <f>IF($B14&lt;&gt;"",VLOOKUP($B14,COSTS_Dark_Elixir_Storage[#All],2),"")</f>
        <v/>
      </c>
      <c r="D14" s="494" t="str">
        <f>IF($B14&lt;&gt;"",VLOOKUP($B14,COSTS_Dark_Elixir_Storage[#All],3)/24,"")</f>
        <v/>
      </c>
      <c r="E14" s="499"/>
      <c r="F14" s="513"/>
      <c r="G14" s="500" t="str">
        <f t="shared" si="3"/>
        <v/>
      </c>
      <c r="H14" s="503"/>
      <c r="I14" s="898">
        <f t="shared" si="4"/>
        <v>0</v>
      </c>
      <c r="J14" s="898">
        <f t="shared" si="1"/>
        <v>0</v>
      </c>
      <c r="K14" s="898">
        <f t="shared" si="1"/>
        <v>0</v>
      </c>
      <c r="L14" s="898">
        <f t="shared" si="1"/>
        <v>0</v>
      </c>
      <c r="M14" s="898">
        <f t="shared" si="1"/>
        <v>0</v>
      </c>
      <c r="N14" s="898">
        <f t="shared" si="1"/>
        <v>0</v>
      </c>
      <c r="O14" s="898">
        <f t="shared" si="1"/>
        <v>0</v>
      </c>
      <c r="P14" s="898">
        <f t="shared" si="1"/>
        <v>0</v>
      </c>
      <c r="Q14" s="898">
        <f t="shared" si="1"/>
        <v>0</v>
      </c>
      <c r="R14" s="896">
        <f t="shared" si="1"/>
        <v>0</v>
      </c>
      <c r="S14" s="896">
        <f t="shared" si="5"/>
        <v>0</v>
      </c>
      <c r="T14" s="896">
        <f t="shared" si="5"/>
        <v>0</v>
      </c>
      <c r="U14" s="896">
        <f t="shared" si="5"/>
        <v>0</v>
      </c>
      <c r="V14" s="896">
        <f t="shared" si="5"/>
        <v>0</v>
      </c>
      <c r="W14" s="896">
        <f t="shared" si="5"/>
        <v>0</v>
      </c>
      <c r="X14" s="896">
        <f t="shared" si="5"/>
        <v>0</v>
      </c>
      <c r="Y14" s="896">
        <f t="shared" si="5"/>
        <v>0</v>
      </c>
      <c r="Z14" s="896">
        <f t="shared" si="5"/>
        <v>0</v>
      </c>
      <c r="AA14" s="896">
        <f t="shared" si="5"/>
        <v>0</v>
      </c>
      <c r="AB14" s="896">
        <f t="shared" si="5"/>
        <v>0</v>
      </c>
      <c r="AC14" s="896">
        <f t="shared" si="6"/>
        <v>0</v>
      </c>
      <c r="AD14" s="896">
        <f t="shared" si="6"/>
        <v>0</v>
      </c>
      <c r="AE14" s="896">
        <f t="shared" si="6"/>
        <v>0</v>
      </c>
      <c r="AF14" s="896">
        <f t="shared" si="6"/>
        <v>0</v>
      </c>
      <c r="AG14" s="896">
        <f t="shared" si="6"/>
        <v>0</v>
      </c>
      <c r="AH14" s="896">
        <f t="shared" si="6"/>
        <v>0</v>
      </c>
      <c r="AI14" s="896">
        <f t="shared" si="6"/>
        <v>0</v>
      </c>
      <c r="AJ14" s="896">
        <f t="shared" si="6"/>
        <v>0</v>
      </c>
      <c r="AK14" s="896">
        <f t="shared" si="6"/>
        <v>0</v>
      </c>
      <c r="AL14" s="896">
        <f t="shared" si="6"/>
        <v>0</v>
      </c>
      <c r="AM14" s="896">
        <f t="shared" si="7"/>
        <v>0</v>
      </c>
      <c r="AN14" s="896">
        <f t="shared" si="7"/>
        <v>0</v>
      </c>
      <c r="AO14" s="896">
        <f t="shared" si="7"/>
        <v>0</v>
      </c>
      <c r="AP14" s="896">
        <f t="shared" si="7"/>
        <v>0</v>
      </c>
      <c r="AQ14" s="896">
        <f t="shared" si="7"/>
        <v>0</v>
      </c>
      <c r="AR14" s="896">
        <f t="shared" si="7"/>
        <v>0</v>
      </c>
      <c r="AS14" s="896">
        <f t="shared" si="7"/>
        <v>0</v>
      </c>
      <c r="AT14" s="896">
        <f t="shared" si="7"/>
        <v>0</v>
      </c>
      <c r="AU14" s="896">
        <f t="shared" si="7"/>
        <v>0</v>
      </c>
      <c r="AV14" s="896">
        <f t="shared" si="7"/>
        <v>0</v>
      </c>
      <c r="AW14" s="896">
        <f t="shared" si="8"/>
        <v>0</v>
      </c>
      <c r="AX14" s="896">
        <f t="shared" si="8"/>
        <v>0</v>
      </c>
      <c r="AY14" s="896">
        <f t="shared" si="8"/>
        <v>0</v>
      </c>
      <c r="AZ14" s="896">
        <f t="shared" si="8"/>
        <v>0</v>
      </c>
      <c r="BA14" s="896">
        <f t="shared" si="8"/>
        <v>0</v>
      </c>
      <c r="BB14" s="896">
        <f t="shared" si="8"/>
        <v>0</v>
      </c>
      <c r="BC14" s="896">
        <f t="shared" si="8"/>
        <v>0</v>
      </c>
      <c r="BD14" s="896">
        <f t="shared" si="8"/>
        <v>0</v>
      </c>
      <c r="BE14" s="896">
        <f t="shared" si="8"/>
        <v>0</v>
      </c>
      <c r="BF14" s="896">
        <f t="shared" si="8"/>
        <v>0</v>
      </c>
      <c r="BG14" s="896">
        <f t="shared" si="9"/>
        <v>0</v>
      </c>
      <c r="BH14" s="896">
        <f t="shared" si="9"/>
        <v>0</v>
      </c>
      <c r="BI14" s="896">
        <f t="shared" si="9"/>
        <v>0</v>
      </c>
      <c r="BJ14" s="896">
        <f t="shared" si="9"/>
        <v>0</v>
      </c>
      <c r="BK14" s="896">
        <f t="shared" si="9"/>
        <v>0</v>
      </c>
      <c r="BL14" s="896">
        <f t="shared" si="9"/>
        <v>0</v>
      </c>
      <c r="BM14" s="896">
        <f t="shared" si="9"/>
        <v>0</v>
      </c>
      <c r="BN14" s="896">
        <f t="shared" si="9"/>
        <v>0</v>
      </c>
      <c r="BO14" s="896">
        <f t="shared" si="9"/>
        <v>0</v>
      </c>
      <c r="BP14" s="896">
        <f t="shared" si="9"/>
        <v>0</v>
      </c>
    </row>
    <row r="15" spans="1:68" ht="16.5" thickBot="1" x14ac:dyDescent="0.3">
      <c r="A15" s="1013" t="s">
        <v>181</v>
      </c>
      <c r="B15" s="1014"/>
      <c r="C15" s="1014"/>
      <c r="D15" s="1014"/>
      <c r="E15" s="1014"/>
      <c r="F15" s="1014"/>
      <c r="G15" s="1014"/>
      <c r="H15" s="1015"/>
      <c r="I15" s="898">
        <f t="shared" si="4"/>
        <v>0</v>
      </c>
      <c r="J15" s="898">
        <f t="shared" si="1"/>
        <v>0</v>
      </c>
      <c r="K15" s="898">
        <f t="shared" si="1"/>
        <v>0</v>
      </c>
      <c r="L15" s="898">
        <f t="shared" si="1"/>
        <v>0</v>
      </c>
      <c r="M15" s="898">
        <f t="shared" si="1"/>
        <v>0</v>
      </c>
      <c r="N15" s="898">
        <f t="shared" si="1"/>
        <v>0</v>
      </c>
      <c r="O15" s="898">
        <f t="shared" si="1"/>
        <v>0</v>
      </c>
      <c r="P15" s="898">
        <f t="shared" si="1"/>
        <v>0</v>
      </c>
      <c r="Q15" s="898">
        <f t="shared" si="1"/>
        <v>0</v>
      </c>
      <c r="R15" s="896">
        <f t="shared" si="1"/>
        <v>0</v>
      </c>
      <c r="S15" s="896">
        <f t="shared" si="5"/>
        <v>0</v>
      </c>
      <c r="T15" s="896">
        <f t="shared" si="5"/>
        <v>0</v>
      </c>
      <c r="U15" s="896">
        <f t="shared" si="5"/>
        <v>0</v>
      </c>
      <c r="V15" s="896">
        <f t="shared" si="5"/>
        <v>0</v>
      </c>
      <c r="W15" s="896">
        <f t="shared" si="5"/>
        <v>0</v>
      </c>
      <c r="X15" s="896">
        <f t="shared" si="5"/>
        <v>0</v>
      </c>
      <c r="Y15" s="896">
        <f t="shared" si="5"/>
        <v>0</v>
      </c>
      <c r="Z15" s="896">
        <f t="shared" si="5"/>
        <v>0</v>
      </c>
      <c r="AA15" s="896">
        <f t="shared" si="5"/>
        <v>0</v>
      </c>
      <c r="AB15" s="896">
        <f t="shared" si="5"/>
        <v>0</v>
      </c>
      <c r="AC15" s="896">
        <f t="shared" si="6"/>
        <v>0</v>
      </c>
      <c r="AD15" s="896">
        <f t="shared" si="6"/>
        <v>0</v>
      </c>
      <c r="AE15" s="896">
        <f t="shared" si="6"/>
        <v>0</v>
      </c>
      <c r="AF15" s="896">
        <f t="shared" si="6"/>
        <v>0</v>
      </c>
      <c r="AG15" s="896">
        <f t="shared" si="6"/>
        <v>0</v>
      </c>
      <c r="AH15" s="896">
        <f t="shared" si="6"/>
        <v>0</v>
      </c>
      <c r="AI15" s="896">
        <f t="shared" si="6"/>
        <v>0</v>
      </c>
      <c r="AJ15" s="896">
        <f t="shared" si="6"/>
        <v>0</v>
      </c>
      <c r="AK15" s="896">
        <f t="shared" si="6"/>
        <v>0</v>
      </c>
      <c r="AL15" s="896">
        <f t="shared" si="6"/>
        <v>0</v>
      </c>
      <c r="AM15" s="896">
        <f t="shared" si="7"/>
        <v>0</v>
      </c>
      <c r="AN15" s="896">
        <f t="shared" si="7"/>
        <v>0</v>
      </c>
      <c r="AO15" s="896">
        <f t="shared" si="7"/>
        <v>0</v>
      </c>
      <c r="AP15" s="896">
        <f t="shared" si="7"/>
        <v>0</v>
      </c>
      <c r="AQ15" s="896">
        <f t="shared" si="7"/>
        <v>0</v>
      </c>
      <c r="AR15" s="896">
        <f t="shared" si="7"/>
        <v>0</v>
      </c>
      <c r="AS15" s="896">
        <f t="shared" si="7"/>
        <v>0</v>
      </c>
      <c r="AT15" s="896">
        <f t="shared" si="7"/>
        <v>0</v>
      </c>
      <c r="AU15" s="896">
        <f t="shared" si="7"/>
        <v>0</v>
      </c>
      <c r="AV15" s="896">
        <f t="shared" si="7"/>
        <v>0</v>
      </c>
      <c r="AW15" s="896">
        <f t="shared" si="8"/>
        <v>0</v>
      </c>
      <c r="AX15" s="896">
        <f t="shared" si="8"/>
        <v>0</v>
      </c>
      <c r="AY15" s="896">
        <f t="shared" si="8"/>
        <v>0</v>
      </c>
      <c r="AZ15" s="896">
        <f t="shared" si="8"/>
        <v>0</v>
      </c>
      <c r="BA15" s="896">
        <f t="shared" si="8"/>
        <v>0</v>
      </c>
      <c r="BB15" s="896">
        <f t="shared" si="8"/>
        <v>0</v>
      </c>
      <c r="BC15" s="896">
        <f t="shared" si="8"/>
        <v>0</v>
      </c>
      <c r="BD15" s="896">
        <f t="shared" si="8"/>
        <v>0</v>
      </c>
      <c r="BE15" s="896">
        <f t="shared" si="8"/>
        <v>0</v>
      </c>
      <c r="BF15" s="896">
        <f t="shared" si="8"/>
        <v>0</v>
      </c>
      <c r="BG15" s="896">
        <f t="shared" si="9"/>
        <v>0</v>
      </c>
      <c r="BH15" s="896">
        <f t="shared" si="9"/>
        <v>0</v>
      </c>
      <c r="BI15" s="896">
        <f t="shared" si="9"/>
        <v>0</v>
      </c>
      <c r="BJ15" s="896">
        <f t="shared" si="9"/>
        <v>0</v>
      </c>
      <c r="BK15" s="896">
        <f t="shared" si="9"/>
        <v>0</v>
      </c>
      <c r="BL15" s="896">
        <f t="shared" si="9"/>
        <v>0</v>
      </c>
      <c r="BM15" s="896">
        <f t="shared" si="9"/>
        <v>0</v>
      </c>
      <c r="BN15" s="896">
        <f t="shared" si="9"/>
        <v>0</v>
      </c>
      <c r="BO15" s="896">
        <f t="shared" si="9"/>
        <v>0</v>
      </c>
      <c r="BP15" s="896">
        <f t="shared" si="9"/>
        <v>0</v>
      </c>
    </row>
    <row r="16" spans="1:68" x14ac:dyDescent="0.25">
      <c r="A16" s="482" t="s">
        <v>207</v>
      </c>
      <c r="B16" s="483"/>
      <c r="C16" s="463" t="str">
        <f>IF($B16&lt;&gt;"",VLOOKUP($B16,COSTS_Barrack[#All],2),"")</f>
        <v/>
      </c>
      <c r="D16" s="491" t="str">
        <f>IF($B16&lt;&gt;"",VLOOKUP($B16,COSTS_Barrack[#All],3)/24,"")</f>
        <v/>
      </c>
      <c r="E16" s="499"/>
      <c r="F16" s="512"/>
      <c r="G16" s="500" t="str">
        <f>IF($D16&lt;&gt;"",$D16,"")</f>
        <v/>
      </c>
      <c r="H16" s="501"/>
      <c r="I16" s="898">
        <f t="shared" si="4"/>
        <v>0</v>
      </c>
      <c r="J16" s="898">
        <f t="shared" si="1"/>
        <v>0</v>
      </c>
      <c r="K16" s="898">
        <f t="shared" si="1"/>
        <v>0</v>
      </c>
      <c r="L16" s="898">
        <f t="shared" si="1"/>
        <v>0</v>
      </c>
      <c r="M16" s="898">
        <f t="shared" si="1"/>
        <v>0</v>
      </c>
      <c r="N16" s="898">
        <f t="shared" si="1"/>
        <v>0</v>
      </c>
      <c r="O16" s="898">
        <f t="shared" si="1"/>
        <v>0</v>
      </c>
      <c r="P16" s="898">
        <f t="shared" si="1"/>
        <v>0</v>
      </c>
      <c r="Q16" s="898">
        <f t="shared" si="1"/>
        <v>0</v>
      </c>
      <c r="R16" s="896">
        <f t="shared" si="1"/>
        <v>0</v>
      </c>
      <c r="S16" s="896">
        <f t="shared" si="5"/>
        <v>0</v>
      </c>
      <c r="T16" s="896">
        <f t="shared" si="5"/>
        <v>0</v>
      </c>
      <c r="U16" s="896">
        <f t="shared" si="5"/>
        <v>0</v>
      </c>
      <c r="V16" s="896">
        <f t="shared" si="5"/>
        <v>0</v>
      </c>
      <c r="W16" s="896">
        <f t="shared" si="5"/>
        <v>0</v>
      </c>
      <c r="X16" s="896">
        <f t="shared" si="5"/>
        <v>0</v>
      </c>
      <c r="Y16" s="896">
        <f t="shared" si="5"/>
        <v>0</v>
      </c>
      <c r="Z16" s="896">
        <f t="shared" si="5"/>
        <v>0</v>
      </c>
      <c r="AA16" s="896">
        <f t="shared" si="5"/>
        <v>0</v>
      </c>
      <c r="AB16" s="896">
        <f t="shared" si="5"/>
        <v>0</v>
      </c>
      <c r="AC16" s="896">
        <f t="shared" si="6"/>
        <v>0</v>
      </c>
      <c r="AD16" s="896">
        <f t="shared" si="6"/>
        <v>0</v>
      </c>
      <c r="AE16" s="896">
        <f t="shared" si="6"/>
        <v>0</v>
      </c>
      <c r="AF16" s="896">
        <f t="shared" si="6"/>
        <v>0</v>
      </c>
      <c r="AG16" s="896">
        <f t="shared" si="6"/>
        <v>0</v>
      </c>
      <c r="AH16" s="896">
        <f t="shared" si="6"/>
        <v>0</v>
      </c>
      <c r="AI16" s="896">
        <f t="shared" si="6"/>
        <v>0</v>
      </c>
      <c r="AJ16" s="896">
        <f t="shared" si="6"/>
        <v>0</v>
      </c>
      <c r="AK16" s="896">
        <f t="shared" si="6"/>
        <v>0</v>
      </c>
      <c r="AL16" s="896">
        <f t="shared" si="6"/>
        <v>0</v>
      </c>
      <c r="AM16" s="896">
        <f t="shared" si="7"/>
        <v>0</v>
      </c>
      <c r="AN16" s="896">
        <f t="shared" si="7"/>
        <v>0</v>
      </c>
      <c r="AO16" s="896">
        <f t="shared" si="7"/>
        <v>0</v>
      </c>
      <c r="AP16" s="896">
        <f t="shared" si="7"/>
        <v>0</v>
      </c>
      <c r="AQ16" s="896">
        <f t="shared" si="7"/>
        <v>0</v>
      </c>
      <c r="AR16" s="896">
        <f t="shared" si="7"/>
        <v>0</v>
      </c>
      <c r="AS16" s="896">
        <f t="shared" si="7"/>
        <v>0</v>
      </c>
      <c r="AT16" s="896">
        <f t="shared" si="7"/>
        <v>0</v>
      </c>
      <c r="AU16" s="896">
        <f t="shared" si="7"/>
        <v>0</v>
      </c>
      <c r="AV16" s="896">
        <f t="shared" si="7"/>
        <v>0</v>
      </c>
      <c r="AW16" s="896">
        <f t="shared" si="8"/>
        <v>0</v>
      </c>
      <c r="AX16" s="896">
        <f t="shared" si="8"/>
        <v>0</v>
      </c>
      <c r="AY16" s="896">
        <f t="shared" si="8"/>
        <v>0</v>
      </c>
      <c r="AZ16" s="896">
        <f t="shared" si="8"/>
        <v>0</v>
      </c>
      <c r="BA16" s="896">
        <f t="shared" si="8"/>
        <v>0</v>
      </c>
      <c r="BB16" s="896">
        <f t="shared" si="8"/>
        <v>0</v>
      </c>
      <c r="BC16" s="896">
        <f t="shared" si="8"/>
        <v>0</v>
      </c>
      <c r="BD16" s="896">
        <f t="shared" si="8"/>
        <v>0</v>
      </c>
      <c r="BE16" s="896">
        <f t="shared" si="8"/>
        <v>0</v>
      </c>
      <c r="BF16" s="896">
        <f t="shared" si="8"/>
        <v>0</v>
      </c>
      <c r="BG16" s="896">
        <f t="shared" si="9"/>
        <v>0</v>
      </c>
      <c r="BH16" s="896">
        <f t="shared" si="9"/>
        <v>0</v>
      </c>
      <c r="BI16" s="896">
        <f t="shared" si="9"/>
        <v>0</v>
      </c>
      <c r="BJ16" s="896">
        <f t="shared" si="9"/>
        <v>0</v>
      </c>
      <c r="BK16" s="896">
        <f t="shared" si="9"/>
        <v>0</v>
      </c>
      <c r="BL16" s="896">
        <f t="shared" si="9"/>
        <v>0</v>
      </c>
      <c r="BM16" s="896">
        <f t="shared" si="9"/>
        <v>0</v>
      </c>
      <c r="BN16" s="896">
        <f t="shared" si="9"/>
        <v>0</v>
      </c>
      <c r="BO16" s="896">
        <f t="shared" si="9"/>
        <v>0</v>
      </c>
      <c r="BP16" s="896">
        <f t="shared" si="9"/>
        <v>0</v>
      </c>
    </row>
    <row r="17" spans="1:68" x14ac:dyDescent="0.25">
      <c r="A17" s="476" t="s">
        <v>343</v>
      </c>
      <c r="B17" s="473"/>
      <c r="C17" s="487" t="str">
        <f>IF($B17&lt;&gt;"",VLOOKUP($B17,COSTS_Dark_Barrack[#All],2),"")</f>
        <v/>
      </c>
      <c r="D17" s="492" t="str">
        <f>IF($B17&lt;&gt;"",VLOOKUP($B17,COSTS_Dark_Barrack[#All],3)/24,"")</f>
        <v/>
      </c>
      <c r="E17" s="499"/>
      <c r="F17" s="513"/>
      <c r="G17" s="500" t="str">
        <f t="shared" ref="G17:G21" si="11">IF($D17&lt;&gt;"",$D17,"")</f>
        <v/>
      </c>
      <c r="H17" s="503"/>
      <c r="I17" s="898">
        <f t="shared" si="4"/>
        <v>0</v>
      </c>
      <c r="J17" s="898">
        <f t="shared" si="1"/>
        <v>0</v>
      </c>
      <c r="K17" s="898">
        <f t="shared" si="1"/>
        <v>0</v>
      </c>
      <c r="L17" s="898">
        <f t="shared" si="1"/>
        <v>0</v>
      </c>
      <c r="M17" s="898">
        <f t="shared" si="1"/>
        <v>0</v>
      </c>
      <c r="N17" s="898">
        <f t="shared" si="1"/>
        <v>0</v>
      </c>
      <c r="O17" s="898">
        <f t="shared" si="1"/>
        <v>0</v>
      </c>
      <c r="P17" s="898">
        <f t="shared" si="1"/>
        <v>0</v>
      </c>
      <c r="Q17" s="898">
        <f t="shared" si="1"/>
        <v>0</v>
      </c>
      <c r="R17" s="896">
        <f t="shared" si="1"/>
        <v>0</v>
      </c>
      <c r="S17" s="896">
        <f t="shared" si="5"/>
        <v>0</v>
      </c>
      <c r="T17" s="896">
        <f t="shared" si="5"/>
        <v>0</v>
      </c>
      <c r="U17" s="896">
        <f t="shared" si="5"/>
        <v>0</v>
      </c>
      <c r="V17" s="896">
        <f t="shared" si="5"/>
        <v>0</v>
      </c>
      <c r="W17" s="896">
        <f t="shared" si="5"/>
        <v>0</v>
      </c>
      <c r="X17" s="896">
        <f t="shared" si="5"/>
        <v>0</v>
      </c>
      <c r="Y17" s="896">
        <f t="shared" si="5"/>
        <v>0</v>
      </c>
      <c r="Z17" s="896">
        <f t="shared" si="5"/>
        <v>0</v>
      </c>
      <c r="AA17" s="896">
        <f t="shared" si="5"/>
        <v>0</v>
      </c>
      <c r="AB17" s="896">
        <f t="shared" si="5"/>
        <v>0</v>
      </c>
      <c r="AC17" s="896">
        <f t="shared" si="6"/>
        <v>0</v>
      </c>
      <c r="AD17" s="896">
        <f t="shared" si="6"/>
        <v>0</v>
      </c>
      <c r="AE17" s="896">
        <f t="shared" si="6"/>
        <v>0</v>
      </c>
      <c r="AF17" s="896">
        <f t="shared" si="6"/>
        <v>0</v>
      </c>
      <c r="AG17" s="896">
        <f t="shared" si="6"/>
        <v>0</v>
      </c>
      <c r="AH17" s="896">
        <f t="shared" si="6"/>
        <v>0</v>
      </c>
      <c r="AI17" s="896">
        <f t="shared" si="6"/>
        <v>0</v>
      </c>
      <c r="AJ17" s="896">
        <f t="shared" si="6"/>
        <v>0</v>
      </c>
      <c r="AK17" s="896">
        <f t="shared" si="6"/>
        <v>0</v>
      </c>
      <c r="AL17" s="896">
        <f t="shared" si="6"/>
        <v>0</v>
      </c>
      <c r="AM17" s="896">
        <f t="shared" si="7"/>
        <v>0</v>
      </c>
      <c r="AN17" s="896">
        <f t="shared" si="7"/>
        <v>0</v>
      </c>
      <c r="AO17" s="896">
        <f t="shared" si="7"/>
        <v>0</v>
      </c>
      <c r="AP17" s="896">
        <f t="shared" si="7"/>
        <v>0</v>
      </c>
      <c r="AQ17" s="896">
        <f t="shared" si="7"/>
        <v>0</v>
      </c>
      <c r="AR17" s="896">
        <f t="shared" si="7"/>
        <v>0</v>
      </c>
      <c r="AS17" s="896">
        <f t="shared" si="7"/>
        <v>0</v>
      </c>
      <c r="AT17" s="896">
        <f t="shared" si="7"/>
        <v>0</v>
      </c>
      <c r="AU17" s="896">
        <f t="shared" si="7"/>
        <v>0</v>
      </c>
      <c r="AV17" s="896">
        <f t="shared" si="7"/>
        <v>0</v>
      </c>
      <c r="AW17" s="896">
        <f t="shared" si="8"/>
        <v>0</v>
      </c>
      <c r="AX17" s="896">
        <f t="shared" si="8"/>
        <v>0</v>
      </c>
      <c r="AY17" s="896">
        <f t="shared" si="8"/>
        <v>0</v>
      </c>
      <c r="AZ17" s="896">
        <f t="shared" si="8"/>
        <v>0</v>
      </c>
      <c r="BA17" s="896">
        <f t="shared" si="8"/>
        <v>0</v>
      </c>
      <c r="BB17" s="896">
        <f t="shared" si="8"/>
        <v>0</v>
      </c>
      <c r="BC17" s="896">
        <f t="shared" si="8"/>
        <v>0</v>
      </c>
      <c r="BD17" s="896">
        <f t="shared" si="8"/>
        <v>0</v>
      </c>
      <c r="BE17" s="896">
        <f t="shared" si="8"/>
        <v>0</v>
      </c>
      <c r="BF17" s="896">
        <f t="shared" si="8"/>
        <v>0</v>
      </c>
      <c r="BG17" s="896">
        <f t="shared" si="9"/>
        <v>0</v>
      </c>
      <c r="BH17" s="896">
        <f t="shared" si="9"/>
        <v>0</v>
      </c>
      <c r="BI17" s="896">
        <f t="shared" si="9"/>
        <v>0</v>
      </c>
      <c r="BJ17" s="896">
        <f t="shared" si="9"/>
        <v>0</v>
      </c>
      <c r="BK17" s="896">
        <f t="shared" si="9"/>
        <v>0</v>
      </c>
      <c r="BL17" s="896">
        <f t="shared" si="9"/>
        <v>0</v>
      </c>
      <c r="BM17" s="896">
        <f t="shared" si="9"/>
        <v>0</v>
      </c>
      <c r="BN17" s="896">
        <f t="shared" si="9"/>
        <v>0</v>
      </c>
      <c r="BO17" s="896">
        <f t="shared" si="9"/>
        <v>0</v>
      </c>
      <c r="BP17" s="896">
        <f t="shared" si="9"/>
        <v>0</v>
      </c>
    </row>
    <row r="18" spans="1:68" x14ac:dyDescent="0.25">
      <c r="A18" s="476" t="s">
        <v>338</v>
      </c>
      <c r="B18" s="473"/>
      <c r="C18" s="487" t="str">
        <f>IF($B18&lt;&gt;"",VLOOKUP($B18,COSTS_Army_Camp[#All],2),"")</f>
        <v/>
      </c>
      <c r="D18" s="492" t="str">
        <f>IF($B18&lt;&gt;"",VLOOKUP($B18,COSTS_Army_Camp[#All],3)/24,"")</f>
        <v/>
      </c>
      <c r="E18" s="499"/>
      <c r="F18" s="513"/>
      <c r="G18" s="185" t="str">
        <f t="shared" si="11"/>
        <v/>
      </c>
      <c r="H18" s="503"/>
      <c r="I18" s="898">
        <f t="shared" si="4"/>
        <v>0</v>
      </c>
      <c r="J18" s="898">
        <f t="shared" si="1"/>
        <v>0</v>
      </c>
      <c r="K18" s="898">
        <f t="shared" si="1"/>
        <v>0</v>
      </c>
      <c r="L18" s="898">
        <f t="shared" si="1"/>
        <v>0</v>
      </c>
      <c r="M18" s="898">
        <f t="shared" si="1"/>
        <v>0</v>
      </c>
      <c r="N18" s="898">
        <f t="shared" si="1"/>
        <v>0</v>
      </c>
      <c r="O18" s="898">
        <f t="shared" si="1"/>
        <v>0</v>
      </c>
      <c r="P18" s="898">
        <f t="shared" si="1"/>
        <v>0</v>
      </c>
      <c r="Q18" s="898">
        <f t="shared" si="1"/>
        <v>0</v>
      </c>
      <c r="R18" s="896">
        <f t="shared" si="1"/>
        <v>0</v>
      </c>
      <c r="S18" s="896">
        <f t="shared" si="5"/>
        <v>0</v>
      </c>
      <c r="T18" s="896">
        <f t="shared" si="5"/>
        <v>0</v>
      </c>
      <c r="U18" s="896">
        <f t="shared" si="5"/>
        <v>0</v>
      </c>
      <c r="V18" s="896">
        <f t="shared" si="5"/>
        <v>0</v>
      </c>
      <c r="W18" s="896">
        <f t="shared" si="5"/>
        <v>0</v>
      </c>
      <c r="X18" s="896">
        <f t="shared" si="5"/>
        <v>0</v>
      </c>
      <c r="Y18" s="896">
        <f t="shared" si="5"/>
        <v>0</v>
      </c>
      <c r="Z18" s="896">
        <f t="shared" si="5"/>
        <v>0</v>
      </c>
      <c r="AA18" s="896">
        <f t="shared" si="5"/>
        <v>0</v>
      </c>
      <c r="AB18" s="896">
        <f t="shared" si="5"/>
        <v>0</v>
      </c>
      <c r="AC18" s="896">
        <f t="shared" si="6"/>
        <v>0</v>
      </c>
      <c r="AD18" s="896">
        <f t="shared" si="6"/>
        <v>0</v>
      </c>
      <c r="AE18" s="896">
        <f t="shared" si="6"/>
        <v>0</v>
      </c>
      <c r="AF18" s="896">
        <f t="shared" si="6"/>
        <v>0</v>
      </c>
      <c r="AG18" s="896">
        <f t="shared" si="6"/>
        <v>0</v>
      </c>
      <c r="AH18" s="896">
        <f t="shared" si="6"/>
        <v>0</v>
      </c>
      <c r="AI18" s="896">
        <f t="shared" si="6"/>
        <v>0</v>
      </c>
      <c r="AJ18" s="896">
        <f t="shared" si="6"/>
        <v>0</v>
      </c>
      <c r="AK18" s="896">
        <f t="shared" si="6"/>
        <v>0</v>
      </c>
      <c r="AL18" s="896">
        <f t="shared" si="6"/>
        <v>0</v>
      </c>
      <c r="AM18" s="896">
        <f t="shared" si="7"/>
        <v>0</v>
      </c>
      <c r="AN18" s="896">
        <f t="shared" si="7"/>
        <v>0</v>
      </c>
      <c r="AO18" s="896">
        <f t="shared" si="7"/>
        <v>0</v>
      </c>
      <c r="AP18" s="896">
        <f t="shared" si="7"/>
        <v>0</v>
      </c>
      <c r="AQ18" s="896">
        <f t="shared" si="7"/>
        <v>0</v>
      </c>
      <c r="AR18" s="896">
        <f t="shared" si="7"/>
        <v>0</v>
      </c>
      <c r="AS18" s="896">
        <f t="shared" si="7"/>
        <v>0</v>
      </c>
      <c r="AT18" s="896">
        <f t="shared" si="7"/>
        <v>0</v>
      </c>
      <c r="AU18" s="896">
        <f t="shared" si="7"/>
        <v>0</v>
      </c>
      <c r="AV18" s="896">
        <f t="shared" si="7"/>
        <v>0</v>
      </c>
      <c r="AW18" s="896">
        <f t="shared" si="8"/>
        <v>0</v>
      </c>
      <c r="AX18" s="896">
        <f t="shared" si="8"/>
        <v>0</v>
      </c>
      <c r="AY18" s="896">
        <f t="shared" si="8"/>
        <v>0</v>
      </c>
      <c r="AZ18" s="896">
        <f t="shared" si="8"/>
        <v>0</v>
      </c>
      <c r="BA18" s="896">
        <f t="shared" si="8"/>
        <v>0</v>
      </c>
      <c r="BB18" s="896">
        <f t="shared" si="8"/>
        <v>0</v>
      </c>
      <c r="BC18" s="896">
        <f t="shared" si="8"/>
        <v>0</v>
      </c>
      <c r="BD18" s="896">
        <f t="shared" si="8"/>
        <v>0</v>
      </c>
      <c r="BE18" s="896">
        <f t="shared" si="8"/>
        <v>0</v>
      </c>
      <c r="BF18" s="896">
        <f t="shared" si="8"/>
        <v>0</v>
      </c>
      <c r="BG18" s="896">
        <f t="shared" si="9"/>
        <v>0</v>
      </c>
      <c r="BH18" s="896">
        <f t="shared" si="9"/>
        <v>0</v>
      </c>
      <c r="BI18" s="896">
        <f t="shared" si="9"/>
        <v>0</v>
      </c>
      <c r="BJ18" s="896">
        <f t="shared" si="9"/>
        <v>0</v>
      </c>
      <c r="BK18" s="896">
        <f t="shared" si="9"/>
        <v>0</v>
      </c>
      <c r="BL18" s="896">
        <f t="shared" si="9"/>
        <v>0</v>
      </c>
      <c r="BM18" s="896">
        <f t="shared" si="9"/>
        <v>0</v>
      </c>
      <c r="BN18" s="896">
        <f t="shared" si="9"/>
        <v>0</v>
      </c>
      <c r="BO18" s="896">
        <f t="shared" si="9"/>
        <v>0</v>
      </c>
      <c r="BP18" s="896">
        <f t="shared" si="9"/>
        <v>0</v>
      </c>
    </row>
    <row r="19" spans="1:68" x14ac:dyDescent="0.25">
      <c r="A19" s="476" t="s">
        <v>208</v>
      </c>
      <c r="B19" s="473"/>
      <c r="C19" s="487" t="str">
        <f>IF($B19&lt;&gt;"",VLOOKUP($B19,COSTS_Laboratory[#All],2),"")</f>
        <v/>
      </c>
      <c r="D19" s="492" t="str">
        <f>IF($B19&lt;&gt;"",VLOOKUP($B19,COSTS_Laboratory[#All],3)/24,"")</f>
        <v/>
      </c>
      <c r="E19" s="502"/>
      <c r="F19" s="513"/>
      <c r="G19" s="185" t="str">
        <f t="shared" si="11"/>
        <v/>
      </c>
      <c r="H19" s="503"/>
      <c r="I19" s="898">
        <f t="shared" si="4"/>
        <v>0</v>
      </c>
      <c r="J19" s="898">
        <f t="shared" si="1"/>
        <v>0</v>
      </c>
      <c r="K19" s="898">
        <f t="shared" si="1"/>
        <v>0</v>
      </c>
      <c r="L19" s="898">
        <f t="shared" si="1"/>
        <v>0</v>
      </c>
      <c r="M19" s="898">
        <f t="shared" si="1"/>
        <v>0</v>
      </c>
      <c r="N19" s="898">
        <f t="shared" si="1"/>
        <v>0</v>
      </c>
      <c r="O19" s="898">
        <f t="shared" si="1"/>
        <v>0</v>
      </c>
      <c r="P19" s="898">
        <f t="shared" si="1"/>
        <v>0</v>
      </c>
      <c r="Q19" s="898">
        <f t="shared" si="1"/>
        <v>0</v>
      </c>
      <c r="R19" s="896">
        <f t="shared" si="1"/>
        <v>0</v>
      </c>
      <c r="S19" s="896">
        <f t="shared" si="5"/>
        <v>0</v>
      </c>
      <c r="T19" s="896">
        <f t="shared" si="5"/>
        <v>0</v>
      </c>
      <c r="U19" s="896">
        <f t="shared" si="5"/>
        <v>0</v>
      </c>
      <c r="V19" s="896">
        <f t="shared" si="5"/>
        <v>0</v>
      </c>
      <c r="W19" s="896">
        <f t="shared" si="5"/>
        <v>0</v>
      </c>
      <c r="X19" s="896">
        <f t="shared" si="5"/>
        <v>0</v>
      </c>
      <c r="Y19" s="896">
        <f t="shared" si="5"/>
        <v>0</v>
      </c>
      <c r="Z19" s="896">
        <f t="shared" si="5"/>
        <v>0</v>
      </c>
      <c r="AA19" s="896">
        <f t="shared" si="5"/>
        <v>0</v>
      </c>
      <c r="AB19" s="896">
        <f t="shared" si="5"/>
        <v>0</v>
      </c>
      <c r="AC19" s="896">
        <f t="shared" si="6"/>
        <v>0</v>
      </c>
      <c r="AD19" s="896">
        <f t="shared" si="6"/>
        <v>0</v>
      </c>
      <c r="AE19" s="896">
        <f t="shared" si="6"/>
        <v>0</v>
      </c>
      <c r="AF19" s="896">
        <f t="shared" si="6"/>
        <v>0</v>
      </c>
      <c r="AG19" s="896">
        <f t="shared" si="6"/>
        <v>0</v>
      </c>
      <c r="AH19" s="896">
        <f t="shared" si="6"/>
        <v>0</v>
      </c>
      <c r="AI19" s="896">
        <f t="shared" si="6"/>
        <v>0</v>
      </c>
      <c r="AJ19" s="896">
        <f t="shared" si="6"/>
        <v>0</v>
      </c>
      <c r="AK19" s="896">
        <f t="shared" si="6"/>
        <v>0</v>
      </c>
      <c r="AL19" s="896">
        <f t="shared" si="6"/>
        <v>0</v>
      </c>
      <c r="AM19" s="896">
        <f t="shared" si="7"/>
        <v>0</v>
      </c>
      <c r="AN19" s="896">
        <f t="shared" si="7"/>
        <v>0</v>
      </c>
      <c r="AO19" s="896">
        <f t="shared" si="7"/>
        <v>0</v>
      </c>
      <c r="AP19" s="896">
        <f t="shared" si="7"/>
        <v>0</v>
      </c>
      <c r="AQ19" s="896">
        <f t="shared" si="7"/>
        <v>0</v>
      </c>
      <c r="AR19" s="896">
        <f t="shared" si="7"/>
        <v>0</v>
      </c>
      <c r="AS19" s="896">
        <f t="shared" si="7"/>
        <v>0</v>
      </c>
      <c r="AT19" s="896">
        <f t="shared" si="7"/>
        <v>0</v>
      </c>
      <c r="AU19" s="896">
        <f t="shared" si="7"/>
        <v>0</v>
      </c>
      <c r="AV19" s="896">
        <f t="shared" si="7"/>
        <v>0</v>
      </c>
      <c r="AW19" s="896">
        <f t="shared" si="8"/>
        <v>0</v>
      </c>
      <c r="AX19" s="896">
        <f t="shared" si="8"/>
        <v>0</v>
      </c>
      <c r="AY19" s="896">
        <f t="shared" si="8"/>
        <v>0</v>
      </c>
      <c r="AZ19" s="896">
        <f t="shared" si="8"/>
        <v>0</v>
      </c>
      <c r="BA19" s="896">
        <f t="shared" si="8"/>
        <v>0</v>
      </c>
      <c r="BB19" s="896">
        <f t="shared" si="8"/>
        <v>0</v>
      </c>
      <c r="BC19" s="896">
        <f t="shared" si="8"/>
        <v>0</v>
      </c>
      <c r="BD19" s="896">
        <f t="shared" si="8"/>
        <v>0</v>
      </c>
      <c r="BE19" s="896">
        <f t="shared" si="8"/>
        <v>0</v>
      </c>
      <c r="BF19" s="896">
        <f t="shared" si="8"/>
        <v>0</v>
      </c>
      <c r="BG19" s="896">
        <f t="shared" si="9"/>
        <v>0</v>
      </c>
      <c r="BH19" s="896">
        <f t="shared" si="9"/>
        <v>0</v>
      </c>
      <c r="BI19" s="896">
        <f t="shared" si="9"/>
        <v>0</v>
      </c>
      <c r="BJ19" s="896">
        <f t="shared" si="9"/>
        <v>0</v>
      </c>
      <c r="BK19" s="896">
        <f t="shared" si="9"/>
        <v>0</v>
      </c>
      <c r="BL19" s="896">
        <f t="shared" si="9"/>
        <v>0</v>
      </c>
      <c r="BM19" s="896">
        <f t="shared" si="9"/>
        <v>0</v>
      </c>
      <c r="BN19" s="896">
        <f t="shared" si="9"/>
        <v>0</v>
      </c>
      <c r="BO19" s="896">
        <f t="shared" si="9"/>
        <v>0</v>
      </c>
      <c r="BP19" s="896">
        <f t="shared" si="9"/>
        <v>0</v>
      </c>
    </row>
    <row r="20" spans="1:68" x14ac:dyDescent="0.25">
      <c r="A20" s="484" t="s">
        <v>209</v>
      </c>
      <c r="B20" s="485"/>
      <c r="C20" s="460" t="str">
        <f>IF($B20&lt;&gt;"",VLOOKUP($B20,COSTS_Spell_Factory[#All],2),"")</f>
        <v/>
      </c>
      <c r="D20" s="493" t="str">
        <f>IF($B20&lt;&gt;"",VLOOKUP($B20,COSTS_Spell_Factory[#All],3)/24,"")</f>
        <v/>
      </c>
      <c r="E20" s="514"/>
      <c r="F20" s="515"/>
      <c r="G20" s="504" t="str">
        <f t="shared" si="11"/>
        <v/>
      </c>
      <c r="H20" s="505"/>
      <c r="I20" s="898">
        <f t="shared" si="4"/>
        <v>0</v>
      </c>
      <c r="J20" s="898">
        <f t="shared" si="1"/>
        <v>0</v>
      </c>
      <c r="K20" s="898">
        <f t="shared" si="1"/>
        <v>0</v>
      </c>
      <c r="L20" s="898">
        <f t="shared" si="1"/>
        <v>0</v>
      </c>
      <c r="M20" s="898">
        <f t="shared" si="1"/>
        <v>0</v>
      </c>
      <c r="N20" s="898">
        <f t="shared" si="1"/>
        <v>0</v>
      </c>
      <c r="O20" s="898">
        <f t="shared" si="1"/>
        <v>0</v>
      </c>
      <c r="P20" s="898">
        <f t="shared" si="1"/>
        <v>0</v>
      </c>
      <c r="Q20" s="898">
        <f t="shared" si="1"/>
        <v>0</v>
      </c>
      <c r="R20" s="896">
        <f t="shared" si="1"/>
        <v>0</v>
      </c>
      <c r="S20" s="896">
        <f t="shared" si="5"/>
        <v>0</v>
      </c>
      <c r="T20" s="896">
        <f t="shared" si="5"/>
        <v>0</v>
      </c>
      <c r="U20" s="896">
        <f t="shared" si="5"/>
        <v>0</v>
      </c>
      <c r="V20" s="896">
        <f t="shared" si="5"/>
        <v>0</v>
      </c>
      <c r="W20" s="896">
        <f t="shared" si="5"/>
        <v>0</v>
      </c>
      <c r="X20" s="896">
        <f t="shared" si="5"/>
        <v>0</v>
      </c>
      <c r="Y20" s="896">
        <f t="shared" si="5"/>
        <v>0</v>
      </c>
      <c r="Z20" s="896">
        <f t="shared" si="5"/>
        <v>0</v>
      </c>
      <c r="AA20" s="896">
        <f t="shared" si="5"/>
        <v>0</v>
      </c>
      <c r="AB20" s="896">
        <f t="shared" si="5"/>
        <v>0</v>
      </c>
      <c r="AC20" s="896">
        <f t="shared" si="6"/>
        <v>0</v>
      </c>
      <c r="AD20" s="896">
        <f t="shared" si="6"/>
        <v>0</v>
      </c>
      <c r="AE20" s="896">
        <f t="shared" si="6"/>
        <v>0</v>
      </c>
      <c r="AF20" s="896">
        <f t="shared" si="6"/>
        <v>0</v>
      </c>
      <c r="AG20" s="896">
        <f t="shared" si="6"/>
        <v>0</v>
      </c>
      <c r="AH20" s="896">
        <f t="shared" si="6"/>
        <v>0</v>
      </c>
      <c r="AI20" s="896">
        <f t="shared" si="6"/>
        <v>0</v>
      </c>
      <c r="AJ20" s="896">
        <f t="shared" si="6"/>
        <v>0</v>
      </c>
      <c r="AK20" s="896">
        <f t="shared" si="6"/>
        <v>0</v>
      </c>
      <c r="AL20" s="896">
        <f t="shared" si="6"/>
        <v>0</v>
      </c>
      <c r="AM20" s="896">
        <f t="shared" si="7"/>
        <v>0</v>
      </c>
      <c r="AN20" s="896">
        <f t="shared" si="7"/>
        <v>0</v>
      </c>
      <c r="AO20" s="896">
        <f t="shared" si="7"/>
        <v>0</v>
      </c>
      <c r="AP20" s="896">
        <f t="shared" si="7"/>
        <v>0</v>
      </c>
      <c r="AQ20" s="896">
        <f t="shared" si="7"/>
        <v>0</v>
      </c>
      <c r="AR20" s="896">
        <f t="shared" si="7"/>
        <v>0</v>
      </c>
      <c r="AS20" s="896">
        <f t="shared" si="7"/>
        <v>0</v>
      </c>
      <c r="AT20" s="896">
        <f t="shared" si="7"/>
        <v>0</v>
      </c>
      <c r="AU20" s="896">
        <f t="shared" si="7"/>
        <v>0</v>
      </c>
      <c r="AV20" s="896">
        <f t="shared" si="7"/>
        <v>0</v>
      </c>
      <c r="AW20" s="896">
        <f t="shared" si="8"/>
        <v>0</v>
      </c>
      <c r="AX20" s="896">
        <f t="shared" si="8"/>
        <v>0</v>
      </c>
      <c r="AY20" s="896">
        <f t="shared" si="8"/>
        <v>0</v>
      </c>
      <c r="AZ20" s="896">
        <f t="shared" si="8"/>
        <v>0</v>
      </c>
      <c r="BA20" s="896">
        <f t="shared" si="8"/>
        <v>0</v>
      </c>
      <c r="BB20" s="896">
        <f t="shared" si="8"/>
        <v>0</v>
      </c>
      <c r="BC20" s="896">
        <f t="shared" si="8"/>
        <v>0</v>
      </c>
      <c r="BD20" s="896">
        <f t="shared" si="8"/>
        <v>0</v>
      </c>
      <c r="BE20" s="896">
        <f t="shared" si="8"/>
        <v>0</v>
      </c>
      <c r="BF20" s="896">
        <f t="shared" si="8"/>
        <v>0</v>
      </c>
      <c r="BG20" s="896">
        <f t="shared" si="9"/>
        <v>0</v>
      </c>
      <c r="BH20" s="896">
        <f t="shared" si="9"/>
        <v>0</v>
      </c>
      <c r="BI20" s="896">
        <f t="shared" si="9"/>
        <v>0</v>
      </c>
      <c r="BJ20" s="896">
        <f t="shared" si="9"/>
        <v>0</v>
      </c>
      <c r="BK20" s="896">
        <f t="shared" si="9"/>
        <v>0</v>
      </c>
      <c r="BL20" s="896">
        <f t="shared" si="9"/>
        <v>0</v>
      </c>
      <c r="BM20" s="896">
        <f t="shared" si="9"/>
        <v>0</v>
      </c>
      <c r="BN20" s="896">
        <f t="shared" si="9"/>
        <v>0</v>
      </c>
      <c r="BO20" s="896">
        <f t="shared" si="9"/>
        <v>0</v>
      </c>
      <c r="BP20" s="896">
        <f t="shared" si="9"/>
        <v>0</v>
      </c>
    </row>
    <row r="21" spans="1:68" ht="15.75" thickBot="1" x14ac:dyDescent="0.3">
      <c r="A21" s="484" t="s">
        <v>707</v>
      </c>
      <c r="B21" s="485"/>
      <c r="C21" s="460" t="str">
        <f>IF($B21&lt;&gt;"",VLOOKUP($B21,COSTS_Dark_Spell_Factory[#All],2),"")</f>
        <v/>
      </c>
      <c r="D21" s="493" t="str">
        <f>IF($B21&lt;&gt;"",VLOOKUP($B21,COSTS_Dark_Spell_Factory[#All],3)/24,"")</f>
        <v/>
      </c>
      <c r="E21" s="514"/>
      <c r="F21" s="515"/>
      <c r="G21" s="504" t="str">
        <f t="shared" si="11"/>
        <v/>
      </c>
      <c r="H21" s="505"/>
      <c r="I21" s="898">
        <f>IF(ISERROR(Plan),0,Plan)</f>
        <v>0</v>
      </c>
      <c r="J21" s="898">
        <f t="shared" si="1"/>
        <v>0</v>
      </c>
      <c r="K21" s="898">
        <f t="shared" si="1"/>
        <v>0</v>
      </c>
      <c r="L21" s="898">
        <f t="shared" si="1"/>
        <v>0</v>
      </c>
      <c r="M21" s="898">
        <f t="shared" si="1"/>
        <v>0</v>
      </c>
      <c r="N21" s="898">
        <f t="shared" si="1"/>
        <v>0</v>
      </c>
      <c r="O21" s="898">
        <f t="shared" si="1"/>
        <v>0</v>
      </c>
      <c r="P21" s="898">
        <f t="shared" si="1"/>
        <v>0</v>
      </c>
      <c r="Q21" s="898">
        <f t="shared" si="1"/>
        <v>0</v>
      </c>
      <c r="R21" s="896">
        <f t="shared" si="1"/>
        <v>0</v>
      </c>
      <c r="S21" s="896">
        <f t="shared" si="5"/>
        <v>0</v>
      </c>
      <c r="T21" s="896">
        <f t="shared" si="5"/>
        <v>0</v>
      </c>
      <c r="U21" s="896">
        <f t="shared" si="5"/>
        <v>0</v>
      </c>
      <c r="V21" s="896">
        <f t="shared" si="5"/>
        <v>0</v>
      </c>
      <c r="W21" s="896">
        <f t="shared" si="5"/>
        <v>0</v>
      </c>
      <c r="X21" s="896">
        <f t="shared" si="5"/>
        <v>0</v>
      </c>
      <c r="Y21" s="896">
        <f t="shared" si="5"/>
        <v>0</v>
      </c>
      <c r="Z21" s="896">
        <f t="shared" si="5"/>
        <v>0</v>
      </c>
      <c r="AA21" s="896">
        <f t="shared" si="5"/>
        <v>0</v>
      </c>
      <c r="AB21" s="896">
        <f t="shared" si="5"/>
        <v>0</v>
      </c>
      <c r="AC21" s="896">
        <f t="shared" si="6"/>
        <v>0</v>
      </c>
      <c r="AD21" s="896">
        <f t="shared" si="6"/>
        <v>0</v>
      </c>
      <c r="AE21" s="896">
        <f t="shared" si="6"/>
        <v>0</v>
      </c>
      <c r="AF21" s="896">
        <f t="shared" si="6"/>
        <v>0</v>
      </c>
      <c r="AG21" s="896">
        <f t="shared" si="6"/>
        <v>0</v>
      </c>
      <c r="AH21" s="896">
        <f t="shared" si="6"/>
        <v>0</v>
      </c>
      <c r="AI21" s="896">
        <f t="shared" si="6"/>
        <v>0</v>
      </c>
      <c r="AJ21" s="896">
        <f t="shared" si="6"/>
        <v>0</v>
      </c>
      <c r="AK21" s="896">
        <f t="shared" si="6"/>
        <v>0</v>
      </c>
      <c r="AL21" s="896">
        <f t="shared" si="6"/>
        <v>0</v>
      </c>
      <c r="AM21" s="896">
        <f t="shared" si="7"/>
        <v>0</v>
      </c>
      <c r="AN21" s="896">
        <f t="shared" si="7"/>
        <v>0</v>
      </c>
      <c r="AO21" s="896">
        <f t="shared" si="7"/>
        <v>0</v>
      </c>
      <c r="AP21" s="896">
        <f t="shared" si="7"/>
        <v>0</v>
      </c>
      <c r="AQ21" s="896">
        <f t="shared" si="7"/>
        <v>0</v>
      </c>
      <c r="AR21" s="896">
        <f t="shared" si="7"/>
        <v>0</v>
      </c>
      <c r="AS21" s="896">
        <f t="shared" si="7"/>
        <v>0</v>
      </c>
      <c r="AT21" s="896">
        <f t="shared" si="7"/>
        <v>0</v>
      </c>
      <c r="AU21" s="896">
        <f t="shared" si="7"/>
        <v>0</v>
      </c>
      <c r="AV21" s="896">
        <f t="shared" si="7"/>
        <v>0</v>
      </c>
      <c r="AW21" s="896">
        <f t="shared" si="8"/>
        <v>0</v>
      </c>
      <c r="AX21" s="896">
        <f t="shared" si="8"/>
        <v>0</v>
      </c>
      <c r="AY21" s="896">
        <f t="shared" si="8"/>
        <v>0</v>
      </c>
      <c r="AZ21" s="896">
        <f t="shared" si="8"/>
        <v>0</v>
      </c>
      <c r="BA21" s="896">
        <f t="shared" si="8"/>
        <v>0</v>
      </c>
      <c r="BB21" s="896">
        <f t="shared" si="8"/>
        <v>0</v>
      </c>
      <c r="BC21" s="896">
        <f t="shared" si="8"/>
        <v>0</v>
      </c>
      <c r="BD21" s="896">
        <f t="shared" si="8"/>
        <v>0</v>
      </c>
      <c r="BE21" s="896">
        <f t="shared" si="8"/>
        <v>0</v>
      </c>
      <c r="BF21" s="896">
        <f t="shared" si="8"/>
        <v>0</v>
      </c>
      <c r="BG21" s="896">
        <f t="shared" si="9"/>
        <v>0</v>
      </c>
      <c r="BH21" s="896">
        <f t="shared" si="9"/>
        <v>0</v>
      </c>
      <c r="BI21" s="896">
        <f t="shared" si="9"/>
        <v>0</v>
      </c>
      <c r="BJ21" s="896">
        <f t="shared" si="9"/>
        <v>0</v>
      </c>
      <c r="BK21" s="896">
        <f t="shared" si="9"/>
        <v>0</v>
      </c>
      <c r="BL21" s="896">
        <f t="shared" si="9"/>
        <v>0</v>
      </c>
      <c r="BM21" s="896">
        <f t="shared" si="9"/>
        <v>0</v>
      </c>
      <c r="BN21" s="896">
        <f t="shared" si="9"/>
        <v>0</v>
      </c>
      <c r="BO21" s="896">
        <f t="shared" si="9"/>
        <v>0</v>
      </c>
      <c r="BP21" s="896">
        <f t="shared" si="9"/>
        <v>0</v>
      </c>
    </row>
    <row r="22" spans="1:68" ht="16.5" thickBot="1" x14ac:dyDescent="0.3">
      <c r="A22" s="1013" t="s">
        <v>179</v>
      </c>
      <c r="B22" s="1014"/>
      <c r="C22" s="1014"/>
      <c r="D22" s="1014"/>
      <c r="E22" s="1014"/>
      <c r="F22" s="1014"/>
      <c r="G22" s="1014"/>
      <c r="H22" s="1015"/>
      <c r="I22" s="898">
        <f t="shared" si="4"/>
        <v>0</v>
      </c>
      <c r="J22" s="898">
        <f t="shared" si="1"/>
        <v>0</v>
      </c>
      <c r="K22" s="898">
        <f t="shared" si="1"/>
        <v>0</v>
      </c>
      <c r="L22" s="898">
        <f t="shared" si="1"/>
        <v>0</v>
      </c>
      <c r="M22" s="898">
        <f t="shared" si="1"/>
        <v>0</v>
      </c>
      <c r="N22" s="898">
        <f t="shared" si="1"/>
        <v>0</v>
      </c>
      <c r="O22" s="898">
        <f t="shared" si="1"/>
        <v>0</v>
      </c>
      <c r="P22" s="898">
        <f t="shared" si="1"/>
        <v>0</v>
      </c>
      <c r="Q22" s="898">
        <f t="shared" si="1"/>
        <v>0</v>
      </c>
      <c r="R22" s="896">
        <f t="shared" si="1"/>
        <v>0</v>
      </c>
      <c r="S22" s="896">
        <f t="shared" si="5"/>
        <v>0</v>
      </c>
      <c r="T22" s="896">
        <f t="shared" si="5"/>
        <v>0</v>
      </c>
      <c r="U22" s="896">
        <f t="shared" si="5"/>
        <v>0</v>
      </c>
      <c r="V22" s="896">
        <f t="shared" si="5"/>
        <v>0</v>
      </c>
      <c r="W22" s="896">
        <f t="shared" si="5"/>
        <v>0</v>
      </c>
      <c r="X22" s="896">
        <f t="shared" si="5"/>
        <v>0</v>
      </c>
      <c r="Y22" s="896">
        <f t="shared" si="5"/>
        <v>0</v>
      </c>
      <c r="Z22" s="896">
        <f t="shared" si="5"/>
        <v>0</v>
      </c>
      <c r="AA22" s="896">
        <f t="shared" si="5"/>
        <v>0</v>
      </c>
      <c r="AB22" s="896">
        <f t="shared" si="5"/>
        <v>0</v>
      </c>
      <c r="AC22" s="896">
        <f t="shared" si="6"/>
        <v>0</v>
      </c>
      <c r="AD22" s="896">
        <f t="shared" si="6"/>
        <v>0</v>
      </c>
      <c r="AE22" s="896">
        <f t="shared" si="6"/>
        <v>0</v>
      </c>
      <c r="AF22" s="896">
        <f t="shared" si="6"/>
        <v>0</v>
      </c>
      <c r="AG22" s="896">
        <f t="shared" si="6"/>
        <v>0</v>
      </c>
      <c r="AH22" s="896">
        <f t="shared" si="6"/>
        <v>0</v>
      </c>
      <c r="AI22" s="896">
        <f t="shared" si="6"/>
        <v>0</v>
      </c>
      <c r="AJ22" s="896">
        <f t="shared" si="6"/>
        <v>0</v>
      </c>
      <c r="AK22" s="896">
        <f t="shared" si="6"/>
        <v>0</v>
      </c>
      <c r="AL22" s="896">
        <f t="shared" si="6"/>
        <v>0</v>
      </c>
      <c r="AM22" s="896">
        <f t="shared" si="7"/>
        <v>0</v>
      </c>
      <c r="AN22" s="896">
        <f t="shared" si="7"/>
        <v>0</v>
      </c>
      <c r="AO22" s="896">
        <f t="shared" si="7"/>
        <v>0</v>
      </c>
      <c r="AP22" s="896">
        <f t="shared" si="7"/>
        <v>0</v>
      </c>
      <c r="AQ22" s="896">
        <f t="shared" si="7"/>
        <v>0</v>
      </c>
      <c r="AR22" s="896">
        <f t="shared" si="7"/>
        <v>0</v>
      </c>
      <c r="AS22" s="896">
        <f t="shared" si="7"/>
        <v>0</v>
      </c>
      <c r="AT22" s="896">
        <f t="shared" si="7"/>
        <v>0</v>
      </c>
      <c r="AU22" s="896">
        <f t="shared" si="7"/>
        <v>0</v>
      </c>
      <c r="AV22" s="896">
        <f t="shared" si="7"/>
        <v>0</v>
      </c>
      <c r="AW22" s="896">
        <f t="shared" si="8"/>
        <v>0</v>
      </c>
      <c r="AX22" s="896">
        <f t="shared" si="8"/>
        <v>0</v>
      </c>
      <c r="AY22" s="896">
        <f t="shared" si="8"/>
        <v>0</v>
      </c>
      <c r="AZ22" s="896">
        <f t="shared" si="8"/>
        <v>0</v>
      </c>
      <c r="BA22" s="896">
        <f t="shared" si="8"/>
        <v>0</v>
      </c>
      <c r="BB22" s="896">
        <f t="shared" si="8"/>
        <v>0</v>
      </c>
      <c r="BC22" s="896">
        <f t="shared" si="8"/>
        <v>0</v>
      </c>
      <c r="BD22" s="896">
        <f t="shared" si="8"/>
        <v>0</v>
      </c>
      <c r="BE22" s="896">
        <f t="shared" si="8"/>
        <v>0</v>
      </c>
      <c r="BF22" s="896">
        <f t="shared" si="8"/>
        <v>0</v>
      </c>
      <c r="BG22" s="896">
        <f t="shared" si="9"/>
        <v>0</v>
      </c>
      <c r="BH22" s="896">
        <f t="shared" si="9"/>
        <v>0</v>
      </c>
      <c r="BI22" s="896">
        <f t="shared" si="9"/>
        <v>0</v>
      </c>
      <c r="BJ22" s="896">
        <f t="shared" si="9"/>
        <v>0</v>
      </c>
      <c r="BK22" s="896">
        <f t="shared" si="9"/>
        <v>0</v>
      </c>
      <c r="BL22" s="896">
        <f t="shared" si="9"/>
        <v>0</v>
      </c>
      <c r="BM22" s="896">
        <f t="shared" si="9"/>
        <v>0</v>
      </c>
      <c r="BN22" s="896">
        <f t="shared" si="9"/>
        <v>0</v>
      </c>
      <c r="BO22" s="896">
        <f t="shared" si="9"/>
        <v>0</v>
      </c>
      <c r="BP22" s="896">
        <f t="shared" si="9"/>
        <v>0</v>
      </c>
    </row>
    <row r="23" spans="1:68" x14ac:dyDescent="0.25">
      <c r="A23" s="482" t="s">
        <v>206</v>
      </c>
      <c r="B23" s="483"/>
      <c r="C23" s="306" t="str">
        <f>IF($B23&lt;&gt;"",VLOOKUP($B23,COSTS_Wall[#All],2),"")</f>
        <v/>
      </c>
      <c r="D23" s="491" t="str">
        <f>IF($B23&lt;&gt;"",VLOOKUP($B23,COSTS_Wall[#All],3)/24,"")</f>
        <v/>
      </c>
      <c r="E23" s="499"/>
      <c r="F23" s="512"/>
      <c r="G23" s="500" t="str">
        <f t="shared" ref="G23" si="12">IF($D23&lt;&gt;"",$D23,"")</f>
        <v/>
      </c>
      <c r="H23" s="501"/>
      <c r="I23" s="898">
        <f t="shared" si="4"/>
        <v>0</v>
      </c>
      <c r="J23" s="898">
        <f t="shared" si="1"/>
        <v>0</v>
      </c>
      <c r="K23" s="898">
        <f t="shared" si="1"/>
        <v>0</v>
      </c>
      <c r="L23" s="898">
        <f t="shared" si="1"/>
        <v>0</v>
      </c>
      <c r="M23" s="898">
        <f t="shared" si="1"/>
        <v>0</v>
      </c>
      <c r="N23" s="898">
        <f t="shared" si="1"/>
        <v>0</v>
      </c>
      <c r="O23" s="898">
        <f t="shared" si="1"/>
        <v>0</v>
      </c>
      <c r="P23" s="898">
        <f t="shared" si="1"/>
        <v>0</v>
      </c>
      <c r="Q23" s="898">
        <f t="shared" si="1"/>
        <v>0</v>
      </c>
      <c r="R23" s="896">
        <f t="shared" si="1"/>
        <v>0</v>
      </c>
      <c r="S23" s="896">
        <f t="shared" si="5"/>
        <v>0</v>
      </c>
      <c r="T23" s="896">
        <f t="shared" si="5"/>
        <v>0</v>
      </c>
      <c r="U23" s="896">
        <f t="shared" si="5"/>
        <v>0</v>
      </c>
      <c r="V23" s="896">
        <f t="shared" si="5"/>
        <v>0</v>
      </c>
      <c r="W23" s="896">
        <f t="shared" si="5"/>
        <v>0</v>
      </c>
      <c r="X23" s="896">
        <f t="shared" si="5"/>
        <v>0</v>
      </c>
      <c r="Y23" s="896">
        <f t="shared" si="5"/>
        <v>0</v>
      </c>
      <c r="Z23" s="896">
        <f t="shared" si="5"/>
        <v>0</v>
      </c>
      <c r="AA23" s="896">
        <f t="shared" si="5"/>
        <v>0</v>
      </c>
      <c r="AB23" s="896">
        <f t="shared" si="5"/>
        <v>0</v>
      </c>
      <c r="AC23" s="896">
        <f t="shared" si="6"/>
        <v>0</v>
      </c>
      <c r="AD23" s="896">
        <f t="shared" si="6"/>
        <v>0</v>
      </c>
      <c r="AE23" s="896">
        <f t="shared" si="6"/>
        <v>0</v>
      </c>
      <c r="AF23" s="896">
        <f t="shared" si="6"/>
        <v>0</v>
      </c>
      <c r="AG23" s="896">
        <f t="shared" si="6"/>
        <v>0</v>
      </c>
      <c r="AH23" s="896">
        <f t="shared" si="6"/>
        <v>0</v>
      </c>
      <c r="AI23" s="896">
        <f t="shared" si="6"/>
        <v>0</v>
      </c>
      <c r="AJ23" s="896">
        <f t="shared" si="6"/>
        <v>0</v>
      </c>
      <c r="AK23" s="896">
        <f t="shared" si="6"/>
        <v>0</v>
      </c>
      <c r="AL23" s="896">
        <f t="shared" si="6"/>
        <v>0</v>
      </c>
      <c r="AM23" s="896">
        <f t="shared" si="7"/>
        <v>0</v>
      </c>
      <c r="AN23" s="896">
        <f t="shared" si="7"/>
        <v>0</v>
      </c>
      <c r="AO23" s="896">
        <f t="shared" si="7"/>
        <v>0</v>
      </c>
      <c r="AP23" s="896">
        <f t="shared" si="7"/>
        <v>0</v>
      </c>
      <c r="AQ23" s="896">
        <f t="shared" si="7"/>
        <v>0</v>
      </c>
      <c r="AR23" s="896">
        <f t="shared" si="7"/>
        <v>0</v>
      </c>
      <c r="AS23" s="896">
        <f t="shared" si="7"/>
        <v>0</v>
      </c>
      <c r="AT23" s="896">
        <f t="shared" si="7"/>
        <v>0</v>
      </c>
      <c r="AU23" s="896">
        <f t="shared" si="7"/>
        <v>0</v>
      </c>
      <c r="AV23" s="896">
        <f t="shared" si="7"/>
        <v>0</v>
      </c>
      <c r="AW23" s="896">
        <f t="shared" si="8"/>
        <v>0</v>
      </c>
      <c r="AX23" s="896">
        <f t="shared" si="8"/>
        <v>0</v>
      </c>
      <c r="AY23" s="896">
        <f t="shared" si="8"/>
        <v>0</v>
      </c>
      <c r="AZ23" s="896">
        <f t="shared" si="8"/>
        <v>0</v>
      </c>
      <c r="BA23" s="896">
        <f t="shared" si="8"/>
        <v>0</v>
      </c>
      <c r="BB23" s="896">
        <f t="shared" si="8"/>
        <v>0</v>
      </c>
      <c r="BC23" s="896">
        <f t="shared" si="8"/>
        <v>0</v>
      </c>
      <c r="BD23" s="896">
        <f t="shared" si="8"/>
        <v>0</v>
      </c>
      <c r="BE23" s="896">
        <f t="shared" si="8"/>
        <v>0</v>
      </c>
      <c r="BF23" s="896">
        <f t="shared" si="8"/>
        <v>0</v>
      </c>
      <c r="BG23" s="896">
        <f t="shared" si="9"/>
        <v>0</v>
      </c>
      <c r="BH23" s="896">
        <f t="shared" si="9"/>
        <v>0</v>
      </c>
      <c r="BI23" s="896">
        <f t="shared" si="9"/>
        <v>0</v>
      </c>
      <c r="BJ23" s="896">
        <f t="shared" si="9"/>
        <v>0</v>
      </c>
      <c r="BK23" s="896">
        <f t="shared" si="9"/>
        <v>0</v>
      </c>
      <c r="BL23" s="896">
        <f t="shared" si="9"/>
        <v>0</v>
      </c>
      <c r="BM23" s="896">
        <f t="shared" si="9"/>
        <v>0</v>
      </c>
      <c r="BN23" s="896">
        <f t="shared" si="9"/>
        <v>0</v>
      </c>
      <c r="BO23" s="896">
        <f t="shared" si="9"/>
        <v>0</v>
      </c>
      <c r="BP23" s="896">
        <f t="shared" si="9"/>
        <v>0</v>
      </c>
    </row>
    <row r="24" spans="1:68" x14ac:dyDescent="0.25">
      <c r="A24" s="476" t="s">
        <v>205</v>
      </c>
      <c r="B24" s="473"/>
      <c r="C24" s="486" t="str">
        <f>IF($B24&lt;&gt;"",VLOOKUP($B24,COSTS_Cannon[#All],2),"")</f>
        <v/>
      </c>
      <c r="D24" s="492" t="str">
        <f>IF($B24&lt;&gt;"",VLOOKUP($B24,COSTS_Cannon[#All],3)/24,"")</f>
        <v/>
      </c>
      <c r="E24" s="499"/>
      <c r="F24" s="513"/>
      <c r="G24" s="185" t="str">
        <f t="shared" ref="G24:G32" si="13">IF($D24&lt;&gt;"",$D24,"")</f>
        <v/>
      </c>
      <c r="H24" s="503"/>
      <c r="I24" s="898">
        <f t="shared" si="4"/>
        <v>0</v>
      </c>
      <c r="J24" s="898">
        <f t="shared" si="1"/>
        <v>0</v>
      </c>
      <c r="K24" s="898">
        <f t="shared" si="1"/>
        <v>0</v>
      </c>
      <c r="L24" s="898">
        <f t="shared" si="1"/>
        <v>0</v>
      </c>
      <c r="M24" s="898">
        <f t="shared" si="1"/>
        <v>0</v>
      </c>
      <c r="N24" s="898">
        <f t="shared" si="1"/>
        <v>0</v>
      </c>
      <c r="O24" s="898">
        <f t="shared" si="1"/>
        <v>0</v>
      </c>
      <c r="P24" s="898">
        <f t="shared" si="1"/>
        <v>0</v>
      </c>
      <c r="Q24" s="898">
        <f t="shared" si="1"/>
        <v>0</v>
      </c>
      <c r="R24" s="896">
        <f t="shared" si="1"/>
        <v>0</v>
      </c>
      <c r="S24" s="896">
        <f t="shared" si="5"/>
        <v>0</v>
      </c>
      <c r="T24" s="896">
        <f t="shared" si="5"/>
        <v>0</v>
      </c>
      <c r="U24" s="896">
        <f t="shared" si="5"/>
        <v>0</v>
      </c>
      <c r="V24" s="896">
        <f t="shared" si="5"/>
        <v>0</v>
      </c>
      <c r="W24" s="896">
        <f t="shared" si="5"/>
        <v>0</v>
      </c>
      <c r="X24" s="896">
        <f t="shared" si="5"/>
        <v>0</v>
      </c>
      <c r="Y24" s="896">
        <f t="shared" si="5"/>
        <v>0</v>
      </c>
      <c r="Z24" s="896">
        <f t="shared" si="5"/>
        <v>0</v>
      </c>
      <c r="AA24" s="896">
        <f t="shared" si="5"/>
        <v>0</v>
      </c>
      <c r="AB24" s="896">
        <f t="shared" si="5"/>
        <v>0</v>
      </c>
      <c r="AC24" s="896">
        <f t="shared" si="6"/>
        <v>0</v>
      </c>
      <c r="AD24" s="896">
        <f t="shared" si="6"/>
        <v>0</v>
      </c>
      <c r="AE24" s="896">
        <f t="shared" si="6"/>
        <v>0</v>
      </c>
      <c r="AF24" s="896">
        <f t="shared" si="6"/>
        <v>0</v>
      </c>
      <c r="AG24" s="896">
        <f t="shared" si="6"/>
        <v>0</v>
      </c>
      <c r="AH24" s="896">
        <f t="shared" si="6"/>
        <v>0</v>
      </c>
      <c r="AI24" s="896">
        <f t="shared" si="6"/>
        <v>0</v>
      </c>
      <c r="AJ24" s="896">
        <f t="shared" si="6"/>
        <v>0</v>
      </c>
      <c r="AK24" s="896">
        <f t="shared" si="6"/>
        <v>0</v>
      </c>
      <c r="AL24" s="896">
        <f t="shared" si="6"/>
        <v>0</v>
      </c>
      <c r="AM24" s="896">
        <f t="shared" si="7"/>
        <v>0</v>
      </c>
      <c r="AN24" s="896">
        <f t="shared" si="7"/>
        <v>0</v>
      </c>
      <c r="AO24" s="896">
        <f t="shared" si="7"/>
        <v>0</v>
      </c>
      <c r="AP24" s="896">
        <f t="shared" si="7"/>
        <v>0</v>
      </c>
      <c r="AQ24" s="896">
        <f t="shared" si="7"/>
        <v>0</v>
      </c>
      <c r="AR24" s="896">
        <f t="shared" si="7"/>
        <v>0</v>
      </c>
      <c r="AS24" s="896">
        <f t="shared" si="7"/>
        <v>0</v>
      </c>
      <c r="AT24" s="896">
        <f t="shared" si="7"/>
        <v>0</v>
      </c>
      <c r="AU24" s="896">
        <f t="shared" si="7"/>
        <v>0</v>
      </c>
      <c r="AV24" s="896">
        <f t="shared" si="7"/>
        <v>0</v>
      </c>
      <c r="AW24" s="896">
        <f t="shared" si="8"/>
        <v>0</v>
      </c>
      <c r="AX24" s="896">
        <f t="shared" si="8"/>
        <v>0</v>
      </c>
      <c r="AY24" s="896">
        <f t="shared" si="8"/>
        <v>0</v>
      </c>
      <c r="AZ24" s="896">
        <f t="shared" si="8"/>
        <v>0</v>
      </c>
      <c r="BA24" s="896">
        <f t="shared" si="8"/>
        <v>0</v>
      </c>
      <c r="BB24" s="896">
        <f t="shared" si="8"/>
        <v>0</v>
      </c>
      <c r="BC24" s="896">
        <f t="shared" si="8"/>
        <v>0</v>
      </c>
      <c r="BD24" s="896">
        <f t="shared" si="8"/>
        <v>0</v>
      </c>
      <c r="BE24" s="896">
        <f t="shared" si="8"/>
        <v>0</v>
      </c>
      <c r="BF24" s="896">
        <f t="shared" si="8"/>
        <v>0</v>
      </c>
      <c r="BG24" s="896">
        <f t="shared" si="9"/>
        <v>0</v>
      </c>
      <c r="BH24" s="896">
        <f t="shared" si="9"/>
        <v>0</v>
      </c>
      <c r="BI24" s="896">
        <f t="shared" si="9"/>
        <v>0</v>
      </c>
      <c r="BJ24" s="896">
        <f t="shared" si="9"/>
        <v>0</v>
      </c>
      <c r="BK24" s="896">
        <f t="shared" si="9"/>
        <v>0</v>
      </c>
      <c r="BL24" s="896">
        <f t="shared" si="9"/>
        <v>0</v>
      </c>
      <c r="BM24" s="896">
        <f t="shared" si="9"/>
        <v>0</v>
      </c>
      <c r="BN24" s="896">
        <f t="shared" si="9"/>
        <v>0</v>
      </c>
      <c r="BO24" s="896">
        <f t="shared" si="9"/>
        <v>0</v>
      </c>
      <c r="BP24" s="896">
        <f t="shared" si="9"/>
        <v>0</v>
      </c>
    </row>
    <row r="25" spans="1:68" x14ac:dyDescent="0.25">
      <c r="A25" s="476" t="s">
        <v>204</v>
      </c>
      <c r="B25" s="473"/>
      <c r="C25" s="486" t="str">
        <f>IF($B25&lt;&gt;"",VLOOKUP($B25,COSTS_Archer_Tower[#All],2),"")</f>
        <v/>
      </c>
      <c r="D25" s="492" t="str">
        <f>IF($B25&lt;&gt;"",VLOOKUP($B25,COSTS_Archer_Tower[#All],3)/24,"")</f>
        <v/>
      </c>
      <c r="E25" s="499"/>
      <c r="F25" s="513"/>
      <c r="G25" s="185" t="str">
        <f t="shared" si="13"/>
        <v/>
      </c>
      <c r="H25" s="503"/>
      <c r="I25" s="898">
        <f t="shared" si="4"/>
        <v>0</v>
      </c>
      <c r="J25" s="898">
        <f t="shared" si="4"/>
        <v>0</v>
      </c>
      <c r="K25" s="898">
        <f t="shared" si="4"/>
        <v>0</v>
      </c>
      <c r="L25" s="898">
        <f t="shared" si="4"/>
        <v>0</v>
      </c>
      <c r="M25" s="898">
        <f t="shared" si="4"/>
        <v>0</v>
      </c>
      <c r="N25" s="898">
        <f t="shared" si="4"/>
        <v>0</v>
      </c>
      <c r="O25" s="898">
        <f t="shared" si="4"/>
        <v>0</v>
      </c>
      <c r="P25" s="898">
        <f t="shared" si="4"/>
        <v>0</v>
      </c>
      <c r="Q25" s="898">
        <f t="shared" si="4"/>
        <v>0</v>
      </c>
      <c r="R25" s="896">
        <f t="shared" si="4"/>
        <v>0</v>
      </c>
      <c r="S25" s="896">
        <f t="shared" si="5"/>
        <v>0</v>
      </c>
      <c r="T25" s="896">
        <f t="shared" si="5"/>
        <v>0</v>
      </c>
      <c r="U25" s="896">
        <f t="shared" si="5"/>
        <v>0</v>
      </c>
      <c r="V25" s="896">
        <f t="shared" si="5"/>
        <v>0</v>
      </c>
      <c r="W25" s="896">
        <f t="shared" si="5"/>
        <v>0</v>
      </c>
      <c r="X25" s="896">
        <f t="shared" si="5"/>
        <v>0</v>
      </c>
      <c r="Y25" s="896">
        <f t="shared" si="5"/>
        <v>0</v>
      </c>
      <c r="Z25" s="896">
        <f t="shared" si="5"/>
        <v>0</v>
      </c>
      <c r="AA25" s="896">
        <f t="shared" si="5"/>
        <v>0</v>
      </c>
      <c r="AB25" s="896">
        <f t="shared" si="5"/>
        <v>0</v>
      </c>
      <c r="AC25" s="896">
        <f t="shared" si="6"/>
        <v>0</v>
      </c>
      <c r="AD25" s="896">
        <f t="shared" si="6"/>
        <v>0</v>
      </c>
      <c r="AE25" s="896">
        <f t="shared" si="6"/>
        <v>0</v>
      </c>
      <c r="AF25" s="896">
        <f t="shared" si="6"/>
        <v>0</v>
      </c>
      <c r="AG25" s="896">
        <f t="shared" si="6"/>
        <v>0</v>
      </c>
      <c r="AH25" s="896">
        <f t="shared" si="6"/>
        <v>0</v>
      </c>
      <c r="AI25" s="896">
        <f t="shared" si="6"/>
        <v>0</v>
      </c>
      <c r="AJ25" s="896">
        <f t="shared" si="6"/>
        <v>0</v>
      </c>
      <c r="AK25" s="896">
        <f t="shared" si="6"/>
        <v>0</v>
      </c>
      <c r="AL25" s="896">
        <f t="shared" si="6"/>
        <v>0</v>
      </c>
      <c r="AM25" s="896">
        <f t="shared" si="7"/>
        <v>0</v>
      </c>
      <c r="AN25" s="896">
        <f t="shared" si="7"/>
        <v>0</v>
      </c>
      <c r="AO25" s="896">
        <f t="shared" si="7"/>
        <v>0</v>
      </c>
      <c r="AP25" s="896">
        <f t="shared" si="7"/>
        <v>0</v>
      </c>
      <c r="AQ25" s="896">
        <f t="shared" si="7"/>
        <v>0</v>
      </c>
      <c r="AR25" s="896">
        <f t="shared" si="7"/>
        <v>0</v>
      </c>
      <c r="AS25" s="896">
        <f t="shared" si="7"/>
        <v>0</v>
      </c>
      <c r="AT25" s="896">
        <f t="shared" si="7"/>
        <v>0</v>
      </c>
      <c r="AU25" s="896">
        <f t="shared" si="7"/>
        <v>0</v>
      </c>
      <c r="AV25" s="896">
        <f t="shared" si="7"/>
        <v>0</v>
      </c>
      <c r="AW25" s="896">
        <f t="shared" si="8"/>
        <v>0</v>
      </c>
      <c r="AX25" s="896">
        <f t="shared" si="8"/>
        <v>0</v>
      </c>
      <c r="AY25" s="896">
        <f t="shared" si="8"/>
        <v>0</v>
      </c>
      <c r="AZ25" s="896">
        <f t="shared" si="8"/>
        <v>0</v>
      </c>
      <c r="BA25" s="896">
        <f t="shared" si="8"/>
        <v>0</v>
      </c>
      <c r="BB25" s="896">
        <f t="shared" si="8"/>
        <v>0</v>
      </c>
      <c r="BC25" s="896">
        <f t="shared" si="8"/>
        <v>0</v>
      </c>
      <c r="BD25" s="896">
        <f t="shared" si="8"/>
        <v>0</v>
      </c>
      <c r="BE25" s="896">
        <f t="shared" si="8"/>
        <v>0</v>
      </c>
      <c r="BF25" s="896">
        <f t="shared" si="8"/>
        <v>0</v>
      </c>
      <c r="BG25" s="896">
        <f t="shared" si="9"/>
        <v>0</v>
      </c>
      <c r="BH25" s="896">
        <f t="shared" si="9"/>
        <v>0</v>
      </c>
      <c r="BI25" s="896">
        <f t="shared" si="9"/>
        <v>0</v>
      </c>
      <c r="BJ25" s="896">
        <f t="shared" si="9"/>
        <v>0</v>
      </c>
      <c r="BK25" s="896">
        <f t="shared" si="9"/>
        <v>0</v>
      </c>
      <c r="BL25" s="896">
        <f t="shared" si="9"/>
        <v>0</v>
      </c>
      <c r="BM25" s="896">
        <f t="shared" si="9"/>
        <v>0</v>
      </c>
      <c r="BN25" s="896">
        <f t="shared" si="9"/>
        <v>0</v>
      </c>
      <c r="BO25" s="896">
        <f t="shared" si="9"/>
        <v>0</v>
      </c>
      <c r="BP25" s="896">
        <f t="shared" si="9"/>
        <v>0</v>
      </c>
    </row>
    <row r="26" spans="1:68" x14ac:dyDescent="0.25">
      <c r="A26" s="476" t="s">
        <v>203</v>
      </c>
      <c r="B26" s="473"/>
      <c r="C26" s="486" t="str">
        <f>IF($B26&lt;&gt;"",VLOOKUP($B26,COSTS_Mortar[#All],2),"")</f>
        <v/>
      </c>
      <c r="D26" s="492" t="str">
        <f>IF($B26&lt;&gt;"",VLOOKUP($B26,COSTS_Mortar[#All],3)/24,"")</f>
        <v/>
      </c>
      <c r="E26" s="499"/>
      <c r="F26" s="513"/>
      <c r="G26" s="185" t="str">
        <f t="shared" si="13"/>
        <v/>
      </c>
      <c r="H26" s="503"/>
      <c r="I26" s="898">
        <f t="shared" si="4"/>
        <v>0</v>
      </c>
      <c r="J26" s="898">
        <f t="shared" si="4"/>
        <v>0</v>
      </c>
      <c r="K26" s="898">
        <f t="shared" si="4"/>
        <v>0</v>
      </c>
      <c r="L26" s="898">
        <f t="shared" si="4"/>
        <v>0</v>
      </c>
      <c r="M26" s="898">
        <f t="shared" si="4"/>
        <v>0</v>
      </c>
      <c r="N26" s="898">
        <f t="shared" si="4"/>
        <v>0</v>
      </c>
      <c r="O26" s="898">
        <f t="shared" si="4"/>
        <v>0</v>
      </c>
      <c r="P26" s="898">
        <f t="shared" si="4"/>
        <v>0</v>
      </c>
      <c r="Q26" s="898">
        <f t="shared" si="4"/>
        <v>0</v>
      </c>
      <c r="R26" s="896">
        <f t="shared" si="4"/>
        <v>0</v>
      </c>
      <c r="S26" s="896">
        <f t="shared" si="4"/>
        <v>0</v>
      </c>
      <c r="T26" s="896">
        <f t="shared" si="4"/>
        <v>0</v>
      </c>
      <c r="U26" s="896">
        <f t="shared" si="4"/>
        <v>0</v>
      </c>
      <c r="V26" s="896">
        <f t="shared" si="4"/>
        <v>0</v>
      </c>
      <c r="W26" s="896">
        <f t="shared" si="4"/>
        <v>0</v>
      </c>
      <c r="X26" s="896">
        <f t="shared" si="4"/>
        <v>0</v>
      </c>
      <c r="Y26" s="896">
        <f t="shared" ref="Y26:AN41" si="14">IF(ISERROR(Plan),0,Plan)</f>
        <v>0</v>
      </c>
      <c r="Z26" s="896">
        <f t="shared" si="14"/>
        <v>0</v>
      </c>
      <c r="AA26" s="896">
        <f t="shared" si="14"/>
        <v>0</v>
      </c>
      <c r="AB26" s="896">
        <f t="shared" si="14"/>
        <v>0</v>
      </c>
      <c r="AC26" s="896">
        <f t="shared" si="14"/>
        <v>0</v>
      </c>
      <c r="AD26" s="896">
        <f t="shared" si="14"/>
        <v>0</v>
      </c>
      <c r="AE26" s="896">
        <f t="shared" si="14"/>
        <v>0</v>
      </c>
      <c r="AF26" s="896">
        <f t="shared" si="14"/>
        <v>0</v>
      </c>
      <c r="AG26" s="896">
        <f t="shared" si="14"/>
        <v>0</v>
      </c>
      <c r="AH26" s="896">
        <f t="shared" si="14"/>
        <v>0</v>
      </c>
      <c r="AI26" s="896">
        <f t="shared" si="14"/>
        <v>0</v>
      </c>
      <c r="AJ26" s="896">
        <f t="shared" si="14"/>
        <v>0</v>
      </c>
      <c r="AK26" s="896">
        <f t="shared" si="14"/>
        <v>0</v>
      </c>
      <c r="AL26" s="896">
        <f t="shared" si="14"/>
        <v>0</v>
      </c>
      <c r="AM26" s="896">
        <f t="shared" si="14"/>
        <v>0</v>
      </c>
      <c r="AN26" s="896">
        <f t="shared" si="14"/>
        <v>0</v>
      </c>
      <c r="AO26" s="896">
        <f t="shared" ref="AO26:BD41" si="15">IF(ISERROR(Plan),0,Plan)</f>
        <v>0</v>
      </c>
      <c r="AP26" s="896">
        <f t="shared" si="15"/>
        <v>0</v>
      </c>
      <c r="AQ26" s="896">
        <f t="shared" si="15"/>
        <v>0</v>
      </c>
      <c r="AR26" s="896">
        <f t="shared" si="15"/>
        <v>0</v>
      </c>
      <c r="AS26" s="896">
        <f t="shared" si="15"/>
        <v>0</v>
      </c>
      <c r="AT26" s="896">
        <f t="shared" si="15"/>
        <v>0</v>
      </c>
      <c r="AU26" s="896">
        <f t="shared" si="15"/>
        <v>0</v>
      </c>
      <c r="AV26" s="896">
        <f t="shared" si="15"/>
        <v>0</v>
      </c>
      <c r="AW26" s="896">
        <f t="shared" si="15"/>
        <v>0</v>
      </c>
      <c r="AX26" s="896">
        <f t="shared" si="15"/>
        <v>0</v>
      </c>
      <c r="AY26" s="896">
        <f t="shared" si="15"/>
        <v>0</v>
      </c>
      <c r="AZ26" s="896">
        <f t="shared" si="15"/>
        <v>0</v>
      </c>
      <c r="BA26" s="896">
        <f t="shared" si="15"/>
        <v>0</v>
      </c>
      <c r="BB26" s="896">
        <f t="shared" si="15"/>
        <v>0</v>
      </c>
      <c r="BC26" s="896">
        <f t="shared" si="15"/>
        <v>0</v>
      </c>
      <c r="BD26" s="896">
        <f t="shared" si="15"/>
        <v>0</v>
      </c>
      <c r="BE26" s="896">
        <f t="shared" ref="BE26:BP51" si="16">IF(ISERROR(Plan),0,Plan)</f>
        <v>0</v>
      </c>
      <c r="BF26" s="896">
        <f t="shared" si="16"/>
        <v>0</v>
      </c>
      <c r="BG26" s="896">
        <f t="shared" si="16"/>
        <v>0</v>
      </c>
      <c r="BH26" s="896">
        <f t="shared" si="16"/>
        <v>0</v>
      </c>
      <c r="BI26" s="896">
        <f t="shared" si="16"/>
        <v>0</v>
      </c>
      <c r="BJ26" s="896">
        <f t="shared" si="16"/>
        <v>0</v>
      </c>
      <c r="BK26" s="896">
        <f t="shared" si="16"/>
        <v>0</v>
      </c>
      <c r="BL26" s="896">
        <f t="shared" si="16"/>
        <v>0</v>
      </c>
      <c r="BM26" s="896">
        <f t="shared" si="16"/>
        <v>0</v>
      </c>
      <c r="BN26" s="896">
        <f t="shared" si="16"/>
        <v>0</v>
      </c>
      <c r="BO26" s="896">
        <f t="shared" si="16"/>
        <v>0</v>
      </c>
      <c r="BP26" s="896">
        <f t="shared" si="16"/>
        <v>0</v>
      </c>
    </row>
    <row r="27" spans="1:68" x14ac:dyDescent="0.25">
      <c r="A27" s="476" t="s">
        <v>202</v>
      </c>
      <c r="B27" s="473"/>
      <c r="C27" s="486" t="str">
        <f>IF($B27&lt;&gt;"",VLOOKUP($B27,COSTS_Air_Defense[#All],2),"")</f>
        <v/>
      </c>
      <c r="D27" s="492" t="str">
        <f>IF($B27&lt;&gt;"",VLOOKUP($B27,COSTS_Air_Defense[#All],3)/24,"")</f>
        <v/>
      </c>
      <c r="E27" s="499"/>
      <c r="F27" s="513"/>
      <c r="G27" s="185" t="str">
        <f t="shared" si="13"/>
        <v/>
      </c>
      <c r="H27" s="503"/>
      <c r="I27" s="898">
        <f t="shared" si="4"/>
        <v>0</v>
      </c>
      <c r="J27" s="898">
        <f t="shared" si="4"/>
        <v>0</v>
      </c>
      <c r="K27" s="898">
        <f t="shared" si="4"/>
        <v>0</v>
      </c>
      <c r="L27" s="898">
        <f t="shared" si="4"/>
        <v>0</v>
      </c>
      <c r="M27" s="898">
        <f t="shared" si="4"/>
        <v>0</v>
      </c>
      <c r="N27" s="898">
        <f t="shared" si="4"/>
        <v>0</v>
      </c>
      <c r="O27" s="898">
        <f t="shared" si="4"/>
        <v>0</v>
      </c>
      <c r="P27" s="898">
        <f t="shared" si="4"/>
        <v>0</v>
      </c>
      <c r="Q27" s="898">
        <f t="shared" si="4"/>
        <v>0</v>
      </c>
      <c r="R27" s="896">
        <f t="shared" si="4"/>
        <v>0</v>
      </c>
      <c r="S27" s="896">
        <f t="shared" si="4"/>
        <v>0</v>
      </c>
      <c r="T27" s="896">
        <f t="shared" si="4"/>
        <v>0</v>
      </c>
      <c r="U27" s="896">
        <f t="shared" si="4"/>
        <v>0</v>
      </c>
      <c r="V27" s="896">
        <f t="shared" si="4"/>
        <v>0</v>
      </c>
      <c r="W27" s="896">
        <f t="shared" si="4"/>
        <v>0</v>
      </c>
      <c r="X27" s="896">
        <f t="shared" si="4"/>
        <v>0</v>
      </c>
      <c r="Y27" s="896">
        <f t="shared" si="14"/>
        <v>0</v>
      </c>
      <c r="Z27" s="896">
        <f t="shared" si="14"/>
        <v>0</v>
      </c>
      <c r="AA27" s="896">
        <f t="shared" si="14"/>
        <v>0</v>
      </c>
      <c r="AB27" s="896">
        <f t="shared" si="14"/>
        <v>0</v>
      </c>
      <c r="AC27" s="896">
        <f t="shared" si="14"/>
        <v>0</v>
      </c>
      <c r="AD27" s="896">
        <f t="shared" si="14"/>
        <v>0</v>
      </c>
      <c r="AE27" s="896">
        <f t="shared" si="14"/>
        <v>0</v>
      </c>
      <c r="AF27" s="896">
        <f t="shared" si="14"/>
        <v>0</v>
      </c>
      <c r="AG27" s="896">
        <f t="shared" si="14"/>
        <v>0</v>
      </c>
      <c r="AH27" s="896">
        <f t="shared" si="14"/>
        <v>0</v>
      </c>
      <c r="AI27" s="896">
        <f t="shared" si="14"/>
        <v>0</v>
      </c>
      <c r="AJ27" s="896">
        <f t="shared" si="14"/>
        <v>0</v>
      </c>
      <c r="AK27" s="896">
        <f t="shared" si="14"/>
        <v>0</v>
      </c>
      <c r="AL27" s="896">
        <f t="shared" si="14"/>
        <v>0</v>
      </c>
      <c r="AM27" s="896">
        <f t="shared" si="14"/>
        <v>0</v>
      </c>
      <c r="AN27" s="896">
        <f t="shared" si="14"/>
        <v>0</v>
      </c>
      <c r="AO27" s="896">
        <f t="shared" si="15"/>
        <v>0</v>
      </c>
      <c r="AP27" s="896">
        <f t="shared" si="15"/>
        <v>0</v>
      </c>
      <c r="AQ27" s="896">
        <f t="shared" si="15"/>
        <v>0</v>
      </c>
      <c r="AR27" s="896">
        <f t="shared" si="15"/>
        <v>0</v>
      </c>
      <c r="AS27" s="896">
        <f t="shared" si="15"/>
        <v>0</v>
      </c>
      <c r="AT27" s="896">
        <f t="shared" si="15"/>
        <v>0</v>
      </c>
      <c r="AU27" s="896">
        <f t="shared" si="15"/>
        <v>0</v>
      </c>
      <c r="AV27" s="896">
        <f t="shared" si="15"/>
        <v>0</v>
      </c>
      <c r="AW27" s="896">
        <f t="shared" si="15"/>
        <v>0</v>
      </c>
      <c r="AX27" s="896">
        <f t="shared" si="15"/>
        <v>0</v>
      </c>
      <c r="AY27" s="896">
        <f t="shared" si="15"/>
        <v>0</v>
      </c>
      <c r="AZ27" s="896">
        <f t="shared" si="15"/>
        <v>0</v>
      </c>
      <c r="BA27" s="896">
        <f t="shared" si="15"/>
        <v>0</v>
      </c>
      <c r="BB27" s="896">
        <f t="shared" si="15"/>
        <v>0</v>
      </c>
      <c r="BC27" s="896">
        <f t="shared" si="15"/>
        <v>0</v>
      </c>
      <c r="BD27" s="896">
        <f t="shared" si="15"/>
        <v>0</v>
      </c>
      <c r="BE27" s="896">
        <f t="shared" si="16"/>
        <v>0</v>
      </c>
      <c r="BF27" s="896">
        <f t="shared" si="16"/>
        <v>0</v>
      </c>
      <c r="BG27" s="896">
        <f t="shared" si="16"/>
        <v>0</v>
      </c>
      <c r="BH27" s="896">
        <f t="shared" si="16"/>
        <v>0</v>
      </c>
      <c r="BI27" s="896">
        <f t="shared" si="16"/>
        <v>0</v>
      </c>
      <c r="BJ27" s="896">
        <f t="shared" si="16"/>
        <v>0</v>
      </c>
      <c r="BK27" s="896">
        <f t="shared" si="16"/>
        <v>0</v>
      </c>
      <c r="BL27" s="896">
        <f t="shared" si="16"/>
        <v>0</v>
      </c>
      <c r="BM27" s="896">
        <f t="shared" si="16"/>
        <v>0</v>
      </c>
      <c r="BN27" s="896">
        <f t="shared" si="16"/>
        <v>0</v>
      </c>
      <c r="BO27" s="896">
        <f t="shared" si="16"/>
        <v>0</v>
      </c>
      <c r="BP27" s="896">
        <f t="shared" si="16"/>
        <v>0</v>
      </c>
    </row>
    <row r="28" spans="1:68" x14ac:dyDescent="0.25">
      <c r="A28" s="476" t="s">
        <v>455</v>
      </c>
      <c r="B28" s="473"/>
      <c r="C28" s="486" t="str">
        <f>IF($B28&lt;&gt;"",VLOOKUP($B28,COSTS_Wizard_Tower[#All],2),"")</f>
        <v/>
      </c>
      <c r="D28" s="492" t="str">
        <f>IF($B28&lt;&gt;"",VLOOKUP($B28,COSTS_Wizard_Tower[#All],3)/24,"")</f>
        <v/>
      </c>
      <c r="E28" s="499"/>
      <c r="F28" s="513"/>
      <c r="G28" s="185" t="str">
        <f t="shared" si="13"/>
        <v/>
      </c>
      <c r="H28" s="503"/>
      <c r="I28" s="898">
        <f t="shared" si="4"/>
        <v>0</v>
      </c>
      <c r="J28" s="898">
        <f t="shared" si="4"/>
        <v>0</v>
      </c>
      <c r="K28" s="898">
        <f t="shared" si="4"/>
        <v>0</v>
      </c>
      <c r="L28" s="898">
        <f t="shared" si="4"/>
        <v>0</v>
      </c>
      <c r="M28" s="898">
        <f t="shared" si="4"/>
        <v>0</v>
      </c>
      <c r="N28" s="898">
        <f t="shared" si="4"/>
        <v>0</v>
      </c>
      <c r="O28" s="898">
        <f t="shared" si="4"/>
        <v>0</v>
      </c>
      <c r="P28" s="898">
        <f t="shared" si="4"/>
        <v>0</v>
      </c>
      <c r="Q28" s="898">
        <f t="shared" si="4"/>
        <v>0</v>
      </c>
      <c r="R28" s="896">
        <f t="shared" si="4"/>
        <v>0</v>
      </c>
      <c r="S28" s="896">
        <f t="shared" si="4"/>
        <v>0</v>
      </c>
      <c r="T28" s="896">
        <f t="shared" si="4"/>
        <v>0</v>
      </c>
      <c r="U28" s="896">
        <f t="shared" si="4"/>
        <v>0</v>
      </c>
      <c r="V28" s="896">
        <f t="shared" si="4"/>
        <v>0</v>
      </c>
      <c r="W28" s="896">
        <f t="shared" si="4"/>
        <v>0</v>
      </c>
      <c r="X28" s="896">
        <f t="shared" si="4"/>
        <v>0</v>
      </c>
      <c r="Y28" s="896">
        <f t="shared" si="14"/>
        <v>0</v>
      </c>
      <c r="Z28" s="896">
        <f t="shared" si="14"/>
        <v>0</v>
      </c>
      <c r="AA28" s="896">
        <f t="shared" si="14"/>
        <v>0</v>
      </c>
      <c r="AB28" s="896">
        <f t="shared" si="14"/>
        <v>0</v>
      </c>
      <c r="AC28" s="896">
        <f t="shared" si="14"/>
        <v>0</v>
      </c>
      <c r="AD28" s="896">
        <f t="shared" si="14"/>
        <v>0</v>
      </c>
      <c r="AE28" s="896">
        <f t="shared" si="14"/>
        <v>0</v>
      </c>
      <c r="AF28" s="896">
        <f t="shared" si="14"/>
        <v>0</v>
      </c>
      <c r="AG28" s="896">
        <f t="shared" si="14"/>
        <v>0</v>
      </c>
      <c r="AH28" s="896">
        <f t="shared" si="14"/>
        <v>0</v>
      </c>
      <c r="AI28" s="896">
        <f t="shared" si="14"/>
        <v>0</v>
      </c>
      <c r="AJ28" s="896">
        <f t="shared" si="14"/>
        <v>0</v>
      </c>
      <c r="AK28" s="896">
        <f t="shared" si="14"/>
        <v>0</v>
      </c>
      <c r="AL28" s="896">
        <f t="shared" si="14"/>
        <v>0</v>
      </c>
      <c r="AM28" s="896">
        <f t="shared" si="14"/>
        <v>0</v>
      </c>
      <c r="AN28" s="896">
        <f t="shared" si="14"/>
        <v>0</v>
      </c>
      <c r="AO28" s="896">
        <f t="shared" si="15"/>
        <v>0</v>
      </c>
      <c r="AP28" s="896">
        <f t="shared" si="15"/>
        <v>0</v>
      </c>
      <c r="AQ28" s="896">
        <f t="shared" si="15"/>
        <v>0</v>
      </c>
      <c r="AR28" s="896">
        <f t="shared" si="15"/>
        <v>0</v>
      </c>
      <c r="AS28" s="896">
        <f t="shared" si="15"/>
        <v>0</v>
      </c>
      <c r="AT28" s="896">
        <f t="shared" si="15"/>
        <v>0</v>
      </c>
      <c r="AU28" s="896">
        <f t="shared" si="15"/>
        <v>0</v>
      </c>
      <c r="AV28" s="896">
        <f t="shared" si="15"/>
        <v>0</v>
      </c>
      <c r="AW28" s="896">
        <f t="shared" si="15"/>
        <v>0</v>
      </c>
      <c r="AX28" s="896">
        <f t="shared" si="15"/>
        <v>0</v>
      </c>
      <c r="AY28" s="896">
        <f t="shared" si="15"/>
        <v>0</v>
      </c>
      <c r="AZ28" s="896">
        <f t="shared" si="15"/>
        <v>0</v>
      </c>
      <c r="BA28" s="896">
        <f t="shared" si="15"/>
        <v>0</v>
      </c>
      <c r="BB28" s="896">
        <f t="shared" si="15"/>
        <v>0</v>
      </c>
      <c r="BC28" s="896">
        <f t="shared" si="15"/>
        <v>0</v>
      </c>
      <c r="BD28" s="896">
        <f t="shared" si="15"/>
        <v>0</v>
      </c>
      <c r="BE28" s="896">
        <f t="shared" si="16"/>
        <v>0</v>
      </c>
      <c r="BF28" s="896">
        <f t="shared" si="16"/>
        <v>0</v>
      </c>
      <c r="BG28" s="896">
        <f t="shared" si="16"/>
        <v>0</v>
      </c>
      <c r="BH28" s="896">
        <f t="shared" si="16"/>
        <v>0</v>
      </c>
      <c r="BI28" s="896">
        <f t="shared" si="16"/>
        <v>0</v>
      </c>
      <c r="BJ28" s="896">
        <f t="shared" si="16"/>
        <v>0</v>
      </c>
      <c r="BK28" s="896">
        <f t="shared" si="16"/>
        <v>0</v>
      </c>
      <c r="BL28" s="896">
        <f t="shared" si="16"/>
        <v>0</v>
      </c>
      <c r="BM28" s="896">
        <f t="shared" si="16"/>
        <v>0</v>
      </c>
      <c r="BN28" s="896">
        <f t="shared" si="16"/>
        <v>0</v>
      </c>
      <c r="BO28" s="896">
        <f t="shared" si="16"/>
        <v>0</v>
      </c>
      <c r="BP28" s="896">
        <f t="shared" si="16"/>
        <v>0</v>
      </c>
    </row>
    <row r="29" spans="1:68" x14ac:dyDescent="0.25">
      <c r="A29" s="476" t="s">
        <v>647</v>
      </c>
      <c r="B29" s="473"/>
      <c r="C29" s="834" t="str">
        <f>IF($B29&lt;&gt;"",VLOOKUP($B29,COSTS_Air_Sweeper[#All],2),"")</f>
        <v/>
      </c>
      <c r="D29" s="492" t="str">
        <f>IF($B29&lt;&gt;"",VLOOKUP($B29,COSTS_Air_Sweeper[#All],3)/24,"")</f>
        <v/>
      </c>
      <c r="E29" s="499"/>
      <c r="F29" s="513"/>
      <c r="G29" s="639" t="str">
        <f t="shared" si="13"/>
        <v/>
      </c>
      <c r="H29" s="503"/>
      <c r="I29" s="898">
        <f t="shared" si="4"/>
        <v>0</v>
      </c>
      <c r="J29" s="898">
        <f t="shared" si="4"/>
        <v>0</v>
      </c>
      <c r="K29" s="898">
        <f t="shared" si="4"/>
        <v>0</v>
      </c>
      <c r="L29" s="898">
        <f t="shared" si="4"/>
        <v>0</v>
      </c>
      <c r="M29" s="898">
        <f t="shared" si="4"/>
        <v>0</v>
      </c>
      <c r="N29" s="898">
        <f t="shared" si="4"/>
        <v>0</v>
      </c>
      <c r="O29" s="898">
        <f t="shared" si="4"/>
        <v>0</v>
      </c>
      <c r="P29" s="898">
        <f t="shared" si="4"/>
        <v>0</v>
      </c>
      <c r="Q29" s="898">
        <f t="shared" si="4"/>
        <v>0</v>
      </c>
      <c r="R29" s="896">
        <f t="shared" si="4"/>
        <v>0</v>
      </c>
      <c r="S29" s="896">
        <f t="shared" si="4"/>
        <v>0</v>
      </c>
      <c r="T29" s="896">
        <f t="shared" si="4"/>
        <v>0</v>
      </c>
      <c r="U29" s="896">
        <f t="shared" si="4"/>
        <v>0</v>
      </c>
      <c r="V29" s="896">
        <f t="shared" si="4"/>
        <v>0</v>
      </c>
      <c r="W29" s="896">
        <f t="shared" si="4"/>
        <v>0</v>
      </c>
      <c r="X29" s="896">
        <f t="shared" si="4"/>
        <v>0</v>
      </c>
      <c r="Y29" s="896">
        <f t="shared" si="14"/>
        <v>0</v>
      </c>
      <c r="Z29" s="896">
        <f t="shared" si="14"/>
        <v>0</v>
      </c>
      <c r="AA29" s="896">
        <f t="shared" si="14"/>
        <v>0</v>
      </c>
      <c r="AB29" s="896">
        <f t="shared" si="14"/>
        <v>0</v>
      </c>
      <c r="AC29" s="896">
        <f t="shared" si="14"/>
        <v>0</v>
      </c>
      <c r="AD29" s="896">
        <f t="shared" si="14"/>
        <v>0</v>
      </c>
      <c r="AE29" s="896">
        <f t="shared" si="14"/>
        <v>0</v>
      </c>
      <c r="AF29" s="896">
        <f t="shared" si="14"/>
        <v>0</v>
      </c>
      <c r="AG29" s="896">
        <f t="shared" si="14"/>
        <v>0</v>
      </c>
      <c r="AH29" s="896">
        <f t="shared" si="14"/>
        <v>0</v>
      </c>
      <c r="AI29" s="896">
        <f t="shared" si="14"/>
        <v>0</v>
      </c>
      <c r="AJ29" s="896">
        <f t="shared" si="14"/>
        <v>0</v>
      </c>
      <c r="AK29" s="896">
        <f t="shared" si="14"/>
        <v>0</v>
      </c>
      <c r="AL29" s="896">
        <f t="shared" si="14"/>
        <v>0</v>
      </c>
      <c r="AM29" s="896">
        <f t="shared" si="14"/>
        <v>0</v>
      </c>
      <c r="AN29" s="896">
        <f t="shared" si="14"/>
        <v>0</v>
      </c>
      <c r="AO29" s="896">
        <f t="shared" si="15"/>
        <v>0</v>
      </c>
      <c r="AP29" s="896">
        <f t="shared" si="15"/>
        <v>0</v>
      </c>
      <c r="AQ29" s="896">
        <f t="shared" si="15"/>
        <v>0</v>
      </c>
      <c r="AR29" s="896">
        <f t="shared" si="15"/>
        <v>0</v>
      </c>
      <c r="AS29" s="896">
        <f t="shared" si="15"/>
        <v>0</v>
      </c>
      <c r="AT29" s="896">
        <f t="shared" si="15"/>
        <v>0</v>
      </c>
      <c r="AU29" s="896">
        <f t="shared" si="15"/>
        <v>0</v>
      </c>
      <c r="AV29" s="896">
        <f t="shared" si="15"/>
        <v>0</v>
      </c>
      <c r="AW29" s="896">
        <f t="shared" si="15"/>
        <v>0</v>
      </c>
      <c r="AX29" s="896">
        <f t="shared" si="15"/>
        <v>0</v>
      </c>
      <c r="AY29" s="896">
        <f t="shared" si="15"/>
        <v>0</v>
      </c>
      <c r="AZ29" s="896">
        <f t="shared" si="15"/>
        <v>0</v>
      </c>
      <c r="BA29" s="896">
        <f t="shared" si="15"/>
        <v>0</v>
      </c>
      <c r="BB29" s="896">
        <f t="shared" si="15"/>
        <v>0</v>
      </c>
      <c r="BC29" s="896">
        <f t="shared" si="15"/>
        <v>0</v>
      </c>
      <c r="BD29" s="896">
        <f t="shared" si="15"/>
        <v>0</v>
      </c>
      <c r="BE29" s="896">
        <f t="shared" si="16"/>
        <v>0</v>
      </c>
      <c r="BF29" s="896">
        <f t="shared" si="16"/>
        <v>0</v>
      </c>
      <c r="BG29" s="896">
        <f t="shared" si="16"/>
        <v>0</v>
      </c>
      <c r="BH29" s="896">
        <f t="shared" si="16"/>
        <v>0</v>
      </c>
      <c r="BI29" s="896">
        <f t="shared" si="16"/>
        <v>0</v>
      </c>
      <c r="BJ29" s="896">
        <f t="shared" si="16"/>
        <v>0</v>
      </c>
      <c r="BK29" s="896">
        <f t="shared" si="16"/>
        <v>0</v>
      </c>
      <c r="BL29" s="896">
        <f t="shared" si="16"/>
        <v>0</v>
      </c>
      <c r="BM29" s="896">
        <f t="shared" si="16"/>
        <v>0</v>
      </c>
      <c r="BN29" s="896">
        <f t="shared" si="16"/>
        <v>0</v>
      </c>
      <c r="BO29" s="896">
        <f t="shared" si="16"/>
        <v>0</v>
      </c>
      <c r="BP29" s="896">
        <f t="shared" si="16"/>
        <v>0</v>
      </c>
    </row>
    <row r="30" spans="1:68" x14ac:dyDescent="0.25">
      <c r="A30" s="476" t="s">
        <v>201</v>
      </c>
      <c r="B30" s="473"/>
      <c r="C30" s="486" t="str">
        <f>IF($B30&lt;&gt;"",VLOOKUP($B30,COSTS_Hidden_Tesla[#All],2),"")</f>
        <v/>
      </c>
      <c r="D30" s="492" t="str">
        <f>IF($B30&lt;&gt;"",VLOOKUP($B30,COSTS_Hidden_Tesla[#All],3)/24,"")</f>
        <v/>
      </c>
      <c r="E30" s="499"/>
      <c r="F30" s="513"/>
      <c r="G30" s="185" t="str">
        <f t="shared" si="13"/>
        <v/>
      </c>
      <c r="H30" s="503"/>
      <c r="I30" s="898">
        <f t="shared" si="4"/>
        <v>0</v>
      </c>
      <c r="J30" s="898">
        <f t="shared" si="4"/>
        <v>0</v>
      </c>
      <c r="K30" s="898">
        <f t="shared" si="4"/>
        <v>0</v>
      </c>
      <c r="L30" s="898">
        <f t="shared" si="4"/>
        <v>0</v>
      </c>
      <c r="M30" s="898">
        <f t="shared" si="4"/>
        <v>0</v>
      </c>
      <c r="N30" s="898">
        <f t="shared" si="4"/>
        <v>0</v>
      </c>
      <c r="O30" s="898">
        <f t="shared" si="4"/>
        <v>0</v>
      </c>
      <c r="P30" s="898">
        <f t="shared" si="4"/>
        <v>0</v>
      </c>
      <c r="Q30" s="898">
        <f t="shared" si="4"/>
        <v>0</v>
      </c>
      <c r="R30" s="896">
        <f t="shared" si="4"/>
        <v>0</v>
      </c>
      <c r="S30" s="896">
        <f t="shared" si="4"/>
        <v>0</v>
      </c>
      <c r="T30" s="896">
        <f t="shared" si="4"/>
        <v>0</v>
      </c>
      <c r="U30" s="896">
        <f t="shared" si="4"/>
        <v>0</v>
      </c>
      <c r="V30" s="896">
        <f t="shared" si="4"/>
        <v>0</v>
      </c>
      <c r="W30" s="896">
        <f t="shared" si="4"/>
        <v>0</v>
      </c>
      <c r="X30" s="896">
        <f t="shared" si="4"/>
        <v>0</v>
      </c>
      <c r="Y30" s="896">
        <f t="shared" si="14"/>
        <v>0</v>
      </c>
      <c r="Z30" s="896">
        <f t="shared" si="14"/>
        <v>0</v>
      </c>
      <c r="AA30" s="896">
        <f t="shared" si="14"/>
        <v>0</v>
      </c>
      <c r="AB30" s="896">
        <f t="shared" si="14"/>
        <v>0</v>
      </c>
      <c r="AC30" s="896">
        <f t="shared" si="14"/>
        <v>0</v>
      </c>
      <c r="AD30" s="896">
        <f t="shared" si="14"/>
        <v>0</v>
      </c>
      <c r="AE30" s="896">
        <f t="shared" si="14"/>
        <v>0</v>
      </c>
      <c r="AF30" s="896">
        <f t="shared" si="14"/>
        <v>0</v>
      </c>
      <c r="AG30" s="896">
        <f t="shared" si="14"/>
        <v>0</v>
      </c>
      <c r="AH30" s="896">
        <f t="shared" si="14"/>
        <v>0</v>
      </c>
      <c r="AI30" s="896">
        <f t="shared" si="14"/>
        <v>0</v>
      </c>
      <c r="AJ30" s="896">
        <f t="shared" si="14"/>
        <v>0</v>
      </c>
      <c r="AK30" s="896">
        <f t="shared" si="14"/>
        <v>0</v>
      </c>
      <c r="AL30" s="896">
        <f t="shared" si="14"/>
        <v>0</v>
      </c>
      <c r="AM30" s="896">
        <f t="shared" si="14"/>
        <v>0</v>
      </c>
      <c r="AN30" s="896">
        <f t="shared" si="14"/>
        <v>0</v>
      </c>
      <c r="AO30" s="896">
        <f t="shared" si="15"/>
        <v>0</v>
      </c>
      <c r="AP30" s="896">
        <f t="shared" si="15"/>
        <v>0</v>
      </c>
      <c r="AQ30" s="896">
        <f t="shared" si="15"/>
        <v>0</v>
      </c>
      <c r="AR30" s="896">
        <f t="shared" si="15"/>
        <v>0</v>
      </c>
      <c r="AS30" s="896">
        <f t="shared" si="15"/>
        <v>0</v>
      </c>
      <c r="AT30" s="896">
        <f t="shared" si="15"/>
        <v>0</v>
      </c>
      <c r="AU30" s="896">
        <f t="shared" si="15"/>
        <v>0</v>
      </c>
      <c r="AV30" s="896">
        <f t="shared" si="15"/>
        <v>0</v>
      </c>
      <c r="AW30" s="896">
        <f t="shared" si="15"/>
        <v>0</v>
      </c>
      <c r="AX30" s="896">
        <f t="shared" si="15"/>
        <v>0</v>
      </c>
      <c r="AY30" s="896">
        <f t="shared" si="15"/>
        <v>0</v>
      </c>
      <c r="AZ30" s="896">
        <f t="shared" si="15"/>
        <v>0</v>
      </c>
      <c r="BA30" s="896">
        <f t="shared" si="15"/>
        <v>0</v>
      </c>
      <c r="BB30" s="896">
        <f t="shared" si="15"/>
        <v>0</v>
      </c>
      <c r="BC30" s="896">
        <f t="shared" si="15"/>
        <v>0</v>
      </c>
      <c r="BD30" s="896">
        <f t="shared" si="15"/>
        <v>0</v>
      </c>
      <c r="BE30" s="896">
        <f t="shared" si="16"/>
        <v>0</v>
      </c>
      <c r="BF30" s="896">
        <f t="shared" si="16"/>
        <v>0</v>
      </c>
      <c r="BG30" s="896">
        <f t="shared" si="16"/>
        <v>0</v>
      </c>
      <c r="BH30" s="896">
        <f t="shared" si="16"/>
        <v>0</v>
      </c>
      <c r="BI30" s="896">
        <f t="shared" si="16"/>
        <v>0</v>
      </c>
      <c r="BJ30" s="896">
        <f t="shared" si="16"/>
        <v>0</v>
      </c>
      <c r="BK30" s="896">
        <f t="shared" si="16"/>
        <v>0</v>
      </c>
      <c r="BL30" s="896">
        <f t="shared" si="16"/>
        <v>0</v>
      </c>
      <c r="BM30" s="896">
        <f t="shared" si="16"/>
        <v>0</v>
      </c>
      <c r="BN30" s="896">
        <f t="shared" si="16"/>
        <v>0</v>
      </c>
      <c r="BO30" s="896">
        <f t="shared" si="16"/>
        <v>0</v>
      </c>
      <c r="BP30" s="896">
        <f t="shared" si="16"/>
        <v>0</v>
      </c>
    </row>
    <row r="31" spans="1:68" x14ac:dyDescent="0.25">
      <c r="A31" s="476" t="s">
        <v>200</v>
      </c>
      <c r="B31" s="473"/>
      <c r="C31" s="486" t="str">
        <f>IF($B31&lt;&gt;"",VLOOKUP($B31,COSTS_XBow[#All],2),"")</f>
        <v/>
      </c>
      <c r="D31" s="492" t="str">
        <f>IF($B31&lt;&gt;"",VLOOKUP($B31,COSTS_XBow[#All],3)/24,"")</f>
        <v/>
      </c>
      <c r="E31" s="499"/>
      <c r="F31" s="513"/>
      <c r="G31" s="185" t="str">
        <f t="shared" si="13"/>
        <v/>
      </c>
      <c r="H31" s="503"/>
      <c r="I31" s="898">
        <f t="shared" si="4"/>
        <v>0</v>
      </c>
      <c r="J31" s="898">
        <f t="shared" si="4"/>
        <v>0</v>
      </c>
      <c r="K31" s="898">
        <f t="shared" si="4"/>
        <v>0</v>
      </c>
      <c r="L31" s="898">
        <f t="shared" si="4"/>
        <v>0</v>
      </c>
      <c r="M31" s="898">
        <f t="shared" si="4"/>
        <v>0</v>
      </c>
      <c r="N31" s="898">
        <f t="shared" si="4"/>
        <v>0</v>
      </c>
      <c r="O31" s="898">
        <f t="shared" si="4"/>
        <v>0</v>
      </c>
      <c r="P31" s="898">
        <f t="shared" si="4"/>
        <v>0</v>
      </c>
      <c r="Q31" s="898">
        <f t="shared" si="4"/>
        <v>0</v>
      </c>
      <c r="R31" s="896">
        <f t="shared" si="4"/>
        <v>0</v>
      </c>
      <c r="S31" s="896">
        <f t="shared" si="4"/>
        <v>0</v>
      </c>
      <c r="T31" s="896">
        <f t="shared" si="4"/>
        <v>0</v>
      </c>
      <c r="U31" s="896">
        <f t="shared" si="4"/>
        <v>0</v>
      </c>
      <c r="V31" s="896">
        <f t="shared" si="4"/>
        <v>0</v>
      </c>
      <c r="W31" s="896">
        <f t="shared" si="4"/>
        <v>0</v>
      </c>
      <c r="X31" s="896">
        <f t="shared" si="4"/>
        <v>0</v>
      </c>
      <c r="Y31" s="896">
        <f t="shared" si="14"/>
        <v>0</v>
      </c>
      <c r="Z31" s="896">
        <f t="shared" si="14"/>
        <v>0</v>
      </c>
      <c r="AA31" s="896">
        <f t="shared" si="14"/>
        <v>0</v>
      </c>
      <c r="AB31" s="896">
        <f t="shared" si="14"/>
        <v>0</v>
      </c>
      <c r="AC31" s="896">
        <f t="shared" si="14"/>
        <v>0</v>
      </c>
      <c r="AD31" s="896">
        <f t="shared" si="14"/>
        <v>0</v>
      </c>
      <c r="AE31" s="896">
        <f t="shared" si="14"/>
        <v>0</v>
      </c>
      <c r="AF31" s="896">
        <f t="shared" si="14"/>
        <v>0</v>
      </c>
      <c r="AG31" s="896">
        <f t="shared" si="14"/>
        <v>0</v>
      </c>
      <c r="AH31" s="896">
        <f t="shared" si="14"/>
        <v>0</v>
      </c>
      <c r="AI31" s="896">
        <f t="shared" si="14"/>
        <v>0</v>
      </c>
      <c r="AJ31" s="896">
        <f t="shared" si="14"/>
        <v>0</v>
      </c>
      <c r="AK31" s="896">
        <f t="shared" si="14"/>
        <v>0</v>
      </c>
      <c r="AL31" s="896">
        <f t="shared" si="14"/>
        <v>0</v>
      </c>
      <c r="AM31" s="896">
        <f t="shared" si="14"/>
        <v>0</v>
      </c>
      <c r="AN31" s="896">
        <f t="shared" si="14"/>
        <v>0</v>
      </c>
      <c r="AO31" s="896">
        <f t="shared" si="15"/>
        <v>0</v>
      </c>
      <c r="AP31" s="896">
        <f t="shared" si="15"/>
        <v>0</v>
      </c>
      <c r="AQ31" s="896">
        <f t="shared" si="15"/>
        <v>0</v>
      </c>
      <c r="AR31" s="896">
        <f t="shared" si="15"/>
        <v>0</v>
      </c>
      <c r="AS31" s="896">
        <f t="shared" si="15"/>
        <v>0</v>
      </c>
      <c r="AT31" s="896">
        <f t="shared" si="15"/>
        <v>0</v>
      </c>
      <c r="AU31" s="896">
        <f t="shared" si="15"/>
        <v>0</v>
      </c>
      <c r="AV31" s="896">
        <f t="shared" si="15"/>
        <v>0</v>
      </c>
      <c r="AW31" s="896">
        <f t="shared" si="15"/>
        <v>0</v>
      </c>
      <c r="AX31" s="896">
        <f t="shared" si="15"/>
        <v>0</v>
      </c>
      <c r="AY31" s="896">
        <f t="shared" si="15"/>
        <v>0</v>
      </c>
      <c r="AZ31" s="896">
        <f t="shared" si="15"/>
        <v>0</v>
      </c>
      <c r="BA31" s="896">
        <f t="shared" si="15"/>
        <v>0</v>
      </c>
      <c r="BB31" s="896">
        <f t="shared" si="15"/>
        <v>0</v>
      </c>
      <c r="BC31" s="896">
        <f t="shared" si="15"/>
        <v>0</v>
      </c>
      <c r="BD31" s="896">
        <f t="shared" si="15"/>
        <v>0</v>
      </c>
      <c r="BE31" s="896">
        <f t="shared" si="16"/>
        <v>0</v>
      </c>
      <c r="BF31" s="896">
        <f t="shared" si="16"/>
        <v>0</v>
      </c>
      <c r="BG31" s="896">
        <f t="shared" si="16"/>
        <v>0</v>
      </c>
      <c r="BH31" s="896">
        <f t="shared" si="16"/>
        <v>0</v>
      </c>
      <c r="BI31" s="896">
        <f t="shared" si="16"/>
        <v>0</v>
      </c>
      <c r="BJ31" s="896">
        <f t="shared" si="16"/>
        <v>0</v>
      </c>
      <c r="BK31" s="896">
        <f t="shared" si="16"/>
        <v>0</v>
      </c>
      <c r="BL31" s="896">
        <f t="shared" si="16"/>
        <v>0</v>
      </c>
      <c r="BM31" s="896">
        <f t="shared" si="16"/>
        <v>0</v>
      </c>
      <c r="BN31" s="896">
        <f t="shared" si="16"/>
        <v>0</v>
      </c>
      <c r="BO31" s="896">
        <f t="shared" si="16"/>
        <v>0</v>
      </c>
      <c r="BP31" s="896">
        <f t="shared" si="16"/>
        <v>0</v>
      </c>
    </row>
    <row r="32" spans="1:68" ht="15.75" thickBot="1" x14ac:dyDescent="0.3">
      <c r="A32" s="484" t="s">
        <v>199</v>
      </c>
      <c r="B32" s="485"/>
      <c r="C32" s="206" t="str">
        <f>IF($B32&lt;&gt;"",VLOOKUP($B32,COSTS_Inferno_Tower[#All],2),"")</f>
        <v/>
      </c>
      <c r="D32" s="493" t="str">
        <f>IF($B32&lt;&gt;"",VLOOKUP($B32,COSTS_Inferno_Tower[#All],3)/24,"")</f>
        <v/>
      </c>
      <c r="E32" s="514"/>
      <c r="F32" s="515"/>
      <c r="G32" s="504" t="str">
        <f t="shared" si="13"/>
        <v/>
      </c>
      <c r="H32" s="505"/>
      <c r="I32" s="898">
        <f t="shared" si="4"/>
        <v>0</v>
      </c>
      <c r="J32" s="898">
        <f t="shared" si="4"/>
        <v>0</v>
      </c>
      <c r="K32" s="898">
        <f t="shared" si="4"/>
        <v>0</v>
      </c>
      <c r="L32" s="898">
        <f t="shared" si="4"/>
        <v>0</v>
      </c>
      <c r="M32" s="898">
        <f t="shared" si="4"/>
        <v>0</v>
      </c>
      <c r="N32" s="898">
        <f t="shared" si="4"/>
        <v>0</v>
      </c>
      <c r="O32" s="898">
        <f t="shared" si="4"/>
        <v>0</v>
      </c>
      <c r="P32" s="898">
        <f t="shared" si="4"/>
        <v>0</v>
      </c>
      <c r="Q32" s="898">
        <f t="shared" si="4"/>
        <v>0</v>
      </c>
      <c r="R32" s="896">
        <f t="shared" si="4"/>
        <v>0</v>
      </c>
      <c r="S32" s="896">
        <f t="shared" si="4"/>
        <v>0</v>
      </c>
      <c r="T32" s="896">
        <f t="shared" si="4"/>
        <v>0</v>
      </c>
      <c r="U32" s="896">
        <f t="shared" si="4"/>
        <v>0</v>
      </c>
      <c r="V32" s="896">
        <f t="shared" si="4"/>
        <v>0</v>
      </c>
      <c r="W32" s="896">
        <f t="shared" si="4"/>
        <v>0</v>
      </c>
      <c r="X32" s="896">
        <f t="shared" si="4"/>
        <v>0</v>
      </c>
      <c r="Y32" s="896">
        <f t="shared" si="14"/>
        <v>0</v>
      </c>
      <c r="Z32" s="896">
        <f t="shared" si="14"/>
        <v>0</v>
      </c>
      <c r="AA32" s="896">
        <f t="shared" si="14"/>
        <v>0</v>
      </c>
      <c r="AB32" s="896">
        <f t="shared" si="14"/>
        <v>0</v>
      </c>
      <c r="AC32" s="896">
        <f t="shared" si="14"/>
        <v>0</v>
      </c>
      <c r="AD32" s="896">
        <f t="shared" si="14"/>
        <v>0</v>
      </c>
      <c r="AE32" s="896">
        <f t="shared" si="14"/>
        <v>0</v>
      </c>
      <c r="AF32" s="896">
        <f t="shared" si="14"/>
        <v>0</v>
      </c>
      <c r="AG32" s="896">
        <f t="shared" si="14"/>
        <v>0</v>
      </c>
      <c r="AH32" s="896">
        <f t="shared" si="14"/>
        <v>0</v>
      </c>
      <c r="AI32" s="896">
        <f t="shared" si="14"/>
        <v>0</v>
      </c>
      <c r="AJ32" s="896">
        <f t="shared" si="14"/>
        <v>0</v>
      </c>
      <c r="AK32" s="896">
        <f t="shared" si="14"/>
        <v>0</v>
      </c>
      <c r="AL32" s="896">
        <f t="shared" si="14"/>
        <v>0</v>
      </c>
      <c r="AM32" s="896">
        <f t="shared" si="14"/>
        <v>0</v>
      </c>
      <c r="AN32" s="896">
        <f t="shared" si="14"/>
        <v>0</v>
      </c>
      <c r="AO32" s="896">
        <f t="shared" si="15"/>
        <v>0</v>
      </c>
      <c r="AP32" s="896">
        <f t="shared" si="15"/>
        <v>0</v>
      </c>
      <c r="AQ32" s="896">
        <f t="shared" si="15"/>
        <v>0</v>
      </c>
      <c r="AR32" s="896">
        <f t="shared" si="15"/>
        <v>0</v>
      </c>
      <c r="AS32" s="896">
        <f t="shared" si="15"/>
        <v>0</v>
      </c>
      <c r="AT32" s="896">
        <f t="shared" si="15"/>
        <v>0</v>
      </c>
      <c r="AU32" s="896">
        <f t="shared" si="15"/>
        <v>0</v>
      </c>
      <c r="AV32" s="896">
        <f t="shared" si="15"/>
        <v>0</v>
      </c>
      <c r="AW32" s="896">
        <f t="shared" si="15"/>
        <v>0</v>
      </c>
      <c r="AX32" s="896">
        <f t="shared" si="15"/>
        <v>0</v>
      </c>
      <c r="AY32" s="896">
        <f t="shared" si="15"/>
        <v>0</v>
      </c>
      <c r="AZ32" s="896">
        <f t="shared" si="15"/>
        <v>0</v>
      </c>
      <c r="BA32" s="896">
        <f t="shared" si="15"/>
        <v>0</v>
      </c>
      <c r="BB32" s="896">
        <f t="shared" si="15"/>
        <v>0</v>
      </c>
      <c r="BC32" s="896">
        <f t="shared" si="15"/>
        <v>0</v>
      </c>
      <c r="BD32" s="896">
        <f t="shared" si="15"/>
        <v>0</v>
      </c>
      <c r="BE32" s="896">
        <f t="shared" si="16"/>
        <v>0</v>
      </c>
      <c r="BF32" s="896">
        <f t="shared" si="16"/>
        <v>0</v>
      </c>
      <c r="BG32" s="896">
        <f t="shared" si="16"/>
        <v>0</v>
      </c>
      <c r="BH32" s="896">
        <f t="shared" si="16"/>
        <v>0</v>
      </c>
      <c r="BI32" s="896">
        <f t="shared" si="16"/>
        <v>0</v>
      </c>
      <c r="BJ32" s="896">
        <f t="shared" si="16"/>
        <v>0</v>
      </c>
      <c r="BK32" s="896">
        <f t="shared" si="16"/>
        <v>0</v>
      </c>
      <c r="BL32" s="896">
        <f t="shared" si="16"/>
        <v>0</v>
      </c>
      <c r="BM32" s="896">
        <f t="shared" si="16"/>
        <v>0</v>
      </c>
      <c r="BN32" s="896">
        <f t="shared" si="16"/>
        <v>0</v>
      </c>
      <c r="BO32" s="896">
        <f t="shared" si="16"/>
        <v>0</v>
      </c>
      <c r="BP32" s="896">
        <f t="shared" si="16"/>
        <v>0</v>
      </c>
    </row>
    <row r="33" spans="1:68" ht="16.5" thickBot="1" x14ac:dyDescent="0.3">
      <c r="A33" s="1013" t="s">
        <v>180</v>
      </c>
      <c r="B33" s="1014"/>
      <c r="C33" s="1014"/>
      <c r="D33" s="1014"/>
      <c r="E33" s="1014"/>
      <c r="F33" s="1014"/>
      <c r="G33" s="1014"/>
      <c r="H33" s="1015"/>
      <c r="I33" s="898">
        <f t="shared" si="4"/>
        <v>0</v>
      </c>
      <c r="J33" s="898">
        <f t="shared" si="4"/>
        <v>0</v>
      </c>
      <c r="K33" s="898">
        <f t="shared" si="4"/>
        <v>0</v>
      </c>
      <c r="L33" s="898">
        <f t="shared" si="4"/>
        <v>0</v>
      </c>
      <c r="M33" s="898">
        <f t="shared" si="4"/>
        <v>0</v>
      </c>
      <c r="N33" s="898">
        <f t="shared" si="4"/>
        <v>0</v>
      </c>
      <c r="O33" s="898">
        <f t="shared" si="4"/>
        <v>0</v>
      </c>
      <c r="P33" s="898">
        <f t="shared" si="4"/>
        <v>0</v>
      </c>
      <c r="Q33" s="898">
        <f t="shared" si="4"/>
        <v>0</v>
      </c>
      <c r="R33" s="896">
        <f t="shared" si="4"/>
        <v>0</v>
      </c>
      <c r="S33" s="896">
        <f t="shared" si="4"/>
        <v>0</v>
      </c>
      <c r="T33" s="896">
        <f t="shared" si="4"/>
        <v>0</v>
      </c>
      <c r="U33" s="896">
        <f t="shared" si="4"/>
        <v>0</v>
      </c>
      <c r="V33" s="896">
        <f t="shared" si="4"/>
        <v>0</v>
      </c>
      <c r="W33" s="896">
        <f t="shared" si="4"/>
        <v>0</v>
      </c>
      <c r="X33" s="896">
        <f t="shared" si="4"/>
        <v>0</v>
      </c>
      <c r="Y33" s="896">
        <f t="shared" si="14"/>
        <v>0</v>
      </c>
      <c r="Z33" s="896">
        <f t="shared" si="14"/>
        <v>0</v>
      </c>
      <c r="AA33" s="896">
        <f t="shared" si="14"/>
        <v>0</v>
      </c>
      <c r="AB33" s="896">
        <f t="shared" si="14"/>
        <v>0</v>
      </c>
      <c r="AC33" s="896">
        <f t="shared" si="14"/>
        <v>0</v>
      </c>
      <c r="AD33" s="896">
        <f t="shared" si="14"/>
        <v>0</v>
      </c>
      <c r="AE33" s="896">
        <f t="shared" si="14"/>
        <v>0</v>
      </c>
      <c r="AF33" s="896">
        <f t="shared" si="14"/>
        <v>0</v>
      </c>
      <c r="AG33" s="896">
        <f t="shared" si="14"/>
        <v>0</v>
      </c>
      <c r="AH33" s="896">
        <f t="shared" si="14"/>
        <v>0</v>
      </c>
      <c r="AI33" s="896">
        <f t="shared" si="14"/>
        <v>0</v>
      </c>
      <c r="AJ33" s="896">
        <f t="shared" si="14"/>
        <v>0</v>
      </c>
      <c r="AK33" s="896">
        <f t="shared" si="14"/>
        <v>0</v>
      </c>
      <c r="AL33" s="896">
        <f t="shared" si="14"/>
        <v>0</v>
      </c>
      <c r="AM33" s="896">
        <f t="shared" si="14"/>
        <v>0</v>
      </c>
      <c r="AN33" s="896">
        <f t="shared" si="14"/>
        <v>0</v>
      </c>
      <c r="AO33" s="896">
        <f t="shared" si="15"/>
        <v>0</v>
      </c>
      <c r="AP33" s="896">
        <f t="shared" si="15"/>
        <v>0</v>
      </c>
      <c r="AQ33" s="896">
        <f t="shared" si="15"/>
        <v>0</v>
      </c>
      <c r="AR33" s="896">
        <f t="shared" si="15"/>
        <v>0</v>
      </c>
      <c r="AS33" s="896">
        <f t="shared" si="15"/>
        <v>0</v>
      </c>
      <c r="AT33" s="896">
        <f t="shared" si="15"/>
        <v>0</v>
      </c>
      <c r="AU33" s="896">
        <f t="shared" si="15"/>
        <v>0</v>
      </c>
      <c r="AV33" s="896">
        <f t="shared" si="15"/>
        <v>0</v>
      </c>
      <c r="AW33" s="896">
        <f t="shared" si="15"/>
        <v>0</v>
      </c>
      <c r="AX33" s="896">
        <f t="shared" si="15"/>
        <v>0</v>
      </c>
      <c r="AY33" s="896">
        <f t="shared" si="15"/>
        <v>0</v>
      </c>
      <c r="AZ33" s="896">
        <f t="shared" si="15"/>
        <v>0</v>
      </c>
      <c r="BA33" s="896">
        <f t="shared" si="15"/>
        <v>0</v>
      </c>
      <c r="BB33" s="896">
        <f t="shared" si="15"/>
        <v>0</v>
      </c>
      <c r="BC33" s="896">
        <f t="shared" si="15"/>
        <v>0</v>
      </c>
      <c r="BD33" s="896">
        <f t="shared" si="15"/>
        <v>0</v>
      </c>
      <c r="BE33" s="896">
        <f t="shared" si="16"/>
        <v>0</v>
      </c>
      <c r="BF33" s="896">
        <f t="shared" si="16"/>
        <v>0</v>
      </c>
      <c r="BG33" s="896">
        <f t="shared" si="16"/>
        <v>0</v>
      </c>
      <c r="BH33" s="896">
        <f t="shared" si="16"/>
        <v>0</v>
      </c>
      <c r="BI33" s="896">
        <f t="shared" si="16"/>
        <v>0</v>
      </c>
      <c r="BJ33" s="896">
        <f t="shared" si="16"/>
        <v>0</v>
      </c>
      <c r="BK33" s="896">
        <f t="shared" si="16"/>
        <v>0</v>
      </c>
      <c r="BL33" s="896">
        <f t="shared" si="16"/>
        <v>0</v>
      </c>
      <c r="BM33" s="896">
        <f t="shared" si="16"/>
        <v>0</v>
      </c>
      <c r="BN33" s="896">
        <f t="shared" si="16"/>
        <v>0</v>
      </c>
      <c r="BO33" s="896">
        <f t="shared" si="16"/>
        <v>0</v>
      </c>
      <c r="BP33" s="896">
        <f t="shared" si="16"/>
        <v>0</v>
      </c>
    </row>
    <row r="34" spans="1:68" x14ac:dyDescent="0.25">
      <c r="A34" s="482" t="s">
        <v>198</v>
      </c>
      <c r="B34" s="483"/>
      <c r="C34" s="306" t="str">
        <f>IF($B34&lt;&gt;"",VLOOKUP($B34,COSTS_Clan_Castle[#All],2),"")</f>
        <v/>
      </c>
      <c r="D34" s="491" t="str">
        <f>IF($B34&lt;&gt;"",VLOOKUP($B34,COSTS_Clan_Castle[#All],3)/24,"")</f>
        <v/>
      </c>
      <c r="E34" s="499"/>
      <c r="F34" s="512"/>
      <c r="G34" s="500" t="str">
        <f>IF($D34&lt;&gt;"",$D34,"")</f>
        <v/>
      </c>
      <c r="H34" s="501"/>
      <c r="I34" s="898">
        <f t="shared" si="4"/>
        <v>0</v>
      </c>
      <c r="J34" s="898">
        <f t="shared" si="4"/>
        <v>0</v>
      </c>
      <c r="K34" s="898">
        <f t="shared" si="4"/>
        <v>0</v>
      </c>
      <c r="L34" s="898">
        <f t="shared" si="4"/>
        <v>0</v>
      </c>
      <c r="M34" s="898">
        <f t="shared" si="4"/>
        <v>0</v>
      </c>
      <c r="N34" s="898">
        <f t="shared" si="4"/>
        <v>0</v>
      </c>
      <c r="O34" s="898">
        <f t="shared" si="4"/>
        <v>0</v>
      </c>
      <c r="P34" s="898">
        <f t="shared" si="4"/>
        <v>0</v>
      </c>
      <c r="Q34" s="898">
        <f t="shared" si="4"/>
        <v>0</v>
      </c>
      <c r="R34" s="896">
        <f t="shared" si="4"/>
        <v>0</v>
      </c>
      <c r="S34" s="896">
        <f t="shared" si="4"/>
        <v>0</v>
      </c>
      <c r="T34" s="896">
        <f t="shared" si="4"/>
        <v>0</v>
      </c>
      <c r="U34" s="896">
        <f t="shared" si="4"/>
        <v>0</v>
      </c>
      <c r="V34" s="896">
        <f t="shared" si="4"/>
        <v>0</v>
      </c>
      <c r="W34" s="896">
        <f t="shared" si="4"/>
        <v>0</v>
      </c>
      <c r="X34" s="896">
        <f t="shared" si="4"/>
        <v>0</v>
      </c>
      <c r="Y34" s="896">
        <f t="shared" si="14"/>
        <v>0</v>
      </c>
      <c r="Z34" s="896">
        <f t="shared" si="14"/>
        <v>0</v>
      </c>
      <c r="AA34" s="896">
        <f t="shared" si="14"/>
        <v>0</v>
      </c>
      <c r="AB34" s="896">
        <f t="shared" si="14"/>
        <v>0</v>
      </c>
      <c r="AC34" s="896">
        <f t="shared" si="14"/>
        <v>0</v>
      </c>
      <c r="AD34" s="896">
        <f t="shared" si="14"/>
        <v>0</v>
      </c>
      <c r="AE34" s="896">
        <f t="shared" si="14"/>
        <v>0</v>
      </c>
      <c r="AF34" s="896">
        <f t="shared" si="14"/>
        <v>0</v>
      </c>
      <c r="AG34" s="896">
        <f t="shared" si="14"/>
        <v>0</v>
      </c>
      <c r="AH34" s="896">
        <f t="shared" si="14"/>
        <v>0</v>
      </c>
      <c r="AI34" s="896">
        <f t="shared" si="14"/>
        <v>0</v>
      </c>
      <c r="AJ34" s="896">
        <f t="shared" si="14"/>
        <v>0</v>
      </c>
      <c r="AK34" s="896">
        <f t="shared" si="14"/>
        <v>0</v>
      </c>
      <c r="AL34" s="896">
        <f t="shared" si="14"/>
        <v>0</v>
      </c>
      <c r="AM34" s="896">
        <f t="shared" si="14"/>
        <v>0</v>
      </c>
      <c r="AN34" s="896">
        <f t="shared" si="14"/>
        <v>0</v>
      </c>
      <c r="AO34" s="896">
        <f t="shared" si="15"/>
        <v>0</v>
      </c>
      <c r="AP34" s="896">
        <f t="shared" si="15"/>
        <v>0</v>
      </c>
      <c r="AQ34" s="896">
        <f t="shared" si="15"/>
        <v>0</v>
      </c>
      <c r="AR34" s="896">
        <f t="shared" si="15"/>
        <v>0</v>
      </c>
      <c r="AS34" s="896">
        <f t="shared" si="15"/>
        <v>0</v>
      </c>
      <c r="AT34" s="896">
        <f t="shared" si="15"/>
        <v>0</v>
      </c>
      <c r="AU34" s="896">
        <f t="shared" si="15"/>
        <v>0</v>
      </c>
      <c r="AV34" s="896">
        <f t="shared" si="15"/>
        <v>0</v>
      </c>
      <c r="AW34" s="896">
        <f t="shared" si="15"/>
        <v>0</v>
      </c>
      <c r="AX34" s="896">
        <f t="shared" si="15"/>
        <v>0</v>
      </c>
      <c r="AY34" s="896">
        <f t="shared" si="15"/>
        <v>0</v>
      </c>
      <c r="AZ34" s="896">
        <f t="shared" si="15"/>
        <v>0</v>
      </c>
      <c r="BA34" s="896">
        <f t="shared" si="15"/>
        <v>0</v>
      </c>
      <c r="BB34" s="896">
        <f t="shared" si="15"/>
        <v>0</v>
      </c>
      <c r="BC34" s="896">
        <f t="shared" si="15"/>
        <v>0</v>
      </c>
      <c r="BD34" s="896">
        <f t="shared" si="15"/>
        <v>0</v>
      </c>
      <c r="BE34" s="896">
        <f t="shared" si="16"/>
        <v>0</v>
      </c>
      <c r="BF34" s="896">
        <f t="shared" si="16"/>
        <v>0</v>
      </c>
      <c r="BG34" s="896">
        <f t="shared" si="16"/>
        <v>0</v>
      </c>
      <c r="BH34" s="896">
        <f t="shared" si="16"/>
        <v>0</v>
      </c>
      <c r="BI34" s="896">
        <f t="shared" si="16"/>
        <v>0</v>
      </c>
      <c r="BJ34" s="896">
        <f t="shared" si="16"/>
        <v>0</v>
      </c>
      <c r="BK34" s="896">
        <f t="shared" si="16"/>
        <v>0</v>
      </c>
      <c r="BL34" s="896">
        <f t="shared" si="16"/>
        <v>0</v>
      </c>
      <c r="BM34" s="896">
        <f t="shared" si="16"/>
        <v>0</v>
      </c>
      <c r="BN34" s="896">
        <f t="shared" si="16"/>
        <v>0</v>
      </c>
      <c r="BO34" s="896">
        <f t="shared" si="16"/>
        <v>0</v>
      </c>
      <c r="BP34" s="896">
        <f t="shared" si="16"/>
        <v>0</v>
      </c>
    </row>
    <row r="35" spans="1:68" ht="15.75" thickBot="1" x14ac:dyDescent="0.3">
      <c r="A35" s="476" t="s">
        <v>197</v>
      </c>
      <c r="B35" s="473"/>
      <c r="C35" s="486" t="str">
        <f>IF($B35&lt;&gt;"",VLOOKUP($B35,COSTS_Town_Home[#All],2),"")</f>
        <v/>
      </c>
      <c r="D35" s="492" t="str">
        <f>IF($B35&lt;&gt;"",VLOOKUP($B35,COSTS_Town_Home[#All],3)/24,"")</f>
        <v/>
      </c>
      <c r="E35" s="502"/>
      <c r="F35" s="513"/>
      <c r="G35" s="185" t="str">
        <f>IF($D35&lt;&gt;"",$D35,"")</f>
        <v/>
      </c>
      <c r="H35" s="503"/>
      <c r="I35" s="898">
        <f t="shared" si="4"/>
        <v>0</v>
      </c>
      <c r="J35" s="898">
        <f t="shared" si="4"/>
        <v>0</v>
      </c>
      <c r="K35" s="898">
        <f t="shared" si="4"/>
        <v>0</v>
      </c>
      <c r="L35" s="898">
        <f t="shared" si="4"/>
        <v>0</v>
      </c>
      <c r="M35" s="898">
        <f t="shared" si="4"/>
        <v>0</v>
      </c>
      <c r="N35" s="898">
        <f t="shared" si="4"/>
        <v>0</v>
      </c>
      <c r="O35" s="898">
        <f t="shared" si="4"/>
        <v>0</v>
      </c>
      <c r="P35" s="898">
        <f t="shared" si="4"/>
        <v>0</v>
      </c>
      <c r="Q35" s="898">
        <f t="shared" si="4"/>
        <v>0</v>
      </c>
      <c r="R35" s="896">
        <f t="shared" si="4"/>
        <v>0</v>
      </c>
      <c r="S35" s="896">
        <f t="shared" si="4"/>
        <v>0</v>
      </c>
      <c r="T35" s="896">
        <f t="shared" si="4"/>
        <v>0</v>
      </c>
      <c r="U35" s="896">
        <f t="shared" si="4"/>
        <v>0</v>
      </c>
      <c r="V35" s="896">
        <f t="shared" si="4"/>
        <v>0</v>
      </c>
      <c r="W35" s="896">
        <f t="shared" si="4"/>
        <v>0</v>
      </c>
      <c r="X35" s="896">
        <f t="shared" si="4"/>
        <v>0</v>
      </c>
      <c r="Y35" s="896">
        <f t="shared" si="14"/>
        <v>0</v>
      </c>
      <c r="Z35" s="896">
        <f t="shared" si="14"/>
        <v>0</v>
      </c>
      <c r="AA35" s="896">
        <f t="shared" si="14"/>
        <v>0</v>
      </c>
      <c r="AB35" s="896">
        <f t="shared" si="14"/>
        <v>0</v>
      </c>
      <c r="AC35" s="896">
        <f t="shared" si="14"/>
        <v>0</v>
      </c>
      <c r="AD35" s="896">
        <f t="shared" si="14"/>
        <v>0</v>
      </c>
      <c r="AE35" s="896">
        <f t="shared" si="14"/>
        <v>0</v>
      </c>
      <c r="AF35" s="896">
        <f t="shared" si="14"/>
        <v>0</v>
      </c>
      <c r="AG35" s="896">
        <f t="shared" si="14"/>
        <v>0</v>
      </c>
      <c r="AH35" s="896">
        <f t="shared" si="14"/>
        <v>0</v>
      </c>
      <c r="AI35" s="896">
        <f t="shared" si="14"/>
        <v>0</v>
      </c>
      <c r="AJ35" s="896">
        <f t="shared" si="14"/>
        <v>0</v>
      </c>
      <c r="AK35" s="896">
        <f t="shared" si="14"/>
        <v>0</v>
      </c>
      <c r="AL35" s="896">
        <f t="shared" si="14"/>
        <v>0</v>
      </c>
      <c r="AM35" s="896">
        <f t="shared" si="14"/>
        <v>0</v>
      </c>
      <c r="AN35" s="896">
        <f t="shared" si="14"/>
        <v>0</v>
      </c>
      <c r="AO35" s="896">
        <f t="shared" si="15"/>
        <v>0</v>
      </c>
      <c r="AP35" s="896">
        <f t="shared" si="15"/>
        <v>0</v>
      </c>
      <c r="AQ35" s="896">
        <f t="shared" si="15"/>
        <v>0</v>
      </c>
      <c r="AR35" s="896">
        <f t="shared" si="15"/>
        <v>0</v>
      </c>
      <c r="AS35" s="896">
        <f t="shared" si="15"/>
        <v>0</v>
      </c>
      <c r="AT35" s="896">
        <f t="shared" si="15"/>
        <v>0</v>
      </c>
      <c r="AU35" s="896">
        <f t="shared" si="15"/>
        <v>0</v>
      </c>
      <c r="AV35" s="896">
        <f t="shared" si="15"/>
        <v>0</v>
      </c>
      <c r="AW35" s="896">
        <f t="shared" si="15"/>
        <v>0</v>
      </c>
      <c r="AX35" s="896">
        <f t="shared" si="15"/>
        <v>0</v>
      </c>
      <c r="AY35" s="896">
        <f t="shared" si="15"/>
        <v>0</v>
      </c>
      <c r="AZ35" s="896">
        <f t="shared" si="15"/>
        <v>0</v>
      </c>
      <c r="BA35" s="896">
        <f t="shared" si="15"/>
        <v>0</v>
      </c>
      <c r="BB35" s="896">
        <f t="shared" si="15"/>
        <v>0</v>
      </c>
      <c r="BC35" s="896">
        <f t="shared" si="15"/>
        <v>0</v>
      </c>
      <c r="BD35" s="896">
        <f t="shared" si="15"/>
        <v>0</v>
      </c>
      <c r="BE35" s="896">
        <f t="shared" si="16"/>
        <v>0</v>
      </c>
      <c r="BF35" s="896">
        <f t="shared" si="16"/>
        <v>0</v>
      </c>
      <c r="BG35" s="896">
        <f t="shared" si="16"/>
        <v>0</v>
      </c>
      <c r="BH35" s="896">
        <f t="shared" si="16"/>
        <v>0</v>
      </c>
      <c r="BI35" s="896">
        <f t="shared" si="16"/>
        <v>0</v>
      </c>
      <c r="BJ35" s="896">
        <f t="shared" si="16"/>
        <v>0</v>
      </c>
      <c r="BK35" s="896">
        <f t="shared" si="16"/>
        <v>0</v>
      </c>
      <c r="BL35" s="896">
        <f t="shared" si="16"/>
        <v>0</v>
      </c>
      <c r="BM35" s="896">
        <f t="shared" si="16"/>
        <v>0</v>
      </c>
      <c r="BN35" s="896">
        <f t="shared" si="16"/>
        <v>0</v>
      </c>
      <c r="BO35" s="896">
        <f t="shared" si="16"/>
        <v>0</v>
      </c>
      <c r="BP35" s="896">
        <f t="shared" si="16"/>
        <v>0</v>
      </c>
    </row>
    <row r="36" spans="1:68" ht="16.5" thickBot="1" x14ac:dyDescent="0.3">
      <c r="A36" s="1013" t="s">
        <v>226</v>
      </c>
      <c r="B36" s="1014"/>
      <c r="C36" s="1014"/>
      <c r="D36" s="1014"/>
      <c r="E36" s="1014"/>
      <c r="F36" s="1014"/>
      <c r="G36" s="1014"/>
      <c r="H36" s="1015"/>
      <c r="I36" s="898">
        <f t="shared" si="4"/>
        <v>0</v>
      </c>
      <c r="J36" s="898">
        <f t="shared" si="4"/>
        <v>0</v>
      </c>
      <c r="K36" s="898">
        <f t="shared" si="4"/>
        <v>0</v>
      </c>
      <c r="L36" s="898">
        <f t="shared" si="4"/>
        <v>0</v>
      </c>
      <c r="M36" s="898">
        <f t="shared" si="4"/>
        <v>0</v>
      </c>
      <c r="N36" s="898">
        <f t="shared" si="4"/>
        <v>0</v>
      </c>
      <c r="O36" s="898">
        <f t="shared" si="4"/>
        <v>0</v>
      </c>
      <c r="P36" s="898">
        <f t="shared" si="4"/>
        <v>0</v>
      </c>
      <c r="Q36" s="898">
        <f t="shared" si="4"/>
        <v>0</v>
      </c>
      <c r="R36" s="896">
        <f t="shared" si="4"/>
        <v>0</v>
      </c>
      <c r="S36" s="896">
        <f t="shared" si="4"/>
        <v>0</v>
      </c>
      <c r="T36" s="896">
        <f t="shared" si="4"/>
        <v>0</v>
      </c>
      <c r="U36" s="896">
        <f t="shared" si="4"/>
        <v>0</v>
      </c>
      <c r="V36" s="896">
        <f t="shared" si="4"/>
        <v>0</v>
      </c>
      <c r="W36" s="896">
        <f t="shared" si="4"/>
        <v>0</v>
      </c>
      <c r="X36" s="896">
        <f t="shared" si="4"/>
        <v>0</v>
      </c>
      <c r="Y36" s="896">
        <f t="shared" si="14"/>
        <v>0</v>
      </c>
      <c r="Z36" s="896">
        <f t="shared" si="14"/>
        <v>0</v>
      </c>
      <c r="AA36" s="896">
        <f t="shared" si="14"/>
        <v>0</v>
      </c>
      <c r="AB36" s="896">
        <f t="shared" si="14"/>
        <v>0</v>
      </c>
      <c r="AC36" s="896">
        <f t="shared" si="14"/>
        <v>0</v>
      </c>
      <c r="AD36" s="896">
        <f t="shared" si="14"/>
        <v>0</v>
      </c>
      <c r="AE36" s="896">
        <f t="shared" si="14"/>
        <v>0</v>
      </c>
      <c r="AF36" s="896">
        <f t="shared" si="14"/>
        <v>0</v>
      </c>
      <c r="AG36" s="896">
        <f t="shared" si="14"/>
        <v>0</v>
      </c>
      <c r="AH36" s="896">
        <f t="shared" si="14"/>
        <v>0</v>
      </c>
      <c r="AI36" s="896">
        <f t="shared" si="14"/>
        <v>0</v>
      </c>
      <c r="AJ36" s="896">
        <f t="shared" si="14"/>
        <v>0</v>
      </c>
      <c r="AK36" s="896">
        <f t="shared" si="14"/>
        <v>0</v>
      </c>
      <c r="AL36" s="896">
        <f t="shared" si="14"/>
        <v>0</v>
      </c>
      <c r="AM36" s="896">
        <f t="shared" si="14"/>
        <v>0</v>
      </c>
      <c r="AN36" s="896">
        <f t="shared" si="14"/>
        <v>0</v>
      </c>
      <c r="AO36" s="896">
        <f t="shared" si="15"/>
        <v>0</v>
      </c>
      <c r="AP36" s="896">
        <f t="shared" si="15"/>
        <v>0</v>
      </c>
      <c r="AQ36" s="896">
        <f t="shared" si="15"/>
        <v>0</v>
      </c>
      <c r="AR36" s="896">
        <f t="shared" si="15"/>
        <v>0</v>
      </c>
      <c r="AS36" s="896">
        <f t="shared" si="15"/>
        <v>0</v>
      </c>
      <c r="AT36" s="896">
        <f t="shared" si="15"/>
        <v>0</v>
      </c>
      <c r="AU36" s="896">
        <f t="shared" si="15"/>
        <v>0</v>
      </c>
      <c r="AV36" s="896">
        <f t="shared" si="15"/>
        <v>0</v>
      </c>
      <c r="AW36" s="896">
        <f t="shared" si="15"/>
        <v>0</v>
      </c>
      <c r="AX36" s="896">
        <f t="shared" si="15"/>
        <v>0</v>
      </c>
      <c r="AY36" s="896">
        <f t="shared" si="15"/>
        <v>0</v>
      </c>
      <c r="AZ36" s="896">
        <f t="shared" si="15"/>
        <v>0</v>
      </c>
      <c r="BA36" s="896">
        <f t="shared" si="15"/>
        <v>0</v>
      </c>
      <c r="BB36" s="896">
        <f t="shared" si="15"/>
        <v>0</v>
      </c>
      <c r="BC36" s="896">
        <f t="shared" si="15"/>
        <v>0</v>
      </c>
      <c r="BD36" s="896">
        <f t="shared" si="15"/>
        <v>0</v>
      </c>
      <c r="BE36" s="896">
        <f t="shared" si="16"/>
        <v>0</v>
      </c>
      <c r="BF36" s="896">
        <f t="shared" si="16"/>
        <v>0</v>
      </c>
      <c r="BG36" s="896">
        <f t="shared" si="16"/>
        <v>0</v>
      </c>
      <c r="BH36" s="896">
        <f t="shared" si="16"/>
        <v>0</v>
      </c>
      <c r="BI36" s="896">
        <f t="shared" si="16"/>
        <v>0</v>
      </c>
      <c r="BJ36" s="896">
        <f t="shared" si="16"/>
        <v>0</v>
      </c>
      <c r="BK36" s="896">
        <f t="shared" si="16"/>
        <v>0</v>
      </c>
      <c r="BL36" s="896">
        <f t="shared" si="16"/>
        <v>0</v>
      </c>
      <c r="BM36" s="896">
        <f t="shared" si="16"/>
        <v>0</v>
      </c>
      <c r="BN36" s="896">
        <f t="shared" si="16"/>
        <v>0</v>
      </c>
      <c r="BO36" s="896">
        <f t="shared" si="16"/>
        <v>0</v>
      </c>
      <c r="BP36" s="896">
        <f t="shared" si="16"/>
        <v>0</v>
      </c>
    </row>
    <row r="37" spans="1:68" x14ac:dyDescent="0.25">
      <c r="A37" s="482" t="s">
        <v>190</v>
      </c>
      <c r="B37" s="483"/>
      <c r="C37" s="463" t="str">
        <f>IF($B37&lt;&gt;"",VLOOKUP($B37,COSTS_Spell_Lightning[#All],2),"")</f>
        <v/>
      </c>
      <c r="D37" s="491" t="str">
        <f>IF($B37&lt;&gt;"",VLOOKUP($B37,COSTS_Spell_Lightning[#All],3)/24,"")</f>
        <v/>
      </c>
      <c r="E37" s="499"/>
      <c r="F37" s="512"/>
      <c r="G37" s="500" t="str">
        <f>IF($D37&lt;&gt;"",$D37,"")</f>
        <v/>
      </c>
      <c r="H37" s="501"/>
      <c r="I37" s="898">
        <f t="shared" si="4"/>
        <v>0</v>
      </c>
      <c r="J37" s="898">
        <f t="shared" si="4"/>
        <v>0</v>
      </c>
      <c r="K37" s="898">
        <f t="shared" si="4"/>
        <v>0</v>
      </c>
      <c r="L37" s="898">
        <f t="shared" si="4"/>
        <v>0</v>
      </c>
      <c r="M37" s="898">
        <f t="shared" si="4"/>
        <v>0</v>
      </c>
      <c r="N37" s="898">
        <f t="shared" si="4"/>
        <v>0</v>
      </c>
      <c r="O37" s="898">
        <f t="shared" si="4"/>
        <v>0</v>
      </c>
      <c r="P37" s="898">
        <f t="shared" ref="P37:AB64" si="17">IF(ISERROR(Plan),0,Plan)</f>
        <v>0</v>
      </c>
      <c r="Q37" s="898">
        <f t="shared" si="17"/>
        <v>0</v>
      </c>
      <c r="R37" s="896">
        <f t="shared" si="17"/>
        <v>0</v>
      </c>
      <c r="S37" s="896">
        <f t="shared" si="17"/>
        <v>0</v>
      </c>
      <c r="T37" s="896">
        <f t="shared" si="17"/>
        <v>0</v>
      </c>
      <c r="U37" s="896">
        <f t="shared" si="17"/>
        <v>0</v>
      </c>
      <c r="V37" s="896">
        <f t="shared" si="17"/>
        <v>0</v>
      </c>
      <c r="W37" s="896">
        <f t="shared" si="17"/>
        <v>0</v>
      </c>
      <c r="X37" s="896">
        <f t="shared" si="17"/>
        <v>0</v>
      </c>
      <c r="Y37" s="896">
        <f t="shared" si="17"/>
        <v>0</v>
      </c>
      <c r="Z37" s="896">
        <f t="shared" si="17"/>
        <v>0</v>
      </c>
      <c r="AA37" s="896">
        <f t="shared" si="17"/>
        <v>0</v>
      </c>
      <c r="AB37" s="896">
        <f t="shared" si="17"/>
        <v>0</v>
      </c>
      <c r="AC37" s="896">
        <f t="shared" si="14"/>
        <v>0</v>
      </c>
      <c r="AD37" s="896">
        <f t="shared" si="14"/>
        <v>0</v>
      </c>
      <c r="AE37" s="896">
        <f t="shared" si="14"/>
        <v>0</v>
      </c>
      <c r="AF37" s="896">
        <f t="shared" si="14"/>
        <v>0</v>
      </c>
      <c r="AG37" s="896">
        <f t="shared" si="14"/>
        <v>0</v>
      </c>
      <c r="AH37" s="896">
        <f t="shared" si="14"/>
        <v>0</v>
      </c>
      <c r="AI37" s="896">
        <f t="shared" si="14"/>
        <v>0</v>
      </c>
      <c r="AJ37" s="896">
        <f t="shared" si="14"/>
        <v>0</v>
      </c>
      <c r="AK37" s="896">
        <f t="shared" si="14"/>
        <v>0</v>
      </c>
      <c r="AL37" s="896">
        <f t="shared" si="14"/>
        <v>0</v>
      </c>
      <c r="AM37" s="896">
        <f t="shared" si="14"/>
        <v>0</v>
      </c>
      <c r="AN37" s="896">
        <f t="shared" si="14"/>
        <v>0</v>
      </c>
      <c r="AO37" s="896">
        <f t="shared" si="15"/>
        <v>0</v>
      </c>
      <c r="AP37" s="896">
        <f t="shared" si="15"/>
        <v>0</v>
      </c>
      <c r="AQ37" s="896">
        <f t="shared" si="15"/>
        <v>0</v>
      </c>
      <c r="AR37" s="896">
        <f t="shared" si="15"/>
        <v>0</v>
      </c>
      <c r="AS37" s="896">
        <f t="shared" si="15"/>
        <v>0</v>
      </c>
      <c r="AT37" s="896">
        <f t="shared" si="15"/>
        <v>0</v>
      </c>
      <c r="AU37" s="896">
        <f t="shared" si="15"/>
        <v>0</v>
      </c>
      <c r="AV37" s="896">
        <f t="shared" si="15"/>
        <v>0</v>
      </c>
      <c r="AW37" s="896">
        <f t="shared" si="15"/>
        <v>0</v>
      </c>
      <c r="AX37" s="896">
        <f t="shared" si="15"/>
        <v>0</v>
      </c>
      <c r="AY37" s="896">
        <f t="shared" si="15"/>
        <v>0</v>
      </c>
      <c r="AZ37" s="896">
        <f t="shared" si="15"/>
        <v>0</v>
      </c>
      <c r="BA37" s="896">
        <f t="shared" si="15"/>
        <v>0</v>
      </c>
      <c r="BB37" s="896">
        <f t="shared" si="15"/>
        <v>0</v>
      </c>
      <c r="BC37" s="896">
        <f t="shared" si="15"/>
        <v>0</v>
      </c>
      <c r="BD37" s="896">
        <f t="shared" si="15"/>
        <v>0</v>
      </c>
      <c r="BE37" s="896">
        <f t="shared" si="16"/>
        <v>0</v>
      </c>
      <c r="BF37" s="896">
        <f t="shared" si="16"/>
        <v>0</v>
      </c>
      <c r="BG37" s="896">
        <f t="shared" si="16"/>
        <v>0</v>
      </c>
      <c r="BH37" s="896">
        <f t="shared" si="16"/>
        <v>0</v>
      </c>
      <c r="BI37" s="896">
        <f t="shared" si="16"/>
        <v>0</v>
      </c>
      <c r="BJ37" s="896">
        <f t="shared" si="16"/>
        <v>0</v>
      </c>
      <c r="BK37" s="896">
        <f t="shared" si="16"/>
        <v>0</v>
      </c>
      <c r="BL37" s="896">
        <f t="shared" si="16"/>
        <v>0</v>
      </c>
      <c r="BM37" s="896">
        <f t="shared" si="16"/>
        <v>0</v>
      </c>
      <c r="BN37" s="896">
        <f t="shared" si="16"/>
        <v>0</v>
      </c>
      <c r="BO37" s="896">
        <f t="shared" si="16"/>
        <v>0</v>
      </c>
      <c r="BP37" s="896">
        <f t="shared" si="16"/>
        <v>0</v>
      </c>
    </row>
    <row r="38" spans="1:68" x14ac:dyDescent="0.25">
      <c r="A38" s="476" t="s">
        <v>191</v>
      </c>
      <c r="B38" s="473"/>
      <c r="C38" s="487" t="str">
        <f>IF($B38&lt;&gt;"",VLOOKUP($B38,COSTS_Spell_Healing[#All],2),"")</f>
        <v/>
      </c>
      <c r="D38" s="492" t="str">
        <f>IF($B38&lt;&gt;"",VLOOKUP($B38,COSTS_Spell_Healing[#All],3)/24,"")</f>
        <v/>
      </c>
      <c r="E38" s="499"/>
      <c r="F38" s="513"/>
      <c r="G38" s="185" t="str">
        <f t="shared" ref="G38:G66" si="18">IF($D38&lt;&gt;"",$D38,"")</f>
        <v/>
      </c>
      <c r="H38" s="503"/>
      <c r="I38" s="898">
        <f t="shared" ref="I38:R65" si="19">IF(ISERROR(Plan),0,Plan)</f>
        <v>0</v>
      </c>
      <c r="J38" s="898">
        <f t="shared" si="19"/>
        <v>0</v>
      </c>
      <c r="K38" s="898">
        <f t="shared" si="19"/>
        <v>0</v>
      </c>
      <c r="L38" s="898">
        <f t="shared" si="19"/>
        <v>0</v>
      </c>
      <c r="M38" s="898">
        <f t="shared" si="19"/>
        <v>0</v>
      </c>
      <c r="N38" s="898">
        <f t="shared" si="19"/>
        <v>0</v>
      </c>
      <c r="O38" s="898">
        <f t="shared" si="19"/>
        <v>0</v>
      </c>
      <c r="P38" s="898">
        <f t="shared" si="19"/>
        <v>0</v>
      </c>
      <c r="Q38" s="898">
        <f t="shared" si="19"/>
        <v>0</v>
      </c>
      <c r="R38" s="896">
        <f t="shared" si="19"/>
        <v>0</v>
      </c>
      <c r="S38" s="896">
        <f t="shared" si="17"/>
        <v>0</v>
      </c>
      <c r="T38" s="896">
        <f t="shared" si="17"/>
        <v>0</v>
      </c>
      <c r="U38" s="896">
        <f t="shared" si="17"/>
        <v>0</v>
      </c>
      <c r="V38" s="896">
        <f t="shared" si="17"/>
        <v>0</v>
      </c>
      <c r="W38" s="896">
        <f t="shared" si="17"/>
        <v>0</v>
      </c>
      <c r="X38" s="896">
        <f t="shared" si="17"/>
        <v>0</v>
      </c>
      <c r="Y38" s="896">
        <f t="shared" si="17"/>
        <v>0</v>
      </c>
      <c r="Z38" s="896">
        <f t="shared" si="17"/>
        <v>0</v>
      </c>
      <c r="AA38" s="896">
        <f t="shared" si="17"/>
        <v>0</v>
      </c>
      <c r="AB38" s="896">
        <f t="shared" si="17"/>
        <v>0</v>
      </c>
      <c r="AC38" s="896">
        <f t="shared" si="14"/>
        <v>0</v>
      </c>
      <c r="AD38" s="896">
        <f t="shared" si="14"/>
        <v>0</v>
      </c>
      <c r="AE38" s="896">
        <f t="shared" si="14"/>
        <v>0</v>
      </c>
      <c r="AF38" s="896">
        <f t="shared" si="14"/>
        <v>0</v>
      </c>
      <c r="AG38" s="896">
        <f t="shared" si="14"/>
        <v>0</v>
      </c>
      <c r="AH38" s="896">
        <f t="shared" si="14"/>
        <v>0</v>
      </c>
      <c r="AI38" s="896">
        <f t="shared" si="14"/>
        <v>0</v>
      </c>
      <c r="AJ38" s="896">
        <f t="shared" si="14"/>
        <v>0</v>
      </c>
      <c r="AK38" s="896">
        <f t="shared" si="14"/>
        <v>0</v>
      </c>
      <c r="AL38" s="896">
        <f t="shared" si="14"/>
        <v>0</v>
      </c>
      <c r="AM38" s="896">
        <f t="shared" si="14"/>
        <v>0</v>
      </c>
      <c r="AN38" s="896">
        <f t="shared" si="14"/>
        <v>0</v>
      </c>
      <c r="AO38" s="896">
        <f t="shared" si="15"/>
        <v>0</v>
      </c>
      <c r="AP38" s="896">
        <f t="shared" si="15"/>
        <v>0</v>
      </c>
      <c r="AQ38" s="896">
        <f t="shared" si="15"/>
        <v>0</v>
      </c>
      <c r="AR38" s="896">
        <f t="shared" si="15"/>
        <v>0</v>
      </c>
      <c r="AS38" s="896">
        <f t="shared" si="15"/>
        <v>0</v>
      </c>
      <c r="AT38" s="896">
        <f t="shared" si="15"/>
        <v>0</v>
      </c>
      <c r="AU38" s="896">
        <f t="shared" si="15"/>
        <v>0</v>
      </c>
      <c r="AV38" s="896">
        <f t="shared" si="15"/>
        <v>0</v>
      </c>
      <c r="AW38" s="896">
        <f t="shared" si="15"/>
        <v>0</v>
      </c>
      <c r="AX38" s="896">
        <f t="shared" si="15"/>
        <v>0</v>
      </c>
      <c r="AY38" s="896">
        <f t="shared" si="15"/>
        <v>0</v>
      </c>
      <c r="AZ38" s="896">
        <f t="shared" si="15"/>
        <v>0</v>
      </c>
      <c r="BA38" s="896">
        <f t="shared" si="15"/>
        <v>0</v>
      </c>
      <c r="BB38" s="896">
        <f t="shared" si="15"/>
        <v>0</v>
      </c>
      <c r="BC38" s="896">
        <f t="shared" si="15"/>
        <v>0</v>
      </c>
      <c r="BD38" s="896">
        <f t="shared" si="15"/>
        <v>0</v>
      </c>
      <c r="BE38" s="896">
        <f t="shared" si="16"/>
        <v>0</v>
      </c>
      <c r="BF38" s="896">
        <f t="shared" si="16"/>
        <v>0</v>
      </c>
      <c r="BG38" s="896">
        <f t="shared" si="16"/>
        <v>0</v>
      </c>
      <c r="BH38" s="896">
        <f t="shared" si="16"/>
        <v>0</v>
      </c>
      <c r="BI38" s="896">
        <f t="shared" si="16"/>
        <v>0</v>
      </c>
      <c r="BJ38" s="896">
        <f t="shared" si="16"/>
        <v>0</v>
      </c>
      <c r="BK38" s="896">
        <f t="shared" si="16"/>
        <v>0</v>
      </c>
      <c r="BL38" s="896">
        <f t="shared" si="16"/>
        <v>0</v>
      </c>
      <c r="BM38" s="896">
        <f t="shared" si="16"/>
        <v>0</v>
      </c>
      <c r="BN38" s="896">
        <f t="shared" si="16"/>
        <v>0</v>
      </c>
      <c r="BO38" s="896">
        <f t="shared" si="16"/>
        <v>0</v>
      </c>
      <c r="BP38" s="896">
        <f t="shared" si="16"/>
        <v>0</v>
      </c>
    </row>
    <row r="39" spans="1:68" x14ac:dyDescent="0.25">
      <c r="A39" s="476" t="s">
        <v>192</v>
      </c>
      <c r="B39" s="473"/>
      <c r="C39" s="487" t="str">
        <f>IF($B39&lt;&gt;"",VLOOKUP($B39,COSTS_Spell_Rage[#All],2),"")</f>
        <v/>
      </c>
      <c r="D39" s="492" t="str">
        <f>IF($B39&lt;&gt;"",VLOOKUP($B39,COSTS_Spell_Rage[#All],3)/24,"")</f>
        <v/>
      </c>
      <c r="E39" s="499"/>
      <c r="F39" s="513"/>
      <c r="G39" s="185" t="str">
        <f t="shared" si="18"/>
        <v/>
      </c>
      <c r="H39" s="503"/>
      <c r="I39" s="898">
        <f t="shared" si="19"/>
        <v>0</v>
      </c>
      <c r="J39" s="898">
        <f t="shared" si="19"/>
        <v>0</v>
      </c>
      <c r="K39" s="898">
        <f t="shared" si="19"/>
        <v>0</v>
      </c>
      <c r="L39" s="898">
        <f t="shared" si="19"/>
        <v>0</v>
      </c>
      <c r="M39" s="898">
        <f t="shared" si="19"/>
        <v>0</v>
      </c>
      <c r="N39" s="898">
        <f t="shared" si="19"/>
        <v>0</v>
      </c>
      <c r="O39" s="898">
        <f t="shared" si="19"/>
        <v>0</v>
      </c>
      <c r="P39" s="898">
        <f t="shared" si="19"/>
        <v>0</v>
      </c>
      <c r="Q39" s="898">
        <f t="shared" si="19"/>
        <v>0</v>
      </c>
      <c r="R39" s="896">
        <f t="shared" si="19"/>
        <v>0</v>
      </c>
      <c r="S39" s="896">
        <f t="shared" si="17"/>
        <v>0</v>
      </c>
      <c r="T39" s="896">
        <f t="shared" si="17"/>
        <v>0</v>
      </c>
      <c r="U39" s="896">
        <f t="shared" si="17"/>
        <v>0</v>
      </c>
      <c r="V39" s="896">
        <f t="shared" si="17"/>
        <v>0</v>
      </c>
      <c r="W39" s="896">
        <f t="shared" si="17"/>
        <v>0</v>
      </c>
      <c r="X39" s="896">
        <f t="shared" si="17"/>
        <v>0</v>
      </c>
      <c r="Y39" s="896">
        <f t="shared" si="17"/>
        <v>0</v>
      </c>
      <c r="Z39" s="896">
        <f t="shared" si="17"/>
        <v>0</v>
      </c>
      <c r="AA39" s="896">
        <f t="shared" si="17"/>
        <v>0</v>
      </c>
      <c r="AB39" s="896">
        <f t="shared" si="17"/>
        <v>0</v>
      </c>
      <c r="AC39" s="896">
        <f t="shared" si="14"/>
        <v>0</v>
      </c>
      <c r="AD39" s="896">
        <f t="shared" si="14"/>
        <v>0</v>
      </c>
      <c r="AE39" s="896">
        <f t="shared" si="14"/>
        <v>0</v>
      </c>
      <c r="AF39" s="896">
        <f t="shared" si="14"/>
        <v>0</v>
      </c>
      <c r="AG39" s="896">
        <f t="shared" si="14"/>
        <v>0</v>
      </c>
      <c r="AH39" s="896">
        <f t="shared" si="14"/>
        <v>0</v>
      </c>
      <c r="AI39" s="896">
        <f t="shared" si="14"/>
        <v>0</v>
      </c>
      <c r="AJ39" s="896">
        <f t="shared" si="14"/>
        <v>0</v>
      </c>
      <c r="AK39" s="896">
        <f t="shared" si="14"/>
        <v>0</v>
      </c>
      <c r="AL39" s="896">
        <f t="shared" si="14"/>
        <v>0</v>
      </c>
      <c r="AM39" s="896">
        <f t="shared" si="14"/>
        <v>0</v>
      </c>
      <c r="AN39" s="896">
        <f t="shared" si="14"/>
        <v>0</v>
      </c>
      <c r="AO39" s="896">
        <f t="shared" si="15"/>
        <v>0</v>
      </c>
      <c r="AP39" s="896">
        <f t="shared" si="15"/>
        <v>0</v>
      </c>
      <c r="AQ39" s="896">
        <f t="shared" si="15"/>
        <v>0</v>
      </c>
      <c r="AR39" s="896">
        <f t="shared" si="15"/>
        <v>0</v>
      </c>
      <c r="AS39" s="896">
        <f t="shared" si="15"/>
        <v>0</v>
      </c>
      <c r="AT39" s="896">
        <f t="shared" si="15"/>
        <v>0</v>
      </c>
      <c r="AU39" s="896">
        <f t="shared" si="15"/>
        <v>0</v>
      </c>
      <c r="AV39" s="896">
        <f t="shared" si="15"/>
        <v>0</v>
      </c>
      <c r="AW39" s="896">
        <f t="shared" si="15"/>
        <v>0</v>
      </c>
      <c r="AX39" s="896">
        <f t="shared" si="15"/>
        <v>0</v>
      </c>
      <c r="AY39" s="896">
        <f t="shared" si="15"/>
        <v>0</v>
      </c>
      <c r="AZ39" s="896">
        <f t="shared" si="15"/>
        <v>0</v>
      </c>
      <c r="BA39" s="896">
        <f t="shared" si="15"/>
        <v>0</v>
      </c>
      <c r="BB39" s="896">
        <f t="shared" si="15"/>
        <v>0</v>
      </c>
      <c r="BC39" s="896">
        <f t="shared" si="15"/>
        <v>0</v>
      </c>
      <c r="BD39" s="896">
        <f t="shared" si="15"/>
        <v>0</v>
      </c>
      <c r="BE39" s="896">
        <f t="shared" si="16"/>
        <v>0</v>
      </c>
      <c r="BF39" s="896">
        <f t="shared" si="16"/>
        <v>0</v>
      </c>
      <c r="BG39" s="896">
        <f t="shared" si="16"/>
        <v>0</v>
      </c>
      <c r="BH39" s="896">
        <f t="shared" si="16"/>
        <v>0</v>
      </c>
      <c r="BI39" s="896">
        <f t="shared" si="16"/>
        <v>0</v>
      </c>
      <c r="BJ39" s="896">
        <f t="shared" si="16"/>
        <v>0</v>
      </c>
      <c r="BK39" s="896">
        <f t="shared" si="16"/>
        <v>0</v>
      </c>
      <c r="BL39" s="896">
        <f t="shared" si="16"/>
        <v>0</v>
      </c>
      <c r="BM39" s="896">
        <f t="shared" si="16"/>
        <v>0</v>
      </c>
      <c r="BN39" s="896">
        <f t="shared" si="16"/>
        <v>0</v>
      </c>
      <c r="BO39" s="896">
        <f t="shared" si="16"/>
        <v>0</v>
      </c>
      <c r="BP39" s="896">
        <f t="shared" si="16"/>
        <v>0</v>
      </c>
    </row>
    <row r="40" spans="1:68" x14ac:dyDescent="0.25">
      <c r="A40" s="476" t="s">
        <v>193</v>
      </c>
      <c r="B40" s="473"/>
      <c r="C40" s="487" t="str">
        <f>IF($B40&lt;&gt;"",VLOOKUP($B40,COSTS_Spell_Jump[#All],2),"")</f>
        <v/>
      </c>
      <c r="D40" s="492" t="str">
        <f>IF($B40&lt;&gt;"",VLOOKUP($B40,COSTS_Spell_Jump[#All],3)/24,"")</f>
        <v/>
      </c>
      <c r="E40" s="499"/>
      <c r="F40" s="513"/>
      <c r="G40" s="185" t="str">
        <f t="shared" si="18"/>
        <v/>
      </c>
      <c r="H40" s="503"/>
      <c r="I40" s="898">
        <f t="shared" si="19"/>
        <v>0</v>
      </c>
      <c r="J40" s="898">
        <f t="shared" si="19"/>
        <v>0</v>
      </c>
      <c r="K40" s="898">
        <f t="shared" si="19"/>
        <v>0</v>
      </c>
      <c r="L40" s="898">
        <f t="shared" si="19"/>
        <v>0</v>
      </c>
      <c r="M40" s="898">
        <f t="shared" si="19"/>
        <v>0</v>
      </c>
      <c r="N40" s="898">
        <f t="shared" si="19"/>
        <v>0</v>
      </c>
      <c r="O40" s="898">
        <f t="shared" si="19"/>
        <v>0</v>
      </c>
      <c r="P40" s="898">
        <f t="shared" si="19"/>
        <v>0</v>
      </c>
      <c r="Q40" s="898">
        <f t="shared" si="19"/>
        <v>0</v>
      </c>
      <c r="R40" s="896">
        <f t="shared" si="19"/>
        <v>0</v>
      </c>
      <c r="S40" s="896">
        <f t="shared" si="17"/>
        <v>0</v>
      </c>
      <c r="T40" s="896">
        <f t="shared" si="17"/>
        <v>0</v>
      </c>
      <c r="U40" s="896">
        <f t="shared" si="17"/>
        <v>0</v>
      </c>
      <c r="V40" s="896">
        <f t="shared" si="17"/>
        <v>0</v>
      </c>
      <c r="W40" s="896">
        <f t="shared" si="17"/>
        <v>0</v>
      </c>
      <c r="X40" s="896">
        <f t="shared" si="17"/>
        <v>0</v>
      </c>
      <c r="Y40" s="896">
        <f t="shared" si="17"/>
        <v>0</v>
      </c>
      <c r="Z40" s="896">
        <f t="shared" si="17"/>
        <v>0</v>
      </c>
      <c r="AA40" s="896">
        <f t="shared" si="17"/>
        <v>0</v>
      </c>
      <c r="AB40" s="896">
        <f t="shared" si="17"/>
        <v>0</v>
      </c>
      <c r="AC40" s="896">
        <f t="shared" si="14"/>
        <v>0</v>
      </c>
      <c r="AD40" s="896">
        <f t="shared" si="14"/>
        <v>0</v>
      </c>
      <c r="AE40" s="896">
        <f t="shared" si="14"/>
        <v>0</v>
      </c>
      <c r="AF40" s="896">
        <f t="shared" si="14"/>
        <v>0</v>
      </c>
      <c r="AG40" s="896">
        <f t="shared" si="14"/>
        <v>0</v>
      </c>
      <c r="AH40" s="896">
        <f t="shared" si="14"/>
        <v>0</v>
      </c>
      <c r="AI40" s="896">
        <f t="shared" si="14"/>
        <v>0</v>
      </c>
      <c r="AJ40" s="896">
        <f t="shared" si="14"/>
        <v>0</v>
      </c>
      <c r="AK40" s="896">
        <f t="shared" si="14"/>
        <v>0</v>
      </c>
      <c r="AL40" s="896">
        <f t="shared" si="14"/>
        <v>0</v>
      </c>
      <c r="AM40" s="896">
        <f t="shared" si="14"/>
        <v>0</v>
      </c>
      <c r="AN40" s="896">
        <f t="shared" si="14"/>
        <v>0</v>
      </c>
      <c r="AO40" s="896">
        <f t="shared" si="15"/>
        <v>0</v>
      </c>
      <c r="AP40" s="896">
        <f t="shared" si="15"/>
        <v>0</v>
      </c>
      <c r="AQ40" s="896">
        <f t="shared" si="15"/>
        <v>0</v>
      </c>
      <c r="AR40" s="896">
        <f t="shared" si="15"/>
        <v>0</v>
      </c>
      <c r="AS40" s="896">
        <f t="shared" si="15"/>
        <v>0</v>
      </c>
      <c r="AT40" s="896">
        <f t="shared" si="15"/>
        <v>0</v>
      </c>
      <c r="AU40" s="896">
        <f t="shared" si="15"/>
        <v>0</v>
      </c>
      <c r="AV40" s="896">
        <f t="shared" si="15"/>
        <v>0</v>
      </c>
      <c r="AW40" s="896">
        <f t="shared" si="15"/>
        <v>0</v>
      </c>
      <c r="AX40" s="896">
        <f t="shared" si="15"/>
        <v>0</v>
      </c>
      <c r="AY40" s="896">
        <f t="shared" si="15"/>
        <v>0</v>
      </c>
      <c r="AZ40" s="896">
        <f t="shared" si="15"/>
        <v>0</v>
      </c>
      <c r="BA40" s="896">
        <f t="shared" si="15"/>
        <v>0</v>
      </c>
      <c r="BB40" s="896">
        <f t="shared" si="15"/>
        <v>0</v>
      </c>
      <c r="BC40" s="896">
        <f t="shared" si="15"/>
        <v>0</v>
      </c>
      <c r="BD40" s="896">
        <f t="shared" si="15"/>
        <v>0</v>
      </c>
      <c r="BE40" s="896">
        <f t="shared" si="16"/>
        <v>0</v>
      </c>
      <c r="BF40" s="896">
        <f t="shared" si="16"/>
        <v>0</v>
      </c>
      <c r="BG40" s="896">
        <f t="shared" si="16"/>
        <v>0</v>
      </c>
      <c r="BH40" s="896">
        <f t="shared" si="16"/>
        <v>0</v>
      </c>
      <c r="BI40" s="896">
        <f t="shared" si="16"/>
        <v>0</v>
      </c>
      <c r="BJ40" s="896">
        <f t="shared" si="16"/>
        <v>0</v>
      </c>
      <c r="BK40" s="896">
        <f t="shared" si="16"/>
        <v>0</v>
      </c>
      <c r="BL40" s="896">
        <f t="shared" si="16"/>
        <v>0</v>
      </c>
      <c r="BM40" s="896">
        <f t="shared" si="16"/>
        <v>0</v>
      </c>
      <c r="BN40" s="896">
        <f t="shared" si="16"/>
        <v>0</v>
      </c>
      <c r="BO40" s="896">
        <f t="shared" si="16"/>
        <v>0</v>
      </c>
      <c r="BP40" s="896">
        <f t="shared" si="16"/>
        <v>0</v>
      </c>
    </row>
    <row r="41" spans="1:68" x14ac:dyDescent="0.25">
      <c r="A41" s="484" t="s">
        <v>194</v>
      </c>
      <c r="B41" s="485"/>
      <c r="C41" s="460" t="str">
        <f>IF($B41&lt;&gt;"",VLOOKUP($B41,COSTS_Spell_Freeze[#All],2),"")</f>
        <v/>
      </c>
      <c r="D41" s="493" t="str">
        <f>IF($B41&lt;&gt;"",VLOOKUP($B41,COSTS_Spell_Freeze[#All],3)/24,"")</f>
        <v/>
      </c>
      <c r="E41" s="499"/>
      <c r="F41" s="515"/>
      <c r="G41" s="504" t="str">
        <f t="shared" si="18"/>
        <v/>
      </c>
      <c r="H41" s="505"/>
      <c r="I41" s="898">
        <f t="shared" si="19"/>
        <v>0</v>
      </c>
      <c r="J41" s="898">
        <f t="shared" si="19"/>
        <v>0</v>
      </c>
      <c r="K41" s="898">
        <f t="shared" si="19"/>
        <v>0</v>
      </c>
      <c r="L41" s="898">
        <f t="shared" si="19"/>
        <v>0</v>
      </c>
      <c r="M41" s="898">
        <f t="shared" si="19"/>
        <v>0</v>
      </c>
      <c r="N41" s="898">
        <f t="shared" si="19"/>
        <v>0</v>
      </c>
      <c r="O41" s="898">
        <f t="shared" si="19"/>
        <v>0</v>
      </c>
      <c r="P41" s="898">
        <f t="shared" si="19"/>
        <v>0</v>
      </c>
      <c r="Q41" s="898">
        <f t="shared" si="19"/>
        <v>0</v>
      </c>
      <c r="R41" s="896">
        <f t="shared" si="19"/>
        <v>0</v>
      </c>
      <c r="S41" s="896">
        <f t="shared" si="17"/>
        <v>0</v>
      </c>
      <c r="T41" s="896">
        <f t="shared" si="17"/>
        <v>0</v>
      </c>
      <c r="U41" s="896">
        <f t="shared" si="17"/>
        <v>0</v>
      </c>
      <c r="V41" s="896">
        <f t="shared" si="17"/>
        <v>0</v>
      </c>
      <c r="W41" s="896">
        <f t="shared" si="17"/>
        <v>0</v>
      </c>
      <c r="X41" s="896">
        <f t="shared" si="17"/>
        <v>0</v>
      </c>
      <c r="Y41" s="896">
        <f t="shared" si="17"/>
        <v>0</v>
      </c>
      <c r="Z41" s="896">
        <f t="shared" si="17"/>
        <v>0</v>
      </c>
      <c r="AA41" s="896">
        <f t="shared" si="17"/>
        <v>0</v>
      </c>
      <c r="AB41" s="896">
        <f t="shared" si="17"/>
        <v>0</v>
      </c>
      <c r="AC41" s="896">
        <f t="shared" si="14"/>
        <v>0</v>
      </c>
      <c r="AD41" s="896">
        <f t="shared" si="14"/>
        <v>0</v>
      </c>
      <c r="AE41" s="896">
        <f t="shared" si="14"/>
        <v>0</v>
      </c>
      <c r="AF41" s="896">
        <f t="shared" si="14"/>
        <v>0</v>
      </c>
      <c r="AG41" s="896">
        <f t="shared" si="14"/>
        <v>0</v>
      </c>
      <c r="AH41" s="896">
        <f t="shared" si="14"/>
        <v>0</v>
      </c>
      <c r="AI41" s="896">
        <f t="shared" si="14"/>
        <v>0</v>
      </c>
      <c r="AJ41" s="896">
        <f t="shared" si="14"/>
        <v>0</v>
      </c>
      <c r="AK41" s="896">
        <f t="shared" si="14"/>
        <v>0</v>
      </c>
      <c r="AL41" s="896">
        <f t="shared" si="14"/>
        <v>0</v>
      </c>
      <c r="AM41" s="896">
        <f t="shared" si="14"/>
        <v>0</v>
      </c>
      <c r="AN41" s="896">
        <f t="shared" si="14"/>
        <v>0</v>
      </c>
      <c r="AO41" s="896">
        <f t="shared" si="15"/>
        <v>0</v>
      </c>
      <c r="AP41" s="896">
        <f t="shared" si="15"/>
        <v>0</v>
      </c>
      <c r="AQ41" s="896">
        <f t="shared" si="15"/>
        <v>0</v>
      </c>
      <c r="AR41" s="896">
        <f t="shared" si="15"/>
        <v>0</v>
      </c>
      <c r="AS41" s="896">
        <f t="shared" si="15"/>
        <v>0</v>
      </c>
      <c r="AT41" s="896">
        <f t="shared" si="15"/>
        <v>0</v>
      </c>
      <c r="AU41" s="896">
        <f t="shared" si="15"/>
        <v>0</v>
      </c>
      <c r="AV41" s="896">
        <f t="shared" si="15"/>
        <v>0</v>
      </c>
      <c r="AW41" s="896">
        <f t="shared" si="15"/>
        <v>0</v>
      </c>
      <c r="AX41" s="896">
        <f t="shared" si="15"/>
        <v>0</v>
      </c>
      <c r="AY41" s="896">
        <f t="shared" si="15"/>
        <v>0</v>
      </c>
      <c r="AZ41" s="896">
        <f t="shared" si="15"/>
        <v>0</v>
      </c>
      <c r="BA41" s="896">
        <f t="shared" si="15"/>
        <v>0</v>
      </c>
      <c r="BB41" s="896">
        <f t="shared" si="15"/>
        <v>0</v>
      </c>
      <c r="BC41" s="896">
        <f t="shared" si="15"/>
        <v>0</v>
      </c>
      <c r="BD41" s="896">
        <f t="shared" ref="AW41:BF69" si="20">IF(ISERROR(Plan),0,Plan)</f>
        <v>0</v>
      </c>
      <c r="BE41" s="896">
        <f t="shared" si="20"/>
        <v>0</v>
      </c>
      <c r="BF41" s="896">
        <f t="shared" si="20"/>
        <v>0</v>
      </c>
      <c r="BG41" s="896">
        <f t="shared" si="16"/>
        <v>0</v>
      </c>
      <c r="BH41" s="896">
        <f t="shared" si="16"/>
        <v>0</v>
      </c>
      <c r="BI41" s="896">
        <f t="shared" si="16"/>
        <v>0</v>
      </c>
      <c r="BJ41" s="896">
        <f t="shared" si="16"/>
        <v>0</v>
      </c>
      <c r="BK41" s="896">
        <f t="shared" si="16"/>
        <v>0</v>
      </c>
      <c r="BL41" s="896">
        <f t="shared" si="16"/>
        <v>0</v>
      </c>
      <c r="BM41" s="896">
        <f t="shared" si="16"/>
        <v>0</v>
      </c>
      <c r="BN41" s="896">
        <f t="shared" si="16"/>
        <v>0</v>
      </c>
      <c r="BO41" s="896">
        <f t="shared" si="16"/>
        <v>0</v>
      </c>
      <c r="BP41" s="896">
        <f t="shared" si="16"/>
        <v>0</v>
      </c>
    </row>
    <row r="42" spans="1:68" x14ac:dyDescent="0.25">
      <c r="A42" s="484" t="s">
        <v>712</v>
      </c>
      <c r="B42" s="485"/>
      <c r="C42" s="305" t="str">
        <f>IF($B42&lt;&gt;"",VLOOKUP($B42,COSTS_Spell_Poison[#All],2),"")</f>
        <v/>
      </c>
      <c r="D42" s="493" t="str">
        <f>IF($B42&lt;&gt;"",VLOOKUP($B42,COSTS_Spell_Poison[#All],3)/24,"")</f>
        <v/>
      </c>
      <c r="E42" s="499"/>
      <c r="F42" s="515"/>
      <c r="G42" s="504" t="str">
        <f t="shared" si="18"/>
        <v/>
      </c>
      <c r="H42" s="505"/>
      <c r="I42" s="898">
        <f t="shared" ref="I42:BP46" si="21">IF(ISERROR(Plan),0,Plan)</f>
        <v>0</v>
      </c>
      <c r="J42" s="898">
        <f t="shared" si="21"/>
        <v>0</v>
      </c>
      <c r="K42" s="898">
        <f t="shared" si="21"/>
        <v>0</v>
      </c>
      <c r="L42" s="898">
        <f t="shared" si="21"/>
        <v>0</v>
      </c>
      <c r="M42" s="898">
        <f t="shared" si="21"/>
        <v>0</v>
      </c>
      <c r="N42" s="898">
        <f t="shared" si="21"/>
        <v>0</v>
      </c>
      <c r="O42" s="898">
        <f t="shared" si="21"/>
        <v>0</v>
      </c>
      <c r="P42" s="898">
        <f t="shared" si="21"/>
        <v>0</v>
      </c>
      <c r="Q42" s="898">
        <f t="shared" si="21"/>
        <v>0</v>
      </c>
      <c r="R42" s="896">
        <f t="shared" si="21"/>
        <v>0</v>
      </c>
      <c r="S42" s="896">
        <f t="shared" si="21"/>
        <v>0</v>
      </c>
      <c r="T42" s="896">
        <f t="shared" si="21"/>
        <v>0</v>
      </c>
      <c r="U42" s="896">
        <f t="shared" si="21"/>
        <v>0</v>
      </c>
      <c r="V42" s="896">
        <f t="shared" si="21"/>
        <v>0</v>
      </c>
      <c r="W42" s="896">
        <f t="shared" si="21"/>
        <v>0</v>
      </c>
      <c r="X42" s="896">
        <f t="shared" si="21"/>
        <v>0</v>
      </c>
      <c r="Y42" s="896">
        <f t="shared" si="21"/>
        <v>0</v>
      </c>
      <c r="Z42" s="896">
        <f t="shared" si="21"/>
        <v>0</v>
      </c>
      <c r="AA42" s="896">
        <f t="shared" si="21"/>
        <v>0</v>
      </c>
      <c r="AB42" s="896">
        <f t="shared" si="21"/>
        <v>0</v>
      </c>
      <c r="AC42" s="896">
        <f t="shared" si="21"/>
        <v>0</v>
      </c>
      <c r="AD42" s="896">
        <f t="shared" si="21"/>
        <v>0</v>
      </c>
      <c r="AE42" s="896">
        <f t="shared" si="21"/>
        <v>0</v>
      </c>
      <c r="AF42" s="896">
        <f t="shared" si="21"/>
        <v>0</v>
      </c>
      <c r="AG42" s="896">
        <f t="shared" si="21"/>
        <v>0</v>
      </c>
      <c r="AH42" s="896">
        <f t="shared" si="21"/>
        <v>0</v>
      </c>
      <c r="AI42" s="896">
        <f t="shared" si="21"/>
        <v>0</v>
      </c>
      <c r="AJ42" s="896">
        <f t="shared" si="21"/>
        <v>0</v>
      </c>
      <c r="AK42" s="896">
        <f t="shared" si="21"/>
        <v>0</v>
      </c>
      <c r="AL42" s="896">
        <f t="shared" si="21"/>
        <v>0</v>
      </c>
      <c r="AM42" s="896">
        <f t="shared" si="21"/>
        <v>0</v>
      </c>
      <c r="AN42" s="896">
        <f t="shared" si="21"/>
        <v>0</v>
      </c>
      <c r="AO42" s="896">
        <f t="shared" si="21"/>
        <v>0</v>
      </c>
      <c r="AP42" s="896">
        <f t="shared" si="21"/>
        <v>0</v>
      </c>
      <c r="AQ42" s="896">
        <f t="shared" si="21"/>
        <v>0</v>
      </c>
      <c r="AR42" s="896">
        <f t="shared" si="21"/>
        <v>0</v>
      </c>
      <c r="AS42" s="896">
        <f t="shared" si="21"/>
        <v>0</v>
      </c>
      <c r="AT42" s="896">
        <f t="shared" si="21"/>
        <v>0</v>
      </c>
      <c r="AU42" s="896">
        <f t="shared" si="21"/>
        <v>0</v>
      </c>
      <c r="AV42" s="896">
        <f t="shared" si="21"/>
        <v>0</v>
      </c>
      <c r="AW42" s="896">
        <f t="shared" si="21"/>
        <v>0</v>
      </c>
      <c r="AX42" s="896">
        <f t="shared" si="21"/>
        <v>0</v>
      </c>
      <c r="AY42" s="896">
        <f t="shared" si="21"/>
        <v>0</v>
      </c>
      <c r="AZ42" s="896">
        <f t="shared" si="21"/>
        <v>0</v>
      </c>
      <c r="BA42" s="896">
        <f t="shared" si="21"/>
        <v>0</v>
      </c>
      <c r="BB42" s="896">
        <f t="shared" si="21"/>
        <v>0</v>
      </c>
      <c r="BC42" s="896">
        <f t="shared" si="21"/>
        <v>0</v>
      </c>
      <c r="BD42" s="896">
        <f t="shared" si="21"/>
        <v>0</v>
      </c>
      <c r="BE42" s="896">
        <f t="shared" si="21"/>
        <v>0</v>
      </c>
      <c r="BF42" s="896">
        <f t="shared" si="21"/>
        <v>0</v>
      </c>
      <c r="BG42" s="896">
        <f t="shared" si="21"/>
        <v>0</v>
      </c>
      <c r="BH42" s="896">
        <f t="shared" si="21"/>
        <v>0</v>
      </c>
      <c r="BI42" s="896">
        <f t="shared" si="21"/>
        <v>0</v>
      </c>
      <c r="BJ42" s="896">
        <f t="shared" si="21"/>
        <v>0</v>
      </c>
      <c r="BK42" s="896">
        <f t="shared" si="21"/>
        <v>0</v>
      </c>
      <c r="BL42" s="896">
        <f t="shared" si="21"/>
        <v>0</v>
      </c>
      <c r="BM42" s="896">
        <f t="shared" si="21"/>
        <v>0</v>
      </c>
      <c r="BN42" s="896">
        <f t="shared" si="21"/>
        <v>0</v>
      </c>
      <c r="BO42" s="896">
        <f t="shared" si="21"/>
        <v>0</v>
      </c>
      <c r="BP42" s="896">
        <f t="shared" si="21"/>
        <v>0</v>
      </c>
    </row>
    <row r="43" spans="1:68" x14ac:dyDescent="0.25">
      <c r="A43" s="484" t="s">
        <v>713</v>
      </c>
      <c r="B43" s="485"/>
      <c r="C43" s="488" t="str">
        <f>IF($B43&lt;&gt;"",VLOOKUP($B43,COSTS_Spell_Earthquake[#All],2),"")</f>
        <v/>
      </c>
      <c r="D43" s="493" t="str">
        <f>IF($B43&lt;&gt;"",VLOOKUP($B43,COSTS_Spell_Earthquake[#All],3)/24,"")</f>
        <v/>
      </c>
      <c r="E43" s="499"/>
      <c r="F43" s="515"/>
      <c r="G43" s="504" t="str">
        <f t="shared" si="18"/>
        <v/>
      </c>
      <c r="H43" s="505"/>
      <c r="I43" s="898">
        <f t="shared" si="21"/>
        <v>0</v>
      </c>
      <c r="J43" s="898">
        <f t="shared" si="21"/>
        <v>0</v>
      </c>
      <c r="K43" s="898">
        <f t="shared" si="21"/>
        <v>0</v>
      </c>
      <c r="L43" s="898">
        <f t="shared" si="21"/>
        <v>0</v>
      </c>
      <c r="M43" s="898">
        <f t="shared" si="21"/>
        <v>0</v>
      </c>
      <c r="N43" s="898">
        <f t="shared" si="21"/>
        <v>0</v>
      </c>
      <c r="O43" s="898">
        <f t="shared" si="21"/>
        <v>0</v>
      </c>
      <c r="P43" s="898">
        <f t="shared" si="21"/>
        <v>0</v>
      </c>
      <c r="Q43" s="898">
        <f t="shared" si="21"/>
        <v>0</v>
      </c>
      <c r="R43" s="896">
        <f t="shared" si="21"/>
        <v>0</v>
      </c>
      <c r="S43" s="896">
        <f t="shared" si="21"/>
        <v>0</v>
      </c>
      <c r="T43" s="896">
        <f t="shared" si="21"/>
        <v>0</v>
      </c>
      <c r="U43" s="896">
        <f t="shared" si="21"/>
        <v>0</v>
      </c>
      <c r="V43" s="896">
        <f t="shared" si="21"/>
        <v>0</v>
      </c>
      <c r="W43" s="896">
        <f t="shared" si="21"/>
        <v>0</v>
      </c>
      <c r="X43" s="896">
        <f t="shared" si="21"/>
        <v>0</v>
      </c>
      <c r="Y43" s="896">
        <f t="shared" si="21"/>
        <v>0</v>
      </c>
      <c r="Z43" s="896">
        <f t="shared" si="21"/>
        <v>0</v>
      </c>
      <c r="AA43" s="896">
        <f t="shared" si="21"/>
        <v>0</v>
      </c>
      <c r="AB43" s="896">
        <f t="shared" si="21"/>
        <v>0</v>
      </c>
      <c r="AC43" s="896">
        <f t="shared" si="21"/>
        <v>0</v>
      </c>
      <c r="AD43" s="896">
        <f t="shared" si="21"/>
        <v>0</v>
      </c>
      <c r="AE43" s="896">
        <f t="shared" si="21"/>
        <v>0</v>
      </c>
      <c r="AF43" s="896">
        <f t="shared" si="21"/>
        <v>0</v>
      </c>
      <c r="AG43" s="896">
        <f t="shared" si="21"/>
        <v>0</v>
      </c>
      <c r="AH43" s="896">
        <f t="shared" si="21"/>
        <v>0</v>
      </c>
      <c r="AI43" s="896">
        <f t="shared" si="21"/>
        <v>0</v>
      </c>
      <c r="AJ43" s="896">
        <f t="shared" si="21"/>
        <v>0</v>
      </c>
      <c r="AK43" s="896">
        <f t="shared" si="21"/>
        <v>0</v>
      </c>
      <c r="AL43" s="896">
        <f t="shared" si="21"/>
        <v>0</v>
      </c>
      <c r="AM43" s="896">
        <f t="shared" si="21"/>
        <v>0</v>
      </c>
      <c r="AN43" s="896">
        <f t="shared" si="21"/>
        <v>0</v>
      </c>
      <c r="AO43" s="896">
        <f t="shared" si="21"/>
        <v>0</v>
      </c>
      <c r="AP43" s="896">
        <f t="shared" si="21"/>
        <v>0</v>
      </c>
      <c r="AQ43" s="896">
        <f t="shared" si="21"/>
        <v>0</v>
      </c>
      <c r="AR43" s="896">
        <f t="shared" si="21"/>
        <v>0</v>
      </c>
      <c r="AS43" s="896">
        <f t="shared" si="21"/>
        <v>0</v>
      </c>
      <c r="AT43" s="896">
        <f t="shared" si="21"/>
        <v>0</v>
      </c>
      <c r="AU43" s="896">
        <f t="shared" si="21"/>
        <v>0</v>
      </c>
      <c r="AV43" s="896">
        <f t="shared" si="21"/>
        <v>0</v>
      </c>
      <c r="AW43" s="896">
        <f t="shared" si="21"/>
        <v>0</v>
      </c>
      <c r="AX43" s="896">
        <f t="shared" si="21"/>
        <v>0</v>
      </c>
      <c r="AY43" s="896">
        <f t="shared" si="21"/>
        <v>0</v>
      </c>
      <c r="AZ43" s="896">
        <f t="shared" si="21"/>
        <v>0</v>
      </c>
      <c r="BA43" s="896">
        <f t="shared" si="21"/>
        <v>0</v>
      </c>
      <c r="BB43" s="896">
        <f t="shared" si="21"/>
        <v>0</v>
      </c>
      <c r="BC43" s="896">
        <f t="shared" si="21"/>
        <v>0</v>
      </c>
      <c r="BD43" s="896">
        <f t="shared" si="21"/>
        <v>0</v>
      </c>
      <c r="BE43" s="896">
        <f t="shared" si="21"/>
        <v>0</v>
      </c>
      <c r="BF43" s="896">
        <f t="shared" si="21"/>
        <v>0</v>
      </c>
      <c r="BG43" s="896">
        <f t="shared" si="21"/>
        <v>0</v>
      </c>
      <c r="BH43" s="896">
        <f t="shared" si="21"/>
        <v>0</v>
      </c>
      <c r="BI43" s="896">
        <f t="shared" si="21"/>
        <v>0</v>
      </c>
      <c r="BJ43" s="896">
        <f t="shared" si="21"/>
        <v>0</v>
      </c>
      <c r="BK43" s="896">
        <f t="shared" si="21"/>
        <v>0</v>
      </c>
      <c r="BL43" s="896">
        <f t="shared" si="21"/>
        <v>0</v>
      </c>
      <c r="BM43" s="896">
        <f t="shared" si="21"/>
        <v>0</v>
      </c>
      <c r="BN43" s="896">
        <f t="shared" si="21"/>
        <v>0</v>
      </c>
      <c r="BO43" s="896">
        <f t="shared" si="21"/>
        <v>0</v>
      </c>
      <c r="BP43" s="896">
        <f t="shared" si="21"/>
        <v>0</v>
      </c>
    </row>
    <row r="44" spans="1:68" ht="15.75" thickBot="1" x14ac:dyDescent="0.3">
      <c r="A44" s="484" t="s">
        <v>714</v>
      </c>
      <c r="B44" s="485"/>
      <c r="C44" s="488" t="str">
        <f>IF($B44&lt;&gt;"",VLOOKUP($B44,COSTS_Spell_Haste[#All],2),"")</f>
        <v/>
      </c>
      <c r="D44" s="493" t="str">
        <f>IF($B44&lt;&gt;"",VLOOKUP($B44,COSTS_Spell_Haste[#All],3)/24,"")</f>
        <v/>
      </c>
      <c r="E44" s="499"/>
      <c r="F44" s="515"/>
      <c r="G44" s="504" t="str">
        <f t="shared" si="18"/>
        <v/>
      </c>
      <c r="H44" s="505"/>
      <c r="I44" s="898">
        <f t="shared" si="21"/>
        <v>0</v>
      </c>
      <c r="J44" s="898">
        <f t="shared" si="21"/>
        <v>0</v>
      </c>
      <c r="K44" s="898">
        <f t="shared" si="21"/>
        <v>0</v>
      </c>
      <c r="L44" s="898">
        <f t="shared" si="21"/>
        <v>0</v>
      </c>
      <c r="M44" s="898">
        <f t="shared" si="21"/>
        <v>0</v>
      </c>
      <c r="N44" s="898">
        <f t="shared" si="21"/>
        <v>0</v>
      </c>
      <c r="O44" s="898">
        <f t="shared" si="21"/>
        <v>0</v>
      </c>
      <c r="P44" s="898">
        <f t="shared" si="21"/>
        <v>0</v>
      </c>
      <c r="Q44" s="898">
        <f t="shared" si="21"/>
        <v>0</v>
      </c>
      <c r="R44" s="896">
        <f t="shared" si="21"/>
        <v>0</v>
      </c>
      <c r="S44" s="896">
        <f t="shared" si="21"/>
        <v>0</v>
      </c>
      <c r="T44" s="896">
        <f t="shared" si="21"/>
        <v>0</v>
      </c>
      <c r="U44" s="896">
        <f t="shared" si="21"/>
        <v>0</v>
      </c>
      <c r="V44" s="896">
        <f t="shared" si="21"/>
        <v>0</v>
      </c>
      <c r="W44" s="896">
        <f t="shared" si="21"/>
        <v>0</v>
      </c>
      <c r="X44" s="896">
        <f t="shared" si="21"/>
        <v>0</v>
      </c>
      <c r="Y44" s="896">
        <f t="shared" si="21"/>
        <v>0</v>
      </c>
      <c r="Z44" s="896">
        <f t="shared" si="21"/>
        <v>0</v>
      </c>
      <c r="AA44" s="896">
        <f t="shared" si="21"/>
        <v>0</v>
      </c>
      <c r="AB44" s="896">
        <f t="shared" si="21"/>
        <v>0</v>
      </c>
      <c r="AC44" s="896">
        <f t="shared" si="21"/>
        <v>0</v>
      </c>
      <c r="AD44" s="896">
        <f t="shared" si="21"/>
        <v>0</v>
      </c>
      <c r="AE44" s="896">
        <f t="shared" si="21"/>
        <v>0</v>
      </c>
      <c r="AF44" s="896">
        <f t="shared" si="21"/>
        <v>0</v>
      </c>
      <c r="AG44" s="896">
        <f t="shared" si="21"/>
        <v>0</v>
      </c>
      <c r="AH44" s="896">
        <f t="shared" si="21"/>
        <v>0</v>
      </c>
      <c r="AI44" s="896">
        <f t="shared" si="21"/>
        <v>0</v>
      </c>
      <c r="AJ44" s="896">
        <f t="shared" si="21"/>
        <v>0</v>
      </c>
      <c r="AK44" s="896">
        <f t="shared" si="21"/>
        <v>0</v>
      </c>
      <c r="AL44" s="896">
        <f t="shared" si="21"/>
        <v>0</v>
      </c>
      <c r="AM44" s="896">
        <f t="shared" si="21"/>
        <v>0</v>
      </c>
      <c r="AN44" s="896">
        <f t="shared" si="21"/>
        <v>0</v>
      </c>
      <c r="AO44" s="896">
        <f t="shared" si="21"/>
        <v>0</v>
      </c>
      <c r="AP44" s="896">
        <f t="shared" si="21"/>
        <v>0</v>
      </c>
      <c r="AQ44" s="896">
        <f t="shared" si="21"/>
        <v>0</v>
      </c>
      <c r="AR44" s="896">
        <f t="shared" si="21"/>
        <v>0</v>
      </c>
      <c r="AS44" s="896">
        <f t="shared" si="21"/>
        <v>0</v>
      </c>
      <c r="AT44" s="896">
        <f t="shared" si="21"/>
        <v>0</v>
      </c>
      <c r="AU44" s="896">
        <f t="shared" si="21"/>
        <v>0</v>
      </c>
      <c r="AV44" s="896">
        <f t="shared" si="21"/>
        <v>0</v>
      </c>
      <c r="AW44" s="896">
        <f t="shared" si="21"/>
        <v>0</v>
      </c>
      <c r="AX44" s="896">
        <f t="shared" si="21"/>
        <v>0</v>
      </c>
      <c r="AY44" s="896">
        <f t="shared" si="21"/>
        <v>0</v>
      </c>
      <c r="AZ44" s="896">
        <f t="shared" si="21"/>
        <v>0</v>
      </c>
      <c r="BA44" s="896">
        <f t="shared" si="21"/>
        <v>0</v>
      </c>
      <c r="BB44" s="896">
        <f t="shared" si="21"/>
        <v>0</v>
      </c>
      <c r="BC44" s="896">
        <f t="shared" si="21"/>
        <v>0</v>
      </c>
      <c r="BD44" s="896">
        <f t="shared" si="21"/>
        <v>0</v>
      </c>
      <c r="BE44" s="896">
        <f t="shared" si="21"/>
        <v>0</v>
      </c>
      <c r="BF44" s="896">
        <f t="shared" si="21"/>
        <v>0</v>
      </c>
      <c r="BG44" s="896">
        <f t="shared" si="21"/>
        <v>0</v>
      </c>
      <c r="BH44" s="896">
        <f t="shared" si="21"/>
        <v>0</v>
      </c>
      <c r="BI44" s="896">
        <f t="shared" si="21"/>
        <v>0</v>
      </c>
      <c r="BJ44" s="896">
        <f t="shared" si="21"/>
        <v>0</v>
      </c>
      <c r="BK44" s="896">
        <f t="shared" si="21"/>
        <v>0</v>
      </c>
      <c r="BL44" s="896">
        <f t="shared" si="21"/>
        <v>0</v>
      </c>
      <c r="BM44" s="896">
        <f t="shared" si="21"/>
        <v>0</v>
      </c>
      <c r="BN44" s="896">
        <f t="shared" si="21"/>
        <v>0</v>
      </c>
      <c r="BO44" s="896">
        <f t="shared" si="21"/>
        <v>0</v>
      </c>
      <c r="BP44" s="896">
        <f t="shared" si="21"/>
        <v>0</v>
      </c>
    </row>
    <row r="45" spans="1:68" ht="16.5" thickBot="1" x14ac:dyDescent="0.3">
      <c r="A45" s="1013" t="s">
        <v>240</v>
      </c>
      <c r="B45" s="1014"/>
      <c r="C45" s="1014"/>
      <c r="D45" s="1014"/>
      <c r="E45" s="1014"/>
      <c r="F45" s="1014"/>
      <c r="G45" s="1014"/>
      <c r="H45" s="1015"/>
      <c r="I45" s="898">
        <f t="shared" si="21"/>
        <v>0</v>
      </c>
      <c r="J45" s="898">
        <f t="shared" si="21"/>
        <v>0</v>
      </c>
      <c r="K45" s="898">
        <f t="shared" si="21"/>
        <v>0</v>
      </c>
      <c r="L45" s="898">
        <f t="shared" si="21"/>
        <v>0</v>
      </c>
      <c r="M45" s="898">
        <f t="shared" si="21"/>
        <v>0</v>
      </c>
      <c r="N45" s="898">
        <f t="shared" si="21"/>
        <v>0</v>
      </c>
      <c r="O45" s="898">
        <f t="shared" si="21"/>
        <v>0</v>
      </c>
      <c r="P45" s="898">
        <f t="shared" si="21"/>
        <v>0</v>
      </c>
      <c r="Q45" s="898">
        <f t="shared" si="21"/>
        <v>0</v>
      </c>
      <c r="R45" s="896">
        <f t="shared" si="21"/>
        <v>0</v>
      </c>
      <c r="S45" s="896">
        <f t="shared" si="21"/>
        <v>0</v>
      </c>
      <c r="T45" s="896">
        <f t="shared" si="21"/>
        <v>0</v>
      </c>
      <c r="U45" s="896">
        <f t="shared" si="21"/>
        <v>0</v>
      </c>
      <c r="V45" s="896">
        <f t="shared" si="21"/>
        <v>0</v>
      </c>
      <c r="W45" s="896">
        <f t="shared" si="21"/>
        <v>0</v>
      </c>
      <c r="X45" s="896">
        <f t="shared" si="21"/>
        <v>0</v>
      </c>
      <c r="Y45" s="896">
        <f t="shared" si="21"/>
        <v>0</v>
      </c>
      <c r="Z45" s="896">
        <f t="shared" si="21"/>
        <v>0</v>
      </c>
      <c r="AA45" s="896">
        <f t="shared" si="21"/>
        <v>0</v>
      </c>
      <c r="AB45" s="896">
        <f t="shared" si="21"/>
        <v>0</v>
      </c>
      <c r="AC45" s="896">
        <f t="shared" si="21"/>
        <v>0</v>
      </c>
      <c r="AD45" s="896">
        <f t="shared" si="21"/>
        <v>0</v>
      </c>
      <c r="AE45" s="896">
        <f t="shared" si="21"/>
        <v>0</v>
      </c>
      <c r="AF45" s="896">
        <f t="shared" si="21"/>
        <v>0</v>
      </c>
      <c r="AG45" s="896">
        <f t="shared" si="21"/>
        <v>0</v>
      </c>
      <c r="AH45" s="896">
        <f t="shared" si="21"/>
        <v>0</v>
      </c>
      <c r="AI45" s="896">
        <f t="shared" si="21"/>
        <v>0</v>
      </c>
      <c r="AJ45" s="896">
        <f t="shared" si="21"/>
        <v>0</v>
      </c>
      <c r="AK45" s="896">
        <f t="shared" si="21"/>
        <v>0</v>
      </c>
      <c r="AL45" s="896">
        <f t="shared" si="21"/>
        <v>0</v>
      </c>
      <c r="AM45" s="896">
        <f t="shared" si="21"/>
        <v>0</v>
      </c>
      <c r="AN45" s="896">
        <f t="shared" si="21"/>
        <v>0</v>
      </c>
      <c r="AO45" s="896">
        <f t="shared" si="21"/>
        <v>0</v>
      </c>
      <c r="AP45" s="896">
        <f t="shared" si="21"/>
        <v>0</v>
      </c>
      <c r="AQ45" s="896">
        <f t="shared" si="21"/>
        <v>0</v>
      </c>
      <c r="AR45" s="896">
        <f t="shared" si="21"/>
        <v>0</v>
      </c>
      <c r="AS45" s="896">
        <f t="shared" si="21"/>
        <v>0</v>
      </c>
      <c r="AT45" s="896">
        <f t="shared" si="21"/>
        <v>0</v>
      </c>
      <c r="AU45" s="896">
        <f t="shared" si="21"/>
        <v>0</v>
      </c>
      <c r="AV45" s="896">
        <f t="shared" si="21"/>
        <v>0</v>
      </c>
      <c r="AW45" s="896">
        <f t="shared" si="21"/>
        <v>0</v>
      </c>
      <c r="AX45" s="896">
        <f t="shared" si="21"/>
        <v>0</v>
      </c>
      <c r="AY45" s="896">
        <f t="shared" si="21"/>
        <v>0</v>
      </c>
      <c r="AZ45" s="896">
        <f t="shared" si="21"/>
        <v>0</v>
      </c>
      <c r="BA45" s="896">
        <f t="shared" si="21"/>
        <v>0</v>
      </c>
      <c r="BB45" s="896">
        <f t="shared" si="21"/>
        <v>0</v>
      </c>
      <c r="BC45" s="896">
        <f t="shared" si="21"/>
        <v>0</v>
      </c>
      <c r="BD45" s="896">
        <f t="shared" si="21"/>
        <v>0</v>
      </c>
      <c r="BE45" s="896">
        <f t="shared" si="21"/>
        <v>0</v>
      </c>
      <c r="BF45" s="896">
        <f t="shared" si="21"/>
        <v>0</v>
      </c>
      <c r="BG45" s="896">
        <f t="shared" si="21"/>
        <v>0</v>
      </c>
      <c r="BH45" s="896">
        <f t="shared" si="21"/>
        <v>0</v>
      </c>
      <c r="BI45" s="896">
        <f t="shared" si="21"/>
        <v>0</v>
      </c>
      <c r="BJ45" s="896">
        <f t="shared" si="21"/>
        <v>0</v>
      </c>
      <c r="BK45" s="896">
        <f t="shared" si="21"/>
        <v>0</v>
      </c>
      <c r="BL45" s="896">
        <f t="shared" si="21"/>
        <v>0</v>
      </c>
      <c r="BM45" s="896">
        <f t="shared" si="21"/>
        <v>0</v>
      </c>
      <c r="BN45" s="896">
        <f t="shared" si="21"/>
        <v>0</v>
      </c>
      <c r="BO45" s="896">
        <f t="shared" si="21"/>
        <v>0</v>
      </c>
      <c r="BP45" s="896">
        <f t="shared" si="21"/>
        <v>0</v>
      </c>
    </row>
    <row r="46" spans="1:68" x14ac:dyDescent="0.25">
      <c r="A46" s="482" t="s">
        <v>195</v>
      </c>
      <c r="B46" s="483"/>
      <c r="C46" s="463" t="str">
        <f>IF($B46&lt;&gt;"",VLOOKUP($B46,COSTS_Barbarian[#All],2),"")</f>
        <v/>
      </c>
      <c r="D46" s="491" t="str">
        <f>IF($B46&lt;&gt;"",VLOOKUP($B46,COSTS_Barbarian[#All],3)/24,"")</f>
        <v/>
      </c>
      <c r="E46" s="499"/>
      <c r="F46" s="512"/>
      <c r="G46" s="500" t="str">
        <f t="shared" si="18"/>
        <v/>
      </c>
      <c r="H46" s="501"/>
      <c r="I46" s="898">
        <f t="shared" si="21"/>
        <v>0</v>
      </c>
      <c r="J46" s="898">
        <f t="shared" si="21"/>
        <v>0</v>
      </c>
      <c r="K46" s="898">
        <f t="shared" si="21"/>
        <v>0</v>
      </c>
      <c r="L46" s="898">
        <f t="shared" si="21"/>
        <v>0</v>
      </c>
      <c r="M46" s="898">
        <f t="shared" si="21"/>
        <v>0</v>
      </c>
      <c r="N46" s="898">
        <f t="shared" si="21"/>
        <v>0</v>
      </c>
      <c r="O46" s="898">
        <f t="shared" si="21"/>
        <v>0</v>
      </c>
      <c r="P46" s="898">
        <f t="shared" si="21"/>
        <v>0</v>
      </c>
      <c r="Q46" s="898">
        <f t="shared" si="21"/>
        <v>0</v>
      </c>
      <c r="R46" s="896">
        <f t="shared" si="21"/>
        <v>0</v>
      </c>
      <c r="S46" s="896">
        <f t="shared" si="21"/>
        <v>0</v>
      </c>
      <c r="T46" s="896">
        <f t="shared" si="21"/>
        <v>0</v>
      </c>
      <c r="U46" s="896">
        <f t="shared" si="21"/>
        <v>0</v>
      </c>
      <c r="V46" s="896">
        <f t="shared" si="21"/>
        <v>0</v>
      </c>
      <c r="W46" s="896">
        <f t="shared" si="21"/>
        <v>0</v>
      </c>
      <c r="X46" s="896">
        <f t="shared" ref="X46:AM47" si="22">IF(ISERROR(Plan),0,Plan)</f>
        <v>0</v>
      </c>
      <c r="Y46" s="896">
        <f t="shared" si="22"/>
        <v>0</v>
      </c>
      <c r="Z46" s="896">
        <f t="shared" si="22"/>
        <v>0</v>
      </c>
      <c r="AA46" s="896">
        <f t="shared" si="22"/>
        <v>0</v>
      </c>
      <c r="AB46" s="896">
        <f t="shared" si="22"/>
        <v>0</v>
      </c>
      <c r="AC46" s="896">
        <f t="shared" si="22"/>
        <v>0</v>
      </c>
      <c r="AD46" s="896">
        <f t="shared" si="22"/>
        <v>0</v>
      </c>
      <c r="AE46" s="896">
        <f t="shared" si="22"/>
        <v>0</v>
      </c>
      <c r="AF46" s="896">
        <f t="shared" si="22"/>
        <v>0</v>
      </c>
      <c r="AG46" s="896">
        <f t="shared" si="22"/>
        <v>0</v>
      </c>
      <c r="AH46" s="896">
        <f t="shared" si="22"/>
        <v>0</v>
      </c>
      <c r="AI46" s="896">
        <f t="shared" si="22"/>
        <v>0</v>
      </c>
      <c r="AJ46" s="896">
        <f t="shared" si="22"/>
        <v>0</v>
      </c>
      <c r="AK46" s="896">
        <f t="shared" si="22"/>
        <v>0</v>
      </c>
      <c r="AL46" s="896">
        <f t="shared" si="22"/>
        <v>0</v>
      </c>
      <c r="AM46" s="896">
        <f t="shared" si="22"/>
        <v>0</v>
      </c>
      <c r="AN46" s="896">
        <f t="shared" ref="AN46:BC47" si="23">IF(ISERROR(Plan),0,Plan)</f>
        <v>0</v>
      </c>
      <c r="AO46" s="896">
        <f t="shared" si="23"/>
        <v>0</v>
      </c>
      <c r="AP46" s="896">
        <f t="shared" si="23"/>
        <v>0</v>
      </c>
      <c r="AQ46" s="896">
        <f t="shared" si="23"/>
        <v>0</v>
      </c>
      <c r="AR46" s="896">
        <f t="shared" si="23"/>
        <v>0</v>
      </c>
      <c r="AS46" s="896">
        <f t="shared" si="23"/>
        <v>0</v>
      </c>
      <c r="AT46" s="896">
        <f t="shared" si="23"/>
        <v>0</v>
      </c>
      <c r="AU46" s="896">
        <f t="shared" si="23"/>
        <v>0</v>
      </c>
      <c r="AV46" s="896">
        <f t="shared" si="23"/>
        <v>0</v>
      </c>
      <c r="AW46" s="896">
        <f t="shared" si="23"/>
        <v>0</v>
      </c>
      <c r="AX46" s="896">
        <f t="shared" si="23"/>
        <v>0</v>
      </c>
      <c r="AY46" s="896">
        <f t="shared" si="23"/>
        <v>0</v>
      </c>
      <c r="AZ46" s="896">
        <f t="shared" si="23"/>
        <v>0</v>
      </c>
      <c r="BA46" s="896">
        <f t="shared" si="23"/>
        <v>0</v>
      </c>
      <c r="BB46" s="896">
        <f t="shared" si="23"/>
        <v>0</v>
      </c>
      <c r="BC46" s="896">
        <f t="shared" si="23"/>
        <v>0</v>
      </c>
      <c r="BD46" s="896">
        <f t="shared" ref="BD46:BP47" si="24">IF(ISERROR(Plan),0,Plan)</f>
        <v>0</v>
      </c>
      <c r="BE46" s="896">
        <f t="shared" si="24"/>
        <v>0</v>
      </c>
      <c r="BF46" s="896">
        <f t="shared" si="24"/>
        <v>0</v>
      </c>
      <c r="BG46" s="896">
        <f t="shared" si="24"/>
        <v>0</v>
      </c>
      <c r="BH46" s="896">
        <f t="shared" si="24"/>
        <v>0</v>
      </c>
      <c r="BI46" s="896">
        <f t="shared" si="24"/>
        <v>0</v>
      </c>
      <c r="BJ46" s="896">
        <f t="shared" si="24"/>
        <v>0</v>
      </c>
      <c r="BK46" s="896">
        <f t="shared" si="24"/>
        <v>0</v>
      </c>
      <c r="BL46" s="896">
        <f t="shared" si="24"/>
        <v>0</v>
      </c>
      <c r="BM46" s="896">
        <f t="shared" si="24"/>
        <v>0</v>
      </c>
      <c r="BN46" s="896">
        <f t="shared" si="24"/>
        <v>0</v>
      </c>
      <c r="BO46" s="896">
        <f t="shared" si="24"/>
        <v>0</v>
      </c>
      <c r="BP46" s="896">
        <f t="shared" si="24"/>
        <v>0</v>
      </c>
    </row>
    <row r="47" spans="1:68" x14ac:dyDescent="0.25">
      <c r="A47" s="476" t="s">
        <v>50</v>
      </c>
      <c r="B47" s="473"/>
      <c r="C47" s="487" t="str">
        <f>IF($B47&lt;&gt;"",VLOOKUP($B47,COSTS_Archer[#All],2),"")</f>
        <v/>
      </c>
      <c r="D47" s="492" t="str">
        <f>IF($B47&lt;&gt;"",VLOOKUP($B47,COSTS_Archer[#All],3)/24,"")</f>
        <v/>
      </c>
      <c r="E47" s="499"/>
      <c r="F47" s="513"/>
      <c r="G47" s="185" t="str">
        <f t="shared" si="18"/>
        <v/>
      </c>
      <c r="H47" s="503"/>
      <c r="I47" s="898">
        <f t="shared" ref="I47:AB47" si="25">IF(ISERROR(Plan),0,Plan)</f>
        <v>0</v>
      </c>
      <c r="J47" s="898">
        <f t="shared" si="25"/>
        <v>0</v>
      </c>
      <c r="K47" s="898">
        <f t="shared" si="25"/>
        <v>0</v>
      </c>
      <c r="L47" s="898">
        <f t="shared" si="25"/>
        <v>0</v>
      </c>
      <c r="M47" s="898">
        <f t="shared" si="25"/>
        <v>0</v>
      </c>
      <c r="N47" s="898">
        <f t="shared" si="25"/>
        <v>0</v>
      </c>
      <c r="O47" s="898">
        <f t="shared" si="25"/>
        <v>0</v>
      </c>
      <c r="P47" s="898">
        <f t="shared" si="25"/>
        <v>0</v>
      </c>
      <c r="Q47" s="898">
        <f t="shared" si="25"/>
        <v>0</v>
      </c>
      <c r="R47" s="896">
        <f t="shared" si="25"/>
        <v>0</v>
      </c>
      <c r="S47" s="896">
        <f t="shared" si="25"/>
        <v>0</v>
      </c>
      <c r="T47" s="896">
        <f t="shared" si="25"/>
        <v>0</v>
      </c>
      <c r="U47" s="896">
        <f t="shared" si="25"/>
        <v>0</v>
      </c>
      <c r="V47" s="896">
        <f t="shared" si="25"/>
        <v>0</v>
      </c>
      <c r="W47" s="896">
        <f t="shared" si="25"/>
        <v>0</v>
      </c>
      <c r="X47" s="896">
        <f t="shared" si="25"/>
        <v>0</v>
      </c>
      <c r="Y47" s="896">
        <f t="shared" si="25"/>
        <v>0</v>
      </c>
      <c r="Z47" s="896">
        <f t="shared" si="25"/>
        <v>0</v>
      </c>
      <c r="AA47" s="896">
        <f t="shared" si="25"/>
        <v>0</v>
      </c>
      <c r="AB47" s="896">
        <f t="shared" si="25"/>
        <v>0</v>
      </c>
      <c r="AC47" s="896">
        <f t="shared" si="22"/>
        <v>0</v>
      </c>
      <c r="AD47" s="896">
        <f t="shared" si="22"/>
        <v>0</v>
      </c>
      <c r="AE47" s="896">
        <f t="shared" si="22"/>
        <v>0</v>
      </c>
      <c r="AF47" s="896">
        <f t="shared" si="22"/>
        <v>0</v>
      </c>
      <c r="AG47" s="896">
        <f t="shared" si="22"/>
        <v>0</v>
      </c>
      <c r="AH47" s="896">
        <f t="shared" si="22"/>
        <v>0</v>
      </c>
      <c r="AI47" s="896">
        <f t="shared" si="22"/>
        <v>0</v>
      </c>
      <c r="AJ47" s="896">
        <f t="shared" si="22"/>
        <v>0</v>
      </c>
      <c r="AK47" s="896">
        <f t="shared" si="22"/>
        <v>0</v>
      </c>
      <c r="AL47" s="896">
        <f t="shared" si="22"/>
        <v>0</v>
      </c>
      <c r="AM47" s="896">
        <f t="shared" si="22"/>
        <v>0</v>
      </c>
      <c r="AN47" s="896">
        <f t="shared" si="23"/>
        <v>0</v>
      </c>
      <c r="AO47" s="896">
        <f t="shared" si="23"/>
        <v>0</v>
      </c>
      <c r="AP47" s="896">
        <f t="shared" si="23"/>
        <v>0</v>
      </c>
      <c r="AQ47" s="896">
        <f t="shared" si="23"/>
        <v>0</v>
      </c>
      <c r="AR47" s="896">
        <f t="shared" si="23"/>
        <v>0</v>
      </c>
      <c r="AS47" s="896">
        <f t="shared" si="23"/>
        <v>0</v>
      </c>
      <c r="AT47" s="896">
        <f t="shared" si="23"/>
        <v>0</v>
      </c>
      <c r="AU47" s="896">
        <f t="shared" si="23"/>
        <v>0</v>
      </c>
      <c r="AV47" s="896">
        <f t="shared" si="23"/>
        <v>0</v>
      </c>
      <c r="AW47" s="896">
        <f t="shared" si="23"/>
        <v>0</v>
      </c>
      <c r="AX47" s="896">
        <f t="shared" si="23"/>
        <v>0</v>
      </c>
      <c r="AY47" s="896">
        <f t="shared" si="23"/>
        <v>0</v>
      </c>
      <c r="AZ47" s="896">
        <f t="shared" si="23"/>
        <v>0</v>
      </c>
      <c r="BA47" s="896">
        <f t="shared" si="23"/>
        <v>0</v>
      </c>
      <c r="BB47" s="896">
        <f t="shared" si="23"/>
        <v>0</v>
      </c>
      <c r="BC47" s="896">
        <f t="shared" si="23"/>
        <v>0</v>
      </c>
      <c r="BD47" s="896">
        <f t="shared" si="24"/>
        <v>0</v>
      </c>
      <c r="BE47" s="896">
        <f t="shared" si="24"/>
        <v>0</v>
      </c>
      <c r="BF47" s="896">
        <f t="shared" si="24"/>
        <v>0</v>
      </c>
      <c r="BG47" s="896">
        <f t="shared" si="24"/>
        <v>0</v>
      </c>
      <c r="BH47" s="896">
        <f t="shared" si="24"/>
        <v>0</v>
      </c>
      <c r="BI47" s="896">
        <f t="shared" si="24"/>
        <v>0</v>
      </c>
      <c r="BJ47" s="896">
        <f t="shared" si="24"/>
        <v>0</v>
      </c>
      <c r="BK47" s="896">
        <f t="shared" si="24"/>
        <v>0</v>
      </c>
      <c r="BL47" s="896">
        <f t="shared" si="24"/>
        <v>0</v>
      </c>
      <c r="BM47" s="896">
        <f t="shared" si="24"/>
        <v>0</v>
      </c>
      <c r="BN47" s="896">
        <f t="shared" si="24"/>
        <v>0</v>
      </c>
      <c r="BO47" s="896">
        <f t="shared" si="24"/>
        <v>0</v>
      </c>
      <c r="BP47" s="896">
        <f t="shared" si="24"/>
        <v>0</v>
      </c>
    </row>
    <row r="48" spans="1:68" x14ac:dyDescent="0.25">
      <c r="A48" s="476" t="s">
        <v>189</v>
      </c>
      <c r="B48" s="473"/>
      <c r="C48" s="487" t="str">
        <f>IF($B48&lt;&gt;"",VLOOKUP($B48,COSTS_Goblin[#All],2),"")</f>
        <v/>
      </c>
      <c r="D48" s="492" t="str">
        <f>IF($B48&lt;&gt;"",VLOOKUP($B48,COSTS_Goblin[#All],3)/24,"")</f>
        <v/>
      </c>
      <c r="E48" s="499"/>
      <c r="F48" s="513"/>
      <c r="G48" s="185" t="str">
        <f t="shared" si="18"/>
        <v/>
      </c>
      <c r="H48" s="503"/>
      <c r="I48" s="898">
        <f t="shared" si="19"/>
        <v>0</v>
      </c>
      <c r="J48" s="898">
        <f t="shared" si="19"/>
        <v>0</v>
      </c>
      <c r="K48" s="898">
        <f t="shared" si="19"/>
        <v>0</v>
      </c>
      <c r="L48" s="898">
        <f t="shared" si="19"/>
        <v>0</v>
      </c>
      <c r="M48" s="898">
        <f t="shared" si="19"/>
        <v>0</v>
      </c>
      <c r="N48" s="898">
        <f t="shared" si="19"/>
        <v>0</v>
      </c>
      <c r="O48" s="898">
        <f t="shared" si="19"/>
        <v>0</v>
      </c>
      <c r="P48" s="898">
        <f t="shared" si="19"/>
        <v>0</v>
      </c>
      <c r="Q48" s="898">
        <f t="shared" si="19"/>
        <v>0</v>
      </c>
      <c r="R48" s="896">
        <f t="shared" si="19"/>
        <v>0</v>
      </c>
      <c r="S48" s="896">
        <f t="shared" si="17"/>
        <v>0</v>
      </c>
      <c r="T48" s="896">
        <f t="shared" si="17"/>
        <v>0</v>
      </c>
      <c r="U48" s="896">
        <f t="shared" si="17"/>
        <v>0</v>
      </c>
      <c r="V48" s="896">
        <f t="shared" si="17"/>
        <v>0</v>
      </c>
      <c r="W48" s="896">
        <f t="shared" si="17"/>
        <v>0</v>
      </c>
      <c r="X48" s="896">
        <f t="shared" si="17"/>
        <v>0</v>
      </c>
      <c r="Y48" s="896">
        <f t="shared" si="17"/>
        <v>0</v>
      </c>
      <c r="Z48" s="896">
        <f t="shared" si="17"/>
        <v>0</v>
      </c>
      <c r="AA48" s="896">
        <f t="shared" si="17"/>
        <v>0</v>
      </c>
      <c r="AB48" s="896">
        <f t="shared" si="17"/>
        <v>0</v>
      </c>
      <c r="AC48" s="896">
        <f t="shared" ref="AC48:AL71" si="26">IF(ISERROR(Plan),0,Plan)</f>
        <v>0</v>
      </c>
      <c r="AD48" s="896">
        <f t="shared" si="26"/>
        <v>0</v>
      </c>
      <c r="AE48" s="896">
        <f t="shared" si="26"/>
        <v>0</v>
      </c>
      <c r="AF48" s="896">
        <f t="shared" si="26"/>
        <v>0</v>
      </c>
      <c r="AG48" s="896">
        <f t="shared" si="26"/>
        <v>0</v>
      </c>
      <c r="AH48" s="896">
        <f t="shared" si="26"/>
        <v>0</v>
      </c>
      <c r="AI48" s="896">
        <f t="shared" si="26"/>
        <v>0</v>
      </c>
      <c r="AJ48" s="896">
        <f t="shared" si="26"/>
        <v>0</v>
      </c>
      <c r="AK48" s="896">
        <f t="shared" si="26"/>
        <v>0</v>
      </c>
      <c r="AL48" s="896">
        <f t="shared" si="26"/>
        <v>0</v>
      </c>
      <c r="AM48" s="896">
        <f t="shared" ref="AM48:AV69" si="27">IF(ISERROR(Plan),0,Plan)</f>
        <v>0</v>
      </c>
      <c r="AN48" s="896">
        <f t="shared" si="27"/>
        <v>0</v>
      </c>
      <c r="AO48" s="896">
        <f t="shared" si="27"/>
        <v>0</v>
      </c>
      <c r="AP48" s="896">
        <f t="shared" si="27"/>
        <v>0</v>
      </c>
      <c r="AQ48" s="896">
        <f t="shared" si="27"/>
        <v>0</v>
      </c>
      <c r="AR48" s="896">
        <f t="shared" si="27"/>
        <v>0</v>
      </c>
      <c r="AS48" s="896">
        <f t="shared" si="27"/>
        <v>0</v>
      </c>
      <c r="AT48" s="896">
        <f t="shared" si="27"/>
        <v>0</v>
      </c>
      <c r="AU48" s="896">
        <f t="shared" si="27"/>
        <v>0</v>
      </c>
      <c r="AV48" s="896">
        <f t="shared" si="27"/>
        <v>0</v>
      </c>
      <c r="AW48" s="896">
        <f t="shared" si="20"/>
        <v>0</v>
      </c>
      <c r="AX48" s="896">
        <f t="shared" si="20"/>
        <v>0</v>
      </c>
      <c r="AY48" s="896">
        <f t="shared" si="20"/>
        <v>0</v>
      </c>
      <c r="AZ48" s="896">
        <f t="shared" si="20"/>
        <v>0</v>
      </c>
      <c r="BA48" s="896">
        <f t="shared" si="20"/>
        <v>0</v>
      </c>
      <c r="BB48" s="896">
        <f t="shared" si="20"/>
        <v>0</v>
      </c>
      <c r="BC48" s="896">
        <f t="shared" si="20"/>
        <v>0</v>
      </c>
      <c r="BD48" s="896">
        <f t="shared" si="20"/>
        <v>0</v>
      </c>
      <c r="BE48" s="896">
        <f t="shared" si="20"/>
        <v>0</v>
      </c>
      <c r="BF48" s="896">
        <f t="shared" si="20"/>
        <v>0</v>
      </c>
      <c r="BG48" s="896">
        <f t="shared" si="16"/>
        <v>0</v>
      </c>
      <c r="BH48" s="896">
        <f t="shared" si="16"/>
        <v>0</v>
      </c>
      <c r="BI48" s="896">
        <f t="shared" si="16"/>
        <v>0</v>
      </c>
      <c r="BJ48" s="896">
        <f t="shared" si="16"/>
        <v>0</v>
      </c>
      <c r="BK48" s="896">
        <f t="shared" si="16"/>
        <v>0</v>
      </c>
      <c r="BL48" s="896">
        <f t="shared" si="16"/>
        <v>0</v>
      </c>
      <c r="BM48" s="896">
        <f t="shared" si="16"/>
        <v>0</v>
      </c>
      <c r="BN48" s="896">
        <f t="shared" si="16"/>
        <v>0</v>
      </c>
      <c r="BO48" s="896">
        <f t="shared" si="16"/>
        <v>0</v>
      </c>
      <c r="BP48" s="896">
        <f t="shared" si="16"/>
        <v>0</v>
      </c>
    </row>
    <row r="49" spans="1:68" x14ac:dyDescent="0.25">
      <c r="A49" s="476" t="s">
        <v>188</v>
      </c>
      <c r="B49" s="473"/>
      <c r="C49" s="487" t="str">
        <f>IF($B49&lt;&gt;"",VLOOKUP($B49,COSTS_Giant[#All],2),"")</f>
        <v/>
      </c>
      <c r="D49" s="492" t="str">
        <f>IF($B49&lt;&gt;"",VLOOKUP($B49,COSTS_Giant[#All],3)/24,"")</f>
        <v/>
      </c>
      <c r="E49" s="499"/>
      <c r="F49" s="513"/>
      <c r="G49" s="185" t="str">
        <f t="shared" si="18"/>
        <v/>
      </c>
      <c r="H49" s="503"/>
      <c r="I49" s="898">
        <f t="shared" si="19"/>
        <v>0</v>
      </c>
      <c r="J49" s="898">
        <f t="shared" si="19"/>
        <v>0</v>
      </c>
      <c r="K49" s="898">
        <f t="shared" si="19"/>
        <v>0</v>
      </c>
      <c r="L49" s="898">
        <f t="shared" si="19"/>
        <v>0</v>
      </c>
      <c r="M49" s="898">
        <f t="shared" si="19"/>
        <v>0</v>
      </c>
      <c r="N49" s="898">
        <f t="shared" si="19"/>
        <v>0</v>
      </c>
      <c r="O49" s="898">
        <f t="shared" si="19"/>
        <v>0</v>
      </c>
      <c r="P49" s="898">
        <f t="shared" si="19"/>
        <v>0</v>
      </c>
      <c r="Q49" s="898">
        <f t="shared" si="19"/>
        <v>0</v>
      </c>
      <c r="R49" s="896">
        <f t="shared" si="19"/>
        <v>0</v>
      </c>
      <c r="S49" s="896">
        <f t="shared" si="17"/>
        <v>0</v>
      </c>
      <c r="T49" s="896">
        <f t="shared" si="17"/>
        <v>0</v>
      </c>
      <c r="U49" s="896">
        <f t="shared" si="17"/>
        <v>0</v>
      </c>
      <c r="V49" s="896">
        <f t="shared" si="17"/>
        <v>0</v>
      </c>
      <c r="W49" s="896">
        <f t="shared" si="17"/>
        <v>0</v>
      </c>
      <c r="X49" s="896">
        <f t="shared" si="17"/>
        <v>0</v>
      </c>
      <c r="Y49" s="896">
        <f t="shared" si="17"/>
        <v>0</v>
      </c>
      <c r="Z49" s="896">
        <f t="shared" si="17"/>
        <v>0</v>
      </c>
      <c r="AA49" s="896">
        <f t="shared" si="17"/>
        <v>0</v>
      </c>
      <c r="AB49" s="896">
        <f t="shared" si="17"/>
        <v>0</v>
      </c>
      <c r="AC49" s="896">
        <f t="shared" si="26"/>
        <v>0</v>
      </c>
      <c r="AD49" s="896">
        <f t="shared" si="26"/>
        <v>0</v>
      </c>
      <c r="AE49" s="896">
        <f t="shared" si="26"/>
        <v>0</v>
      </c>
      <c r="AF49" s="896">
        <f t="shared" si="26"/>
        <v>0</v>
      </c>
      <c r="AG49" s="896">
        <f t="shared" si="26"/>
        <v>0</v>
      </c>
      <c r="AH49" s="896">
        <f t="shared" si="26"/>
        <v>0</v>
      </c>
      <c r="AI49" s="896">
        <f t="shared" si="26"/>
        <v>0</v>
      </c>
      <c r="AJ49" s="896">
        <f t="shared" si="26"/>
        <v>0</v>
      </c>
      <c r="AK49" s="896">
        <f t="shared" si="26"/>
        <v>0</v>
      </c>
      <c r="AL49" s="896">
        <f t="shared" si="26"/>
        <v>0</v>
      </c>
      <c r="AM49" s="896">
        <f t="shared" si="27"/>
        <v>0</v>
      </c>
      <c r="AN49" s="896">
        <f t="shared" si="27"/>
        <v>0</v>
      </c>
      <c r="AO49" s="896">
        <f t="shared" si="27"/>
        <v>0</v>
      </c>
      <c r="AP49" s="896">
        <f t="shared" si="27"/>
        <v>0</v>
      </c>
      <c r="AQ49" s="896">
        <f t="shared" si="27"/>
        <v>0</v>
      </c>
      <c r="AR49" s="896">
        <f t="shared" si="27"/>
        <v>0</v>
      </c>
      <c r="AS49" s="896">
        <f t="shared" si="27"/>
        <v>0</v>
      </c>
      <c r="AT49" s="896">
        <f t="shared" si="27"/>
        <v>0</v>
      </c>
      <c r="AU49" s="896">
        <f t="shared" si="27"/>
        <v>0</v>
      </c>
      <c r="AV49" s="896">
        <f t="shared" si="27"/>
        <v>0</v>
      </c>
      <c r="AW49" s="896">
        <f t="shared" si="20"/>
        <v>0</v>
      </c>
      <c r="AX49" s="896">
        <f t="shared" si="20"/>
        <v>0</v>
      </c>
      <c r="AY49" s="896">
        <f t="shared" si="20"/>
        <v>0</v>
      </c>
      <c r="AZ49" s="896">
        <f t="shared" si="20"/>
        <v>0</v>
      </c>
      <c r="BA49" s="896">
        <f t="shared" si="20"/>
        <v>0</v>
      </c>
      <c r="BB49" s="896">
        <f t="shared" si="20"/>
        <v>0</v>
      </c>
      <c r="BC49" s="896">
        <f t="shared" si="20"/>
        <v>0</v>
      </c>
      <c r="BD49" s="896">
        <f t="shared" si="20"/>
        <v>0</v>
      </c>
      <c r="BE49" s="896">
        <f t="shared" si="20"/>
        <v>0</v>
      </c>
      <c r="BF49" s="896">
        <f t="shared" si="20"/>
        <v>0</v>
      </c>
      <c r="BG49" s="896">
        <f t="shared" si="16"/>
        <v>0</v>
      </c>
      <c r="BH49" s="896">
        <f t="shared" si="16"/>
        <v>0</v>
      </c>
      <c r="BI49" s="896">
        <f t="shared" si="16"/>
        <v>0</v>
      </c>
      <c r="BJ49" s="896">
        <f t="shared" si="16"/>
        <v>0</v>
      </c>
      <c r="BK49" s="896">
        <f t="shared" si="16"/>
        <v>0</v>
      </c>
      <c r="BL49" s="896">
        <f t="shared" si="16"/>
        <v>0</v>
      </c>
      <c r="BM49" s="896">
        <f t="shared" si="16"/>
        <v>0</v>
      </c>
      <c r="BN49" s="896">
        <f t="shared" si="16"/>
        <v>0</v>
      </c>
      <c r="BO49" s="896">
        <f t="shared" si="16"/>
        <v>0</v>
      </c>
      <c r="BP49" s="896">
        <f t="shared" si="16"/>
        <v>0</v>
      </c>
    </row>
    <row r="50" spans="1:68" x14ac:dyDescent="0.25">
      <c r="A50" s="476" t="s">
        <v>187</v>
      </c>
      <c r="B50" s="473"/>
      <c r="C50" s="487" t="str">
        <f>IF($B50&lt;&gt;"",VLOOKUP($B50,COSTS_Wall_Breaker[#All],2),"")</f>
        <v/>
      </c>
      <c r="D50" s="492" t="str">
        <f>IF($B50&lt;&gt;"",VLOOKUP($B50,COSTS_Wall_Breaker[#All],3)/24,"")</f>
        <v/>
      </c>
      <c r="E50" s="499"/>
      <c r="F50" s="513"/>
      <c r="G50" s="185" t="str">
        <f t="shared" si="18"/>
        <v/>
      </c>
      <c r="H50" s="503"/>
      <c r="I50" s="898">
        <f t="shared" si="19"/>
        <v>0</v>
      </c>
      <c r="J50" s="898">
        <f t="shared" si="19"/>
        <v>0</v>
      </c>
      <c r="K50" s="898">
        <f t="shared" si="19"/>
        <v>0</v>
      </c>
      <c r="L50" s="898">
        <f t="shared" si="19"/>
        <v>0</v>
      </c>
      <c r="M50" s="898">
        <f t="shared" si="19"/>
        <v>0</v>
      </c>
      <c r="N50" s="898">
        <f t="shared" si="19"/>
        <v>0</v>
      </c>
      <c r="O50" s="898">
        <f t="shared" si="19"/>
        <v>0</v>
      </c>
      <c r="P50" s="898">
        <f t="shared" si="19"/>
        <v>0</v>
      </c>
      <c r="Q50" s="898">
        <f t="shared" si="19"/>
        <v>0</v>
      </c>
      <c r="R50" s="896">
        <f t="shared" si="19"/>
        <v>0</v>
      </c>
      <c r="S50" s="896">
        <f t="shared" si="17"/>
        <v>0</v>
      </c>
      <c r="T50" s="896">
        <f t="shared" si="17"/>
        <v>0</v>
      </c>
      <c r="U50" s="896">
        <f t="shared" si="17"/>
        <v>0</v>
      </c>
      <c r="V50" s="896">
        <f t="shared" si="17"/>
        <v>0</v>
      </c>
      <c r="W50" s="896">
        <f t="shared" si="17"/>
        <v>0</v>
      </c>
      <c r="X50" s="896">
        <f t="shared" si="17"/>
        <v>0</v>
      </c>
      <c r="Y50" s="896">
        <f t="shared" si="17"/>
        <v>0</v>
      </c>
      <c r="Z50" s="896">
        <f t="shared" si="17"/>
        <v>0</v>
      </c>
      <c r="AA50" s="896">
        <f t="shared" si="17"/>
        <v>0</v>
      </c>
      <c r="AB50" s="896">
        <f t="shared" si="17"/>
        <v>0</v>
      </c>
      <c r="AC50" s="896">
        <f t="shared" si="26"/>
        <v>0</v>
      </c>
      <c r="AD50" s="896">
        <f t="shared" si="26"/>
        <v>0</v>
      </c>
      <c r="AE50" s="896">
        <f t="shared" si="26"/>
        <v>0</v>
      </c>
      <c r="AF50" s="896">
        <f t="shared" si="26"/>
        <v>0</v>
      </c>
      <c r="AG50" s="896">
        <f t="shared" si="26"/>
        <v>0</v>
      </c>
      <c r="AH50" s="896">
        <f t="shared" si="26"/>
        <v>0</v>
      </c>
      <c r="AI50" s="896">
        <f t="shared" si="26"/>
        <v>0</v>
      </c>
      <c r="AJ50" s="896">
        <f t="shared" si="26"/>
        <v>0</v>
      </c>
      <c r="AK50" s="896">
        <f t="shared" si="26"/>
        <v>0</v>
      </c>
      <c r="AL50" s="896">
        <f t="shared" si="26"/>
        <v>0</v>
      </c>
      <c r="AM50" s="896">
        <f t="shared" si="27"/>
        <v>0</v>
      </c>
      <c r="AN50" s="896">
        <f t="shared" si="27"/>
        <v>0</v>
      </c>
      <c r="AO50" s="896">
        <f t="shared" si="27"/>
        <v>0</v>
      </c>
      <c r="AP50" s="896">
        <f t="shared" si="27"/>
        <v>0</v>
      </c>
      <c r="AQ50" s="896">
        <f t="shared" si="27"/>
        <v>0</v>
      </c>
      <c r="AR50" s="896">
        <f t="shared" si="27"/>
        <v>0</v>
      </c>
      <c r="AS50" s="896">
        <f t="shared" si="27"/>
        <v>0</v>
      </c>
      <c r="AT50" s="896">
        <f t="shared" si="27"/>
        <v>0</v>
      </c>
      <c r="AU50" s="896">
        <f t="shared" si="27"/>
        <v>0</v>
      </c>
      <c r="AV50" s="896">
        <f t="shared" si="27"/>
        <v>0</v>
      </c>
      <c r="AW50" s="896">
        <f t="shared" si="20"/>
        <v>0</v>
      </c>
      <c r="AX50" s="896">
        <f t="shared" si="20"/>
        <v>0</v>
      </c>
      <c r="AY50" s="896">
        <f t="shared" si="20"/>
        <v>0</v>
      </c>
      <c r="AZ50" s="896">
        <f t="shared" si="20"/>
        <v>0</v>
      </c>
      <c r="BA50" s="896">
        <f t="shared" si="20"/>
        <v>0</v>
      </c>
      <c r="BB50" s="896">
        <f t="shared" si="20"/>
        <v>0</v>
      </c>
      <c r="BC50" s="896">
        <f t="shared" si="20"/>
        <v>0</v>
      </c>
      <c r="BD50" s="896">
        <f t="shared" si="20"/>
        <v>0</v>
      </c>
      <c r="BE50" s="896">
        <f t="shared" si="20"/>
        <v>0</v>
      </c>
      <c r="BF50" s="896">
        <f t="shared" si="20"/>
        <v>0</v>
      </c>
      <c r="BG50" s="896">
        <f t="shared" si="16"/>
        <v>0</v>
      </c>
      <c r="BH50" s="896">
        <f t="shared" si="16"/>
        <v>0</v>
      </c>
      <c r="BI50" s="896">
        <f t="shared" si="16"/>
        <v>0</v>
      </c>
      <c r="BJ50" s="896">
        <f t="shared" si="16"/>
        <v>0</v>
      </c>
      <c r="BK50" s="896">
        <f t="shared" si="16"/>
        <v>0</v>
      </c>
      <c r="BL50" s="896">
        <f t="shared" si="16"/>
        <v>0</v>
      </c>
      <c r="BM50" s="896">
        <f t="shared" si="16"/>
        <v>0</v>
      </c>
      <c r="BN50" s="896">
        <f t="shared" si="16"/>
        <v>0</v>
      </c>
      <c r="BO50" s="896">
        <f t="shared" si="16"/>
        <v>0</v>
      </c>
      <c r="BP50" s="896">
        <f t="shared" si="16"/>
        <v>0</v>
      </c>
    </row>
    <row r="51" spans="1:68" x14ac:dyDescent="0.25">
      <c r="A51" s="476" t="s">
        <v>186</v>
      </c>
      <c r="B51" s="473"/>
      <c r="C51" s="487" t="str">
        <f>IF($B51&lt;&gt;"",VLOOKUP($B51,COSTS_Balloon[#All],2),"")</f>
        <v/>
      </c>
      <c r="D51" s="492" t="str">
        <f>IF($B51&lt;&gt;"",VLOOKUP($B51,COSTS_Balloon[#All],3)/24,"")</f>
        <v/>
      </c>
      <c r="E51" s="499"/>
      <c r="F51" s="513"/>
      <c r="G51" s="185" t="str">
        <f t="shared" si="18"/>
        <v/>
      </c>
      <c r="H51" s="503"/>
      <c r="I51" s="898">
        <f t="shared" si="19"/>
        <v>0</v>
      </c>
      <c r="J51" s="898">
        <f t="shared" si="19"/>
        <v>0</v>
      </c>
      <c r="K51" s="898">
        <f t="shared" si="19"/>
        <v>0</v>
      </c>
      <c r="L51" s="898">
        <f t="shared" si="19"/>
        <v>0</v>
      </c>
      <c r="M51" s="898">
        <f t="shared" si="19"/>
        <v>0</v>
      </c>
      <c r="N51" s="898">
        <f t="shared" si="19"/>
        <v>0</v>
      </c>
      <c r="O51" s="898">
        <f t="shared" si="19"/>
        <v>0</v>
      </c>
      <c r="P51" s="898">
        <f t="shared" si="19"/>
        <v>0</v>
      </c>
      <c r="Q51" s="898">
        <f t="shared" si="19"/>
        <v>0</v>
      </c>
      <c r="R51" s="896">
        <f t="shared" si="19"/>
        <v>0</v>
      </c>
      <c r="S51" s="896">
        <f t="shared" si="17"/>
        <v>0</v>
      </c>
      <c r="T51" s="896">
        <f t="shared" si="17"/>
        <v>0</v>
      </c>
      <c r="U51" s="896">
        <f t="shared" si="17"/>
        <v>0</v>
      </c>
      <c r="V51" s="896">
        <f t="shared" si="17"/>
        <v>0</v>
      </c>
      <c r="W51" s="896">
        <f t="shared" si="17"/>
        <v>0</v>
      </c>
      <c r="X51" s="896">
        <f t="shared" si="17"/>
        <v>0</v>
      </c>
      <c r="Y51" s="896">
        <f t="shared" si="17"/>
        <v>0</v>
      </c>
      <c r="Z51" s="896">
        <f t="shared" si="17"/>
        <v>0</v>
      </c>
      <c r="AA51" s="896">
        <f t="shared" si="17"/>
        <v>0</v>
      </c>
      <c r="AB51" s="896">
        <f t="shared" si="17"/>
        <v>0</v>
      </c>
      <c r="AC51" s="896">
        <f t="shared" si="26"/>
        <v>0</v>
      </c>
      <c r="AD51" s="896">
        <f t="shared" si="26"/>
        <v>0</v>
      </c>
      <c r="AE51" s="896">
        <f t="shared" si="26"/>
        <v>0</v>
      </c>
      <c r="AF51" s="896">
        <f t="shared" si="26"/>
        <v>0</v>
      </c>
      <c r="AG51" s="896">
        <f t="shared" si="26"/>
        <v>0</v>
      </c>
      <c r="AH51" s="896">
        <f t="shared" si="26"/>
        <v>0</v>
      </c>
      <c r="AI51" s="896">
        <f t="shared" si="26"/>
        <v>0</v>
      </c>
      <c r="AJ51" s="896">
        <f t="shared" si="26"/>
        <v>0</v>
      </c>
      <c r="AK51" s="896">
        <f t="shared" si="26"/>
        <v>0</v>
      </c>
      <c r="AL51" s="896">
        <f t="shared" si="26"/>
        <v>0</v>
      </c>
      <c r="AM51" s="896">
        <f t="shared" si="27"/>
        <v>0</v>
      </c>
      <c r="AN51" s="896">
        <f t="shared" si="27"/>
        <v>0</v>
      </c>
      <c r="AO51" s="896">
        <f t="shared" si="27"/>
        <v>0</v>
      </c>
      <c r="AP51" s="896">
        <f t="shared" si="27"/>
        <v>0</v>
      </c>
      <c r="AQ51" s="896">
        <f t="shared" si="27"/>
        <v>0</v>
      </c>
      <c r="AR51" s="896">
        <f t="shared" si="27"/>
        <v>0</v>
      </c>
      <c r="AS51" s="896">
        <f t="shared" si="27"/>
        <v>0</v>
      </c>
      <c r="AT51" s="896">
        <f t="shared" si="27"/>
        <v>0</v>
      </c>
      <c r="AU51" s="896">
        <f t="shared" si="27"/>
        <v>0</v>
      </c>
      <c r="AV51" s="896">
        <f t="shared" si="27"/>
        <v>0</v>
      </c>
      <c r="AW51" s="896">
        <f t="shared" si="20"/>
        <v>0</v>
      </c>
      <c r="AX51" s="896">
        <f t="shared" si="20"/>
        <v>0</v>
      </c>
      <c r="AY51" s="896">
        <f t="shared" si="20"/>
        <v>0</v>
      </c>
      <c r="AZ51" s="896">
        <f t="shared" si="20"/>
        <v>0</v>
      </c>
      <c r="BA51" s="896">
        <f t="shared" si="20"/>
        <v>0</v>
      </c>
      <c r="BB51" s="896">
        <f t="shared" si="20"/>
        <v>0</v>
      </c>
      <c r="BC51" s="896">
        <f t="shared" si="20"/>
        <v>0</v>
      </c>
      <c r="BD51" s="896">
        <f t="shared" si="20"/>
        <v>0</v>
      </c>
      <c r="BE51" s="896">
        <f t="shared" si="20"/>
        <v>0</v>
      </c>
      <c r="BF51" s="896">
        <f t="shared" si="20"/>
        <v>0</v>
      </c>
      <c r="BG51" s="896">
        <f t="shared" si="16"/>
        <v>0</v>
      </c>
      <c r="BH51" s="896">
        <f t="shared" si="16"/>
        <v>0</v>
      </c>
      <c r="BI51" s="896">
        <f t="shared" si="16"/>
        <v>0</v>
      </c>
      <c r="BJ51" s="896">
        <f t="shared" si="16"/>
        <v>0</v>
      </c>
      <c r="BK51" s="896">
        <f t="shared" si="16"/>
        <v>0</v>
      </c>
      <c r="BL51" s="896">
        <f t="shared" ref="BG51:BP71" si="28">IF(ISERROR(Plan),0,Plan)</f>
        <v>0</v>
      </c>
      <c r="BM51" s="896">
        <f t="shared" si="28"/>
        <v>0</v>
      </c>
      <c r="BN51" s="896">
        <f t="shared" si="28"/>
        <v>0</v>
      </c>
      <c r="BO51" s="896">
        <f t="shared" si="28"/>
        <v>0</v>
      </c>
      <c r="BP51" s="896">
        <f t="shared" si="28"/>
        <v>0</v>
      </c>
    </row>
    <row r="52" spans="1:68" x14ac:dyDescent="0.25">
      <c r="A52" s="476" t="s">
        <v>185</v>
      </c>
      <c r="B52" s="473"/>
      <c r="C52" s="487" t="str">
        <f>IF($B52&lt;&gt;"",VLOOKUP($B52,COSTS_Wizard[#All],2),"")</f>
        <v/>
      </c>
      <c r="D52" s="492" t="str">
        <f>IF($B52&lt;&gt;"",VLOOKUP($B52,COSTS_Wizard[#All],3)/24,"")</f>
        <v/>
      </c>
      <c r="E52" s="499"/>
      <c r="F52" s="513"/>
      <c r="G52" s="185" t="str">
        <f t="shared" si="18"/>
        <v/>
      </c>
      <c r="H52" s="503"/>
      <c r="I52" s="898">
        <f t="shared" si="19"/>
        <v>0</v>
      </c>
      <c r="J52" s="898">
        <f t="shared" si="19"/>
        <v>0</v>
      </c>
      <c r="K52" s="898">
        <f t="shared" si="19"/>
        <v>0</v>
      </c>
      <c r="L52" s="898">
        <f t="shared" si="19"/>
        <v>0</v>
      </c>
      <c r="M52" s="898">
        <f t="shared" si="19"/>
        <v>0</v>
      </c>
      <c r="N52" s="898">
        <f t="shared" si="19"/>
        <v>0</v>
      </c>
      <c r="O52" s="898">
        <f t="shared" si="19"/>
        <v>0</v>
      </c>
      <c r="P52" s="898">
        <f t="shared" si="19"/>
        <v>0</v>
      </c>
      <c r="Q52" s="898">
        <f t="shared" si="19"/>
        <v>0</v>
      </c>
      <c r="R52" s="896">
        <f t="shared" si="19"/>
        <v>0</v>
      </c>
      <c r="S52" s="896">
        <f t="shared" si="17"/>
        <v>0</v>
      </c>
      <c r="T52" s="896">
        <f t="shared" si="17"/>
        <v>0</v>
      </c>
      <c r="U52" s="896">
        <f t="shared" si="17"/>
        <v>0</v>
      </c>
      <c r="V52" s="896">
        <f t="shared" si="17"/>
        <v>0</v>
      </c>
      <c r="W52" s="896">
        <f t="shared" si="17"/>
        <v>0</v>
      </c>
      <c r="X52" s="896">
        <f t="shared" si="17"/>
        <v>0</v>
      </c>
      <c r="Y52" s="896">
        <f t="shared" si="17"/>
        <v>0</v>
      </c>
      <c r="Z52" s="896">
        <f t="shared" si="17"/>
        <v>0</v>
      </c>
      <c r="AA52" s="896">
        <f t="shared" si="17"/>
        <v>0</v>
      </c>
      <c r="AB52" s="896">
        <f t="shared" si="17"/>
        <v>0</v>
      </c>
      <c r="AC52" s="896">
        <f t="shared" si="26"/>
        <v>0</v>
      </c>
      <c r="AD52" s="896">
        <f t="shared" si="26"/>
        <v>0</v>
      </c>
      <c r="AE52" s="896">
        <f t="shared" si="26"/>
        <v>0</v>
      </c>
      <c r="AF52" s="896">
        <f t="shared" si="26"/>
        <v>0</v>
      </c>
      <c r="AG52" s="896">
        <f t="shared" si="26"/>
        <v>0</v>
      </c>
      <c r="AH52" s="896">
        <f t="shared" si="26"/>
        <v>0</v>
      </c>
      <c r="AI52" s="896">
        <f t="shared" si="26"/>
        <v>0</v>
      </c>
      <c r="AJ52" s="896">
        <f t="shared" si="26"/>
        <v>0</v>
      </c>
      <c r="AK52" s="896">
        <f t="shared" si="26"/>
        <v>0</v>
      </c>
      <c r="AL52" s="896">
        <f t="shared" si="26"/>
        <v>0</v>
      </c>
      <c r="AM52" s="896">
        <f t="shared" si="27"/>
        <v>0</v>
      </c>
      <c r="AN52" s="896">
        <f t="shared" si="27"/>
        <v>0</v>
      </c>
      <c r="AO52" s="896">
        <f t="shared" si="27"/>
        <v>0</v>
      </c>
      <c r="AP52" s="896">
        <f t="shared" si="27"/>
        <v>0</v>
      </c>
      <c r="AQ52" s="896">
        <f t="shared" si="27"/>
        <v>0</v>
      </c>
      <c r="AR52" s="896">
        <f t="shared" si="27"/>
        <v>0</v>
      </c>
      <c r="AS52" s="896">
        <f t="shared" si="27"/>
        <v>0</v>
      </c>
      <c r="AT52" s="896">
        <f t="shared" si="27"/>
        <v>0</v>
      </c>
      <c r="AU52" s="896">
        <f t="shared" si="27"/>
        <v>0</v>
      </c>
      <c r="AV52" s="896">
        <f t="shared" si="27"/>
        <v>0</v>
      </c>
      <c r="AW52" s="896">
        <f t="shared" si="20"/>
        <v>0</v>
      </c>
      <c r="AX52" s="896">
        <f t="shared" si="20"/>
        <v>0</v>
      </c>
      <c r="AY52" s="896">
        <f t="shared" si="20"/>
        <v>0</v>
      </c>
      <c r="AZ52" s="896">
        <f t="shared" si="20"/>
        <v>0</v>
      </c>
      <c r="BA52" s="896">
        <f t="shared" si="20"/>
        <v>0</v>
      </c>
      <c r="BB52" s="896">
        <f t="shared" si="20"/>
        <v>0</v>
      </c>
      <c r="BC52" s="896">
        <f t="shared" si="20"/>
        <v>0</v>
      </c>
      <c r="BD52" s="896">
        <f t="shared" si="20"/>
        <v>0</v>
      </c>
      <c r="BE52" s="896">
        <f t="shared" si="20"/>
        <v>0</v>
      </c>
      <c r="BF52" s="896">
        <f t="shared" si="20"/>
        <v>0</v>
      </c>
      <c r="BG52" s="896">
        <f t="shared" si="28"/>
        <v>0</v>
      </c>
      <c r="BH52" s="896">
        <f t="shared" si="28"/>
        <v>0</v>
      </c>
      <c r="BI52" s="896">
        <f t="shared" si="28"/>
        <v>0</v>
      </c>
      <c r="BJ52" s="896">
        <f t="shared" si="28"/>
        <v>0</v>
      </c>
      <c r="BK52" s="896">
        <f t="shared" si="28"/>
        <v>0</v>
      </c>
      <c r="BL52" s="896">
        <f t="shared" si="28"/>
        <v>0</v>
      </c>
      <c r="BM52" s="896">
        <f t="shared" si="28"/>
        <v>0</v>
      </c>
      <c r="BN52" s="896">
        <f t="shared" si="28"/>
        <v>0</v>
      </c>
      <c r="BO52" s="896">
        <f t="shared" si="28"/>
        <v>0</v>
      </c>
      <c r="BP52" s="896">
        <f t="shared" si="28"/>
        <v>0</v>
      </c>
    </row>
    <row r="53" spans="1:68" x14ac:dyDescent="0.25">
      <c r="A53" s="476" t="s">
        <v>184</v>
      </c>
      <c r="B53" s="473"/>
      <c r="C53" s="487" t="str">
        <f>IF($B53&lt;&gt;"",VLOOKUP($B53,COSTS_Healer[#All],2),"")</f>
        <v/>
      </c>
      <c r="D53" s="492" t="str">
        <f>IF($B53&lt;&gt;"",VLOOKUP($B53,COSTS_Healer[#All],3)/24,"")</f>
        <v/>
      </c>
      <c r="E53" s="499"/>
      <c r="F53" s="513"/>
      <c r="G53" s="185" t="str">
        <f t="shared" si="18"/>
        <v/>
      </c>
      <c r="H53" s="503"/>
      <c r="I53" s="898">
        <f t="shared" si="19"/>
        <v>0</v>
      </c>
      <c r="J53" s="898">
        <f t="shared" si="19"/>
        <v>0</v>
      </c>
      <c r="K53" s="898">
        <f t="shared" si="19"/>
        <v>0</v>
      </c>
      <c r="L53" s="898">
        <f t="shared" si="19"/>
        <v>0</v>
      </c>
      <c r="M53" s="898">
        <f t="shared" si="19"/>
        <v>0</v>
      </c>
      <c r="N53" s="898">
        <f t="shared" si="19"/>
        <v>0</v>
      </c>
      <c r="O53" s="898">
        <f t="shared" si="19"/>
        <v>0</v>
      </c>
      <c r="P53" s="898">
        <f t="shared" si="19"/>
        <v>0</v>
      </c>
      <c r="Q53" s="898">
        <f t="shared" si="19"/>
        <v>0</v>
      </c>
      <c r="R53" s="896">
        <f t="shared" si="19"/>
        <v>0</v>
      </c>
      <c r="S53" s="896">
        <f t="shared" si="17"/>
        <v>0</v>
      </c>
      <c r="T53" s="896">
        <f t="shared" si="17"/>
        <v>0</v>
      </c>
      <c r="U53" s="896">
        <f t="shared" si="17"/>
        <v>0</v>
      </c>
      <c r="V53" s="896">
        <f t="shared" si="17"/>
        <v>0</v>
      </c>
      <c r="W53" s="896">
        <f t="shared" si="17"/>
        <v>0</v>
      </c>
      <c r="X53" s="896">
        <f t="shared" si="17"/>
        <v>0</v>
      </c>
      <c r="Y53" s="896">
        <f t="shared" si="17"/>
        <v>0</v>
      </c>
      <c r="Z53" s="896">
        <f t="shared" si="17"/>
        <v>0</v>
      </c>
      <c r="AA53" s="896">
        <f t="shared" si="17"/>
        <v>0</v>
      </c>
      <c r="AB53" s="896">
        <f t="shared" si="17"/>
        <v>0</v>
      </c>
      <c r="AC53" s="896">
        <f t="shared" si="26"/>
        <v>0</v>
      </c>
      <c r="AD53" s="896">
        <f t="shared" si="26"/>
        <v>0</v>
      </c>
      <c r="AE53" s="896">
        <f t="shared" si="26"/>
        <v>0</v>
      </c>
      <c r="AF53" s="896">
        <f t="shared" si="26"/>
        <v>0</v>
      </c>
      <c r="AG53" s="896">
        <f t="shared" si="26"/>
        <v>0</v>
      </c>
      <c r="AH53" s="896">
        <f t="shared" si="26"/>
        <v>0</v>
      </c>
      <c r="AI53" s="896">
        <f t="shared" si="26"/>
        <v>0</v>
      </c>
      <c r="AJ53" s="896">
        <f t="shared" si="26"/>
        <v>0</v>
      </c>
      <c r="AK53" s="896">
        <f t="shared" si="26"/>
        <v>0</v>
      </c>
      <c r="AL53" s="896">
        <f t="shared" si="26"/>
        <v>0</v>
      </c>
      <c r="AM53" s="896">
        <f t="shared" si="27"/>
        <v>0</v>
      </c>
      <c r="AN53" s="896">
        <f t="shared" si="27"/>
        <v>0</v>
      </c>
      <c r="AO53" s="896">
        <f t="shared" si="27"/>
        <v>0</v>
      </c>
      <c r="AP53" s="896">
        <f t="shared" si="27"/>
        <v>0</v>
      </c>
      <c r="AQ53" s="896">
        <f t="shared" si="27"/>
        <v>0</v>
      </c>
      <c r="AR53" s="896">
        <f t="shared" si="27"/>
        <v>0</v>
      </c>
      <c r="AS53" s="896">
        <f t="shared" si="27"/>
        <v>0</v>
      </c>
      <c r="AT53" s="896">
        <f t="shared" si="27"/>
        <v>0</v>
      </c>
      <c r="AU53" s="896">
        <f t="shared" si="27"/>
        <v>0</v>
      </c>
      <c r="AV53" s="896">
        <f t="shared" si="27"/>
        <v>0</v>
      </c>
      <c r="AW53" s="896">
        <f t="shared" si="20"/>
        <v>0</v>
      </c>
      <c r="AX53" s="896">
        <f t="shared" si="20"/>
        <v>0</v>
      </c>
      <c r="AY53" s="896">
        <f t="shared" si="20"/>
        <v>0</v>
      </c>
      <c r="AZ53" s="896">
        <f t="shared" si="20"/>
        <v>0</v>
      </c>
      <c r="BA53" s="896">
        <f t="shared" si="20"/>
        <v>0</v>
      </c>
      <c r="BB53" s="896">
        <f t="shared" si="20"/>
        <v>0</v>
      </c>
      <c r="BC53" s="896">
        <f t="shared" si="20"/>
        <v>0</v>
      </c>
      <c r="BD53" s="896">
        <f t="shared" si="20"/>
        <v>0</v>
      </c>
      <c r="BE53" s="896">
        <f t="shared" si="20"/>
        <v>0</v>
      </c>
      <c r="BF53" s="896">
        <f t="shared" si="20"/>
        <v>0</v>
      </c>
      <c r="BG53" s="896">
        <f t="shared" si="28"/>
        <v>0</v>
      </c>
      <c r="BH53" s="896">
        <f t="shared" si="28"/>
        <v>0</v>
      </c>
      <c r="BI53" s="896">
        <f t="shared" si="28"/>
        <v>0</v>
      </c>
      <c r="BJ53" s="896">
        <f t="shared" si="28"/>
        <v>0</v>
      </c>
      <c r="BK53" s="896">
        <f t="shared" si="28"/>
        <v>0</v>
      </c>
      <c r="BL53" s="896">
        <f t="shared" si="28"/>
        <v>0</v>
      </c>
      <c r="BM53" s="896">
        <f t="shared" si="28"/>
        <v>0</v>
      </c>
      <c r="BN53" s="896">
        <f t="shared" si="28"/>
        <v>0</v>
      </c>
      <c r="BO53" s="896">
        <f t="shared" si="28"/>
        <v>0</v>
      </c>
      <c r="BP53" s="896">
        <f t="shared" si="28"/>
        <v>0</v>
      </c>
    </row>
    <row r="54" spans="1:68" x14ac:dyDescent="0.25">
      <c r="A54" s="476" t="s">
        <v>57</v>
      </c>
      <c r="B54" s="473"/>
      <c r="C54" s="487" t="str">
        <f>IF($B54&lt;&gt;"",VLOOKUP($B54,COSTS_Dragon[#All],2),"")</f>
        <v/>
      </c>
      <c r="D54" s="492" t="str">
        <f>IF($B54&lt;&gt;"",VLOOKUP($B54,COSTS_Dragon[#All],3)/24,"")</f>
        <v/>
      </c>
      <c r="E54" s="499"/>
      <c r="F54" s="513"/>
      <c r="G54" s="185" t="str">
        <f t="shared" si="18"/>
        <v/>
      </c>
      <c r="H54" s="503"/>
      <c r="I54" s="898">
        <f t="shared" si="19"/>
        <v>0</v>
      </c>
      <c r="J54" s="898">
        <f t="shared" si="19"/>
        <v>0</v>
      </c>
      <c r="K54" s="898">
        <f t="shared" si="19"/>
        <v>0</v>
      </c>
      <c r="L54" s="898">
        <f t="shared" si="19"/>
        <v>0</v>
      </c>
      <c r="M54" s="898">
        <f t="shared" si="19"/>
        <v>0</v>
      </c>
      <c r="N54" s="898">
        <f t="shared" si="19"/>
        <v>0</v>
      </c>
      <c r="O54" s="898">
        <f t="shared" si="19"/>
        <v>0</v>
      </c>
      <c r="P54" s="898">
        <f t="shared" si="19"/>
        <v>0</v>
      </c>
      <c r="Q54" s="898">
        <f t="shared" si="19"/>
        <v>0</v>
      </c>
      <c r="R54" s="896">
        <f t="shared" si="19"/>
        <v>0</v>
      </c>
      <c r="S54" s="896">
        <f t="shared" si="17"/>
        <v>0</v>
      </c>
      <c r="T54" s="896">
        <f t="shared" si="17"/>
        <v>0</v>
      </c>
      <c r="U54" s="896">
        <f t="shared" si="17"/>
        <v>0</v>
      </c>
      <c r="V54" s="896">
        <f t="shared" si="17"/>
        <v>0</v>
      </c>
      <c r="W54" s="896">
        <f t="shared" si="17"/>
        <v>0</v>
      </c>
      <c r="X54" s="896">
        <f t="shared" si="17"/>
        <v>0</v>
      </c>
      <c r="Y54" s="896">
        <f t="shared" si="17"/>
        <v>0</v>
      </c>
      <c r="Z54" s="896">
        <f t="shared" si="17"/>
        <v>0</v>
      </c>
      <c r="AA54" s="896">
        <f t="shared" si="17"/>
        <v>0</v>
      </c>
      <c r="AB54" s="896">
        <f t="shared" si="17"/>
        <v>0</v>
      </c>
      <c r="AC54" s="896">
        <f t="shared" si="26"/>
        <v>0</v>
      </c>
      <c r="AD54" s="896">
        <f t="shared" si="26"/>
        <v>0</v>
      </c>
      <c r="AE54" s="896">
        <f t="shared" si="26"/>
        <v>0</v>
      </c>
      <c r="AF54" s="896">
        <f t="shared" si="26"/>
        <v>0</v>
      </c>
      <c r="AG54" s="896">
        <f t="shared" si="26"/>
        <v>0</v>
      </c>
      <c r="AH54" s="896">
        <f t="shared" si="26"/>
        <v>0</v>
      </c>
      <c r="AI54" s="896">
        <f t="shared" si="26"/>
        <v>0</v>
      </c>
      <c r="AJ54" s="896">
        <f t="shared" si="26"/>
        <v>0</v>
      </c>
      <c r="AK54" s="896">
        <f t="shared" si="26"/>
        <v>0</v>
      </c>
      <c r="AL54" s="896">
        <f t="shared" si="26"/>
        <v>0</v>
      </c>
      <c r="AM54" s="896">
        <f t="shared" si="27"/>
        <v>0</v>
      </c>
      <c r="AN54" s="896">
        <f t="shared" si="27"/>
        <v>0</v>
      </c>
      <c r="AO54" s="896">
        <f t="shared" si="27"/>
        <v>0</v>
      </c>
      <c r="AP54" s="896">
        <f t="shared" si="27"/>
        <v>0</v>
      </c>
      <c r="AQ54" s="896">
        <f t="shared" si="27"/>
        <v>0</v>
      </c>
      <c r="AR54" s="896">
        <f t="shared" si="27"/>
        <v>0</v>
      </c>
      <c r="AS54" s="896">
        <f t="shared" si="27"/>
        <v>0</v>
      </c>
      <c r="AT54" s="896">
        <f t="shared" si="27"/>
        <v>0</v>
      </c>
      <c r="AU54" s="896">
        <f t="shared" si="27"/>
        <v>0</v>
      </c>
      <c r="AV54" s="896">
        <f t="shared" si="27"/>
        <v>0</v>
      </c>
      <c r="AW54" s="896">
        <f t="shared" si="20"/>
        <v>0</v>
      </c>
      <c r="AX54" s="896">
        <f t="shared" si="20"/>
        <v>0</v>
      </c>
      <c r="AY54" s="896">
        <f t="shared" si="20"/>
        <v>0</v>
      </c>
      <c r="AZ54" s="896">
        <f t="shared" si="20"/>
        <v>0</v>
      </c>
      <c r="BA54" s="896">
        <f t="shared" si="20"/>
        <v>0</v>
      </c>
      <c r="BB54" s="896">
        <f t="shared" si="20"/>
        <v>0</v>
      </c>
      <c r="BC54" s="896">
        <f t="shared" si="20"/>
        <v>0</v>
      </c>
      <c r="BD54" s="896">
        <f t="shared" si="20"/>
        <v>0</v>
      </c>
      <c r="BE54" s="896">
        <f t="shared" si="20"/>
        <v>0</v>
      </c>
      <c r="BF54" s="896">
        <f t="shared" si="20"/>
        <v>0</v>
      </c>
      <c r="BG54" s="896">
        <f t="shared" si="28"/>
        <v>0</v>
      </c>
      <c r="BH54" s="896">
        <f t="shared" si="28"/>
        <v>0</v>
      </c>
      <c r="BI54" s="896">
        <f t="shared" si="28"/>
        <v>0</v>
      </c>
      <c r="BJ54" s="896">
        <f t="shared" si="28"/>
        <v>0</v>
      </c>
      <c r="BK54" s="896">
        <f t="shared" si="28"/>
        <v>0</v>
      </c>
      <c r="BL54" s="896">
        <f t="shared" si="28"/>
        <v>0</v>
      </c>
      <c r="BM54" s="896">
        <f t="shared" si="28"/>
        <v>0</v>
      </c>
      <c r="BN54" s="896">
        <f t="shared" si="28"/>
        <v>0</v>
      </c>
      <c r="BO54" s="896">
        <f t="shared" si="28"/>
        <v>0</v>
      </c>
      <c r="BP54" s="896">
        <f t="shared" si="28"/>
        <v>0</v>
      </c>
    </row>
    <row r="55" spans="1:68" ht="15.75" thickBot="1" x14ac:dyDescent="0.3">
      <c r="A55" s="476" t="s">
        <v>58</v>
      </c>
      <c r="B55" s="473"/>
      <c r="C55" s="487" t="str">
        <f>IF($B55&lt;&gt;"",VLOOKUP($B55,COSTS_PEKKA[#All],2),"")</f>
        <v/>
      </c>
      <c r="D55" s="492" t="str">
        <f>IF($B55&lt;&gt;"",VLOOKUP($B55,COSTS_PEKKA[#All],3)/24,"")</f>
        <v/>
      </c>
      <c r="E55" s="499"/>
      <c r="F55" s="513"/>
      <c r="G55" s="185" t="str">
        <f t="shared" si="18"/>
        <v/>
      </c>
      <c r="H55" s="503"/>
      <c r="I55" s="898">
        <f t="shared" si="19"/>
        <v>0</v>
      </c>
      <c r="J55" s="898">
        <f t="shared" si="19"/>
        <v>0</v>
      </c>
      <c r="K55" s="898">
        <f t="shared" si="19"/>
        <v>0</v>
      </c>
      <c r="L55" s="898">
        <f t="shared" si="19"/>
        <v>0</v>
      </c>
      <c r="M55" s="898">
        <f t="shared" si="19"/>
        <v>0</v>
      </c>
      <c r="N55" s="898">
        <f t="shared" si="19"/>
        <v>0</v>
      </c>
      <c r="O55" s="898">
        <f t="shared" si="19"/>
        <v>0</v>
      </c>
      <c r="P55" s="898">
        <f t="shared" si="19"/>
        <v>0</v>
      </c>
      <c r="Q55" s="898">
        <f t="shared" si="19"/>
        <v>0</v>
      </c>
      <c r="R55" s="896">
        <f t="shared" si="19"/>
        <v>0</v>
      </c>
      <c r="S55" s="896">
        <f t="shared" si="17"/>
        <v>0</v>
      </c>
      <c r="T55" s="896">
        <f t="shared" si="17"/>
        <v>0</v>
      </c>
      <c r="U55" s="896">
        <f t="shared" si="17"/>
        <v>0</v>
      </c>
      <c r="V55" s="896">
        <f t="shared" si="17"/>
        <v>0</v>
      </c>
      <c r="W55" s="896">
        <f t="shared" si="17"/>
        <v>0</v>
      </c>
      <c r="X55" s="896">
        <f t="shared" si="17"/>
        <v>0</v>
      </c>
      <c r="Y55" s="896">
        <f t="shared" si="17"/>
        <v>0</v>
      </c>
      <c r="Z55" s="896">
        <f t="shared" si="17"/>
        <v>0</v>
      </c>
      <c r="AA55" s="896">
        <f t="shared" si="17"/>
        <v>0</v>
      </c>
      <c r="AB55" s="896">
        <f t="shared" si="17"/>
        <v>0</v>
      </c>
      <c r="AC55" s="896">
        <f t="shared" si="26"/>
        <v>0</v>
      </c>
      <c r="AD55" s="896">
        <f t="shared" si="26"/>
        <v>0</v>
      </c>
      <c r="AE55" s="896">
        <f t="shared" si="26"/>
        <v>0</v>
      </c>
      <c r="AF55" s="896">
        <f t="shared" si="26"/>
        <v>0</v>
      </c>
      <c r="AG55" s="896">
        <f t="shared" si="26"/>
        <v>0</v>
      </c>
      <c r="AH55" s="896">
        <f t="shared" si="26"/>
        <v>0</v>
      </c>
      <c r="AI55" s="896">
        <f t="shared" si="26"/>
        <v>0</v>
      </c>
      <c r="AJ55" s="896">
        <f t="shared" si="26"/>
        <v>0</v>
      </c>
      <c r="AK55" s="896">
        <f t="shared" si="26"/>
        <v>0</v>
      </c>
      <c r="AL55" s="896">
        <f t="shared" si="26"/>
        <v>0</v>
      </c>
      <c r="AM55" s="896">
        <f t="shared" si="27"/>
        <v>0</v>
      </c>
      <c r="AN55" s="896">
        <f t="shared" si="27"/>
        <v>0</v>
      </c>
      <c r="AO55" s="896">
        <f t="shared" si="27"/>
        <v>0</v>
      </c>
      <c r="AP55" s="896">
        <f t="shared" si="27"/>
        <v>0</v>
      </c>
      <c r="AQ55" s="896">
        <f t="shared" si="27"/>
        <v>0</v>
      </c>
      <c r="AR55" s="896">
        <f t="shared" si="27"/>
        <v>0</v>
      </c>
      <c r="AS55" s="896">
        <f t="shared" si="27"/>
        <v>0</v>
      </c>
      <c r="AT55" s="896">
        <f t="shared" si="27"/>
        <v>0</v>
      </c>
      <c r="AU55" s="896">
        <f t="shared" si="27"/>
        <v>0</v>
      </c>
      <c r="AV55" s="896">
        <f t="shared" si="27"/>
        <v>0</v>
      </c>
      <c r="AW55" s="896">
        <f t="shared" si="20"/>
        <v>0</v>
      </c>
      <c r="AX55" s="896">
        <f t="shared" si="20"/>
        <v>0</v>
      </c>
      <c r="AY55" s="896">
        <f t="shared" si="20"/>
        <v>0</v>
      </c>
      <c r="AZ55" s="896">
        <f t="shared" si="20"/>
        <v>0</v>
      </c>
      <c r="BA55" s="896">
        <f t="shared" si="20"/>
        <v>0</v>
      </c>
      <c r="BB55" s="896">
        <f t="shared" si="20"/>
        <v>0</v>
      </c>
      <c r="BC55" s="896">
        <f t="shared" si="20"/>
        <v>0</v>
      </c>
      <c r="BD55" s="896">
        <f t="shared" si="20"/>
        <v>0</v>
      </c>
      <c r="BE55" s="896">
        <f t="shared" si="20"/>
        <v>0</v>
      </c>
      <c r="BF55" s="896">
        <f t="shared" si="20"/>
        <v>0</v>
      </c>
      <c r="BG55" s="896">
        <f t="shared" si="28"/>
        <v>0</v>
      </c>
      <c r="BH55" s="896">
        <f t="shared" si="28"/>
        <v>0</v>
      </c>
      <c r="BI55" s="896">
        <f t="shared" si="28"/>
        <v>0</v>
      </c>
      <c r="BJ55" s="896">
        <f t="shared" si="28"/>
        <v>0</v>
      </c>
      <c r="BK55" s="896">
        <f t="shared" si="28"/>
        <v>0</v>
      </c>
      <c r="BL55" s="896">
        <f t="shared" si="28"/>
        <v>0</v>
      </c>
      <c r="BM55" s="896">
        <f t="shared" si="28"/>
        <v>0</v>
      </c>
      <c r="BN55" s="896">
        <f t="shared" si="28"/>
        <v>0</v>
      </c>
      <c r="BO55" s="896">
        <f t="shared" si="28"/>
        <v>0</v>
      </c>
      <c r="BP55" s="896">
        <f t="shared" si="28"/>
        <v>0</v>
      </c>
    </row>
    <row r="56" spans="1:68" x14ac:dyDescent="0.25">
      <c r="A56" s="482" t="s">
        <v>183</v>
      </c>
      <c r="B56" s="483"/>
      <c r="C56" s="305" t="str">
        <f>IF($B56&lt;&gt;"",VLOOKUP($B56,COSTS_Minion[#All],2),"")</f>
        <v/>
      </c>
      <c r="D56" s="491" t="str">
        <f>IF($B56&lt;&gt;"",VLOOKUP($B56,COSTS_Minion[#All],3)/24,"")</f>
        <v/>
      </c>
      <c r="E56" s="581"/>
      <c r="F56" s="582"/>
      <c r="G56" s="583" t="str">
        <f t="shared" si="18"/>
        <v/>
      </c>
      <c r="H56" s="584"/>
      <c r="I56" s="898">
        <f t="shared" si="19"/>
        <v>0</v>
      </c>
      <c r="J56" s="898">
        <f t="shared" si="19"/>
        <v>0</v>
      </c>
      <c r="K56" s="898">
        <f t="shared" si="19"/>
        <v>0</v>
      </c>
      <c r="L56" s="898">
        <f t="shared" si="19"/>
        <v>0</v>
      </c>
      <c r="M56" s="898">
        <f t="shared" si="19"/>
        <v>0</v>
      </c>
      <c r="N56" s="898">
        <f t="shared" si="19"/>
        <v>0</v>
      </c>
      <c r="O56" s="898">
        <f t="shared" si="19"/>
        <v>0</v>
      </c>
      <c r="P56" s="898">
        <f t="shared" si="19"/>
        <v>0</v>
      </c>
      <c r="Q56" s="898">
        <f t="shared" si="19"/>
        <v>0</v>
      </c>
      <c r="R56" s="896">
        <f t="shared" si="19"/>
        <v>0</v>
      </c>
      <c r="S56" s="896">
        <f t="shared" si="17"/>
        <v>0</v>
      </c>
      <c r="T56" s="896">
        <f t="shared" si="17"/>
        <v>0</v>
      </c>
      <c r="U56" s="896">
        <f t="shared" si="17"/>
        <v>0</v>
      </c>
      <c r="V56" s="896">
        <f t="shared" si="17"/>
        <v>0</v>
      </c>
      <c r="W56" s="896">
        <f t="shared" si="17"/>
        <v>0</v>
      </c>
      <c r="X56" s="896">
        <f t="shared" si="17"/>
        <v>0</v>
      </c>
      <c r="Y56" s="896">
        <f t="shared" si="17"/>
        <v>0</v>
      </c>
      <c r="Z56" s="896">
        <f t="shared" si="17"/>
        <v>0</v>
      </c>
      <c r="AA56" s="896">
        <f t="shared" si="17"/>
        <v>0</v>
      </c>
      <c r="AB56" s="896">
        <f t="shared" si="17"/>
        <v>0</v>
      </c>
      <c r="AC56" s="896">
        <f t="shared" si="26"/>
        <v>0</v>
      </c>
      <c r="AD56" s="896">
        <f t="shared" si="26"/>
        <v>0</v>
      </c>
      <c r="AE56" s="896">
        <f t="shared" si="26"/>
        <v>0</v>
      </c>
      <c r="AF56" s="896">
        <f t="shared" si="26"/>
        <v>0</v>
      </c>
      <c r="AG56" s="896">
        <f t="shared" si="26"/>
        <v>0</v>
      </c>
      <c r="AH56" s="896">
        <f t="shared" si="26"/>
        <v>0</v>
      </c>
      <c r="AI56" s="896">
        <f t="shared" si="26"/>
        <v>0</v>
      </c>
      <c r="AJ56" s="896">
        <f t="shared" si="26"/>
        <v>0</v>
      </c>
      <c r="AK56" s="896">
        <f t="shared" si="26"/>
        <v>0</v>
      </c>
      <c r="AL56" s="896">
        <f t="shared" si="26"/>
        <v>0</v>
      </c>
      <c r="AM56" s="896">
        <f t="shared" si="27"/>
        <v>0</v>
      </c>
      <c r="AN56" s="896">
        <f t="shared" si="27"/>
        <v>0</v>
      </c>
      <c r="AO56" s="896">
        <f t="shared" si="27"/>
        <v>0</v>
      </c>
      <c r="AP56" s="896">
        <f t="shared" si="27"/>
        <v>0</v>
      </c>
      <c r="AQ56" s="896">
        <f t="shared" si="27"/>
        <v>0</v>
      </c>
      <c r="AR56" s="896">
        <f t="shared" si="27"/>
        <v>0</v>
      </c>
      <c r="AS56" s="896">
        <f t="shared" si="27"/>
        <v>0</v>
      </c>
      <c r="AT56" s="896">
        <f t="shared" si="27"/>
        <v>0</v>
      </c>
      <c r="AU56" s="896">
        <f t="shared" si="27"/>
        <v>0</v>
      </c>
      <c r="AV56" s="896">
        <f t="shared" si="27"/>
        <v>0</v>
      </c>
      <c r="AW56" s="896">
        <f t="shared" si="20"/>
        <v>0</v>
      </c>
      <c r="AX56" s="896">
        <f t="shared" si="20"/>
        <v>0</v>
      </c>
      <c r="AY56" s="896">
        <f t="shared" si="20"/>
        <v>0</v>
      </c>
      <c r="AZ56" s="896">
        <f t="shared" si="20"/>
        <v>0</v>
      </c>
      <c r="BA56" s="896">
        <f t="shared" si="20"/>
        <v>0</v>
      </c>
      <c r="BB56" s="896">
        <f t="shared" si="20"/>
        <v>0</v>
      </c>
      <c r="BC56" s="896">
        <f t="shared" si="20"/>
        <v>0</v>
      </c>
      <c r="BD56" s="896">
        <f t="shared" si="20"/>
        <v>0</v>
      </c>
      <c r="BE56" s="896">
        <f t="shared" si="20"/>
        <v>0</v>
      </c>
      <c r="BF56" s="896">
        <f t="shared" si="20"/>
        <v>0</v>
      </c>
      <c r="BG56" s="896">
        <f t="shared" si="28"/>
        <v>0</v>
      </c>
      <c r="BH56" s="896">
        <f t="shared" si="28"/>
        <v>0</v>
      </c>
      <c r="BI56" s="896">
        <f t="shared" si="28"/>
        <v>0</v>
      </c>
      <c r="BJ56" s="896">
        <f t="shared" si="28"/>
        <v>0</v>
      </c>
      <c r="BK56" s="896">
        <f t="shared" si="28"/>
        <v>0</v>
      </c>
      <c r="BL56" s="896">
        <f t="shared" si="28"/>
        <v>0</v>
      </c>
      <c r="BM56" s="896">
        <f t="shared" si="28"/>
        <v>0</v>
      </c>
      <c r="BN56" s="896">
        <f t="shared" si="28"/>
        <v>0</v>
      </c>
      <c r="BO56" s="896">
        <f t="shared" si="28"/>
        <v>0</v>
      </c>
      <c r="BP56" s="896">
        <f t="shared" si="28"/>
        <v>0</v>
      </c>
    </row>
    <row r="57" spans="1:68" x14ac:dyDescent="0.25">
      <c r="A57" s="476" t="s">
        <v>245</v>
      </c>
      <c r="B57" s="473"/>
      <c r="C57" s="488" t="str">
        <f>IF($B57&lt;&gt;"",VLOOKUP($B57,COSTS_Hog_Rider[#All],2),"")</f>
        <v/>
      </c>
      <c r="D57" s="492" t="str">
        <f>IF($B57&lt;&gt;"",VLOOKUP($B57,COSTS_Hog_Rider[#All],3)/24,"")</f>
        <v/>
      </c>
      <c r="E57" s="499"/>
      <c r="F57" s="513"/>
      <c r="G57" s="185" t="str">
        <f t="shared" si="18"/>
        <v/>
      </c>
      <c r="H57" s="503"/>
      <c r="I57" s="898">
        <f t="shared" si="19"/>
        <v>0</v>
      </c>
      <c r="J57" s="898">
        <f t="shared" si="19"/>
        <v>0</v>
      </c>
      <c r="K57" s="898">
        <f t="shared" si="19"/>
        <v>0</v>
      </c>
      <c r="L57" s="898">
        <f t="shared" si="19"/>
        <v>0</v>
      </c>
      <c r="M57" s="898">
        <f t="shared" si="19"/>
        <v>0</v>
      </c>
      <c r="N57" s="898">
        <f t="shared" si="19"/>
        <v>0</v>
      </c>
      <c r="O57" s="898">
        <f t="shared" si="19"/>
        <v>0</v>
      </c>
      <c r="P57" s="898">
        <f t="shared" si="19"/>
        <v>0</v>
      </c>
      <c r="Q57" s="898">
        <f t="shared" si="19"/>
        <v>0</v>
      </c>
      <c r="R57" s="896">
        <f t="shared" si="19"/>
        <v>0</v>
      </c>
      <c r="S57" s="896">
        <f t="shared" si="17"/>
        <v>0</v>
      </c>
      <c r="T57" s="896">
        <f t="shared" si="17"/>
        <v>0</v>
      </c>
      <c r="U57" s="896">
        <f t="shared" si="17"/>
        <v>0</v>
      </c>
      <c r="V57" s="896">
        <f t="shared" si="17"/>
        <v>0</v>
      </c>
      <c r="W57" s="896">
        <f t="shared" si="17"/>
        <v>0</v>
      </c>
      <c r="X57" s="896">
        <f t="shared" si="17"/>
        <v>0</v>
      </c>
      <c r="Y57" s="896">
        <f t="shared" si="17"/>
        <v>0</v>
      </c>
      <c r="Z57" s="896">
        <f t="shared" si="17"/>
        <v>0</v>
      </c>
      <c r="AA57" s="896">
        <f t="shared" si="17"/>
        <v>0</v>
      </c>
      <c r="AB57" s="896">
        <f t="shared" si="17"/>
        <v>0</v>
      </c>
      <c r="AC57" s="896">
        <f t="shared" si="26"/>
        <v>0</v>
      </c>
      <c r="AD57" s="896">
        <f t="shared" si="26"/>
        <v>0</v>
      </c>
      <c r="AE57" s="896">
        <f t="shared" si="26"/>
        <v>0</v>
      </c>
      <c r="AF57" s="896">
        <f t="shared" si="26"/>
        <v>0</v>
      </c>
      <c r="AG57" s="896">
        <f t="shared" si="26"/>
        <v>0</v>
      </c>
      <c r="AH57" s="896">
        <f t="shared" si="26"/>
        <v>0</v>
      </c>
      <c r="AI57" s="896">
        <f t="shared" si="26"/>
        <v>0</v>
      </c>
      <c r="AJ57" s="896">
        <f t="shared" si="26"/>
        <v>0</v>
      </c>
      <c r="AK57" s="896">
        <f t="shared" si="26"/>
        <v>0</v>
      </c>
      <c r="AL57" s="896">
        <f t="shared" si="26"/>
        <v>0</v>
      </c>
      <c r="AM57" s="896">
        <f t="shared" si="27"/>
        <v>0</v>
      </c>
      <c r="AN57" s="896">
        <f t="shared" si="27"/>
        <v>0</v>
      </c>
      <c r="AO57" s="896">
        <f t="shared" si="27"/>
        <v>0</v>
      </c>
      <c r="AP57" s="896">
        <f t="shared" si="27"/>
        <v>0</v>
      </c>
      <c r="AQ57" s="896">
        <f t="shared" si="27"/>
        <v>0</v>
      </c>
      <c r="AR57" s="896">
        <f t="shared" si="27"/>
        <v>0</v>
      </c>
      <c r="AS57" s="896">
        <f t="shared" si="27"/>
        <v>0</v>
      </c>
      <c r="AT57" s="896">
        <f t="shared" si="27"/>
        <v>0</v>
      </c>
      <c r="AU57" s="896">
        <f t="shared" si="27"/>
        <v>0</v>
      </c>
      <c r="AV57" s="896">
        <f t="shared" si="27"/>
        <v>0</v>
      </c>
      <c r="AW57" s="896">
        <f t="shared" si="20"/>
        <v>0</v>
      </c>
      <c r="AX57" s="896">
        <f t="shared" si="20"/>
        <v>0</v>
      </c>
      <c r="AY57" s="896">
        <f t="shared" si="20"/>
        <v>0</v>
      </c>
      <c r="AZ57" s="896">
        <f t="shared" si="20"/>
        <v>0</v>
      </c>
      <c r="BA57" s="896">
        <f t="shared" si="20"/>
        <v>0</v>
      </c>
      <c r="BB57" s="896">
        <f t="shared" si="20"/>
        <v>0</v>
      </c>
      <c r="BC57" s="896">
        <f t="shared" si="20"/>
        <v>0</v>
      </c>
      <c r="BD57" s="896">
        <f t="shared" si="20"/>
        <v>0</v>
      </c>
      <c r="BE57" s="896">
        <f t="shared" si="20"/>
        <v>0</v>
      </c>
      <c r="BF57" s="896">
        <f t="shared" si="20"/>
        <v>0</v>
      </c>
      <c r="BG57" s="896">
        <f t="shared" si="28"/>
        <v>0</v>
      </c>
      <c r="BH57" s="896">
        <f t="shared" si="28"/>
        <v>0</v>
      </c>
      <c r="BI57" s="896">
        <f t="shared" si="28"/>
        <v>0</v>
      </c>
      <c r="BJ57" s="896">
        <f t="shared" si="28"/>
        <v>0</v>
      </c>
      <c r="BK57" s="896">
        <f t="shared" si="28"/>
        <v>0</v>
      </c>
      <c r="BL57" s="896">
        <f t="shared" si="28"/>
        <v>0</v>
      </c>
      <c r="BM57" s="896">
        <f t="shared" si="28"/>
        <v>0</v>
      </c>
      <c r="BN57" s="896">
        <f t="shared" si="28"/>
        <v>0</v>
      </c>
      <c r="BO57" s="896">
        <f t="shared" si="28"/>
        <v>0</v>
      </c>
      <c r="BP57" s="896">
        <f t="shared" si="28"/>
        <v>0</v>
      </c>
    </row>
    <row r="58" spans="1:68" x14ac:dyDescent="0.25">
      <c r="A58" s="476" t="s">
        <v>66</v>
      </c>
      <c r="B58" s="473"/>
      <c r="C58" s="488" t="str">
        <f>IF($B58&lt;&gt;"",VLOOKUP($B58,COSTS_Valkyrie[#All],2),"")</f>
        <v/>
      </c>
      <c r="D58" s="492" t="str">
        <f>IF($B58&lt;&gt;"",VLOOKUP($B58,COSTS_Valkyrie[#All],3)/24,"")</f>
        <v/>
      </c>
      <c r="E58" s="499"/>
      <c r="F58" s="513"/>
      <c r="G58" s="185" t="str">
        <f t="shared" si="18"/>
        <v/>
      </c>
      <c r="H58" s="503"/>
      <c r="I58" s="898">
        <f t="shared" si="19"/>
        <v>0</v>
      </c>
      <c r="J58" s="898">
        <f t="shared" si="19"/>
        <v>0</v>
      </c>
      <c r="K58" s="898">
        <f t="shared" si="19"/>
        <v>0</v>
      </c>
      <c r="L58" s="898">
        <f t="shared" si="19"/>
        <v>0</v>
      </c>
      <c r="M58" s="898">
        <f t="shared" si="19"/>
        <v>0</v>
      </c>
      <c r="N58" s="898">
        <f t="shared" si="19"/>
        <v>0</v>
      </c>
      <c r="O58" s="898">
        <f t="shared" si="19"/>
        <v>0</v>
      </c>
      <c r="P58" s="898">
        <f t="shared" si="19"/>
        <v>0</v>
      </c>
      <c r="Q58" s="898">
        <f t="shared" si="19"/>
        <v>0</v>
      </c>
      <c r="R58" s="896">
        <f t="shared" si="19"/>
        <v>0</v>
      </c>
      <c r="S58" s="896">
        <f t="shared" si="17"/>
        <v>0</v>
      </c>
      <c r="T58" s="896">
        <f t="shared" si="17"/>
        <v>0</v>
      </c>
      <c r="U58" s="896">
        <f t="shared" si="17"/>
        <v>0</v>
      </c>
      <c r="V58" s="896">
        <f t="shared" si="17"/>
        <v>0</v>
      </c>
      <c r="W58" s="896">
        <f t="shared" si="17"/>
        <v>0</v>
      </c>
      <c r="X58" s="896">
        <f t="shared" si="17"/>
        <v>0</v>
      </c>
      <c r="Y58" s="896">
        <f t="shared" si="17"/>
        <v>0</v>
      </c>
      <c r="Z58" s="896">
        <f t="shared" si="17"/>
        <v>0</v>
      </c>
      <c r="AA58" s="896">
        <f t="shared" si="17"/>
        <v>0</v>
      </c>
      <c r="AB58" s="896">
        <f t="shared" si="17"/>
        <v>0</v>
      </c>
      <c r="AC58" s="896">
        <f t="shared" si="26"/>
        <v>0</v>
      </c>
      <c r="AD58" s="896">
        <f t="shared" si="26"/>
        <v>0</v>
      </c>
      <c r="AE58" s="896">
        <f t="shared" si="26"/>
        <v>0</v>
      </c>
      <c r="AF58" s="896">
        <f t="shared" si="26"/>
        <v>0</v>
      </c>
      <c r="AG58" s="896">
        <f t="shared" si="26"/>
        <v>0</v>
      </c>
      <c r="AH58" s="896">
        <f t="shared" si="26"/>
        <v>0</v>
      </c>
      <c r="AI58" s="896">
        <f t="shared" si="26"/>
        <v>0</v>
      </c>
      <c r="AJ58" s="896">
        <f t="shared" si="26"/>
        <v>0</v>
      </c>
      <c r="AK58" s="896">
        <f t="shared" si="26"/>
        <v>0</v>
      </c>
      <c r="AL58" s="896">
        <f t="shared" si="26"/>
        <v>0</v>
      </c>
      <c r="AM58" s="896">
        <f t="shared" si="27"/>
        <v>0</v>
      </c>
      <c r="AN58" s="896">
        <f t="shared" si="27"/>
        <v>0</v>
      </c>
      <c r="AO58" s="896">
        <f t="shared" si="27"/>
        <v>0</v>
      </c>
      <c r="AP58" s="896">
        <f t="shared" si="27"/>
        <v>0</v>
      </c>
      <c r="AQ58" s="896">
        <f t="shared" si="27"/>
        <v>0</v>
      </c>
      <c r="AR58" s="896">
        <f t="shared" si="27"/>
        <v>0</v>
      </c>
      <c r="AS58" s="896">
        <f t="shared" si="27"/>
        <v>0</v>
      </c>
      <c r="AT58" s="896">
        <f t="shared" si="27"/>
        <v>0</v>
      </c>
      <c r="AU58" s="896">
        <f t="shared" si="27"/>
        <v>0</v>
      </c>
      <c r="AV58" s="896">
        <f t="shared" si="27"/>
        <v>0</v>
      </c>
      <c r="AW58" s="896">
        <f t="shared" si="20"/>
        <v>0</v>
      </c>
      <c r="AX58" s="896">
        <f t="shared" si="20"/>
        <v>0</v>
      </c>
      <c r="AY58" s="896">
        <f t="shared" si="20"/>
        <v>0</v>
      </c>
      <c r="AZ58" s="896">
        <f t="shared" si="20"/>
        <v>0</v>
      </c>
      <c r="BA58" s="896">
        <f t="shared" si="20"/>
        <v>0</v>
      </c>
      <c r="BB58" s="896">
        <f t="shared" si="20"/>
        <v>0</v>
      </c>
      <c r="BC58" s="896">
        <f t="shared" si="20"/>
        <v>0</v>
      </c>
      <c r="BD58" s="896">
        <f t="shared" si="20"/>
        <v>0</v>
      </c>
      <c r="BE58" s="896">
        <f t="shared" si="20"/>
        <v>0</v>
      </c>
      <c r="BF58" s="896">
        <f t="shared" si="20"/>
        <v>0</v>
      </c>
      <c r="BG58" s="896">
        <f t="shared" si="28"/>
        <v>0</v>
      </c>
      <c r="BH58" s="896">
        <f t="shared" si="28"/>
        <v>0</v>
      </c>
      <c r="BI58" s="896">
        <f t="shared" si="28"/>
        <v>0</v>
      </c>
      <c r="BJ58" s="896">
        <f t="shared" si="28"/>
        <v>0</v>
      </c>
      <c r="BK58" s="896">
        <f t="shared" si="28"/>
        <v>0</v>
      </c>
      <c r="BL58" s="896">
        <f t="shared" si="28"/>
        <v>0</v>
      </c>
      <c r="BM58" s="896">
        <f t="shared" si="28"/>
        <v>0</v>
      </c>
      <c r="BN58" s="896">
        <f t="shared" si="28"/>
        <v>0</v>
      </c>
      <c r="BO58" s="896">
        <f t="shared" si="28"/>
        <v>0</v>
      </c>
      <c r="BP58" s="896">
        <f t="shared" si="28"/>
        <v>0</v>
      </c>
    </row>
    <row r="59" spans="1:68" x14ac:dyDescent="0.25">
      <c r="A59" s="476" t="s">
        <v>67</v>
      </c>
      <c r="B59" s="473"/>
      <c r="C59" s="488" t="str">
        <f>IF($B59&lt;&gt;"",VLOOKUP($B59,COSTS_Golem[#All],2),"")</f>
        <v/>
      </c>
      <c r="D59" s="492" t="str">
        <f>IF($B59&lt;&gt;"",VLOOKUP($B59,COSTS_Golem[#All],3)/24,"")</f>
        <v/>
      </c>
      <c r="E59" s="499"/>
      <c r="F59" s="513"/>
      <c r="G59" s="185" t="str">
        <f t="shared" ref="G59:G61" si="29">IF($D59&lt;&gt;"",$D59,"")</f>
        <v/>
      </c>
      <c r="H59" s="503"/>
      <c r="I59" s="898">
        <f t="shared" si="19"/>
        <v>0</v>
      </c>
      <c r="J59" s="898">
        <f t="shared" si="19"/>
        <v>0</v>
      </c>
      <c r="K59" s="898">
        <f t="shared" si="19"/>
        <v>0</v>
      </c>
      <c r="L59" s="898">
        <f t="shared" si="19"/>
        <v>0</v>
      </c>
      <c r="M59" s="898">
        <f t="shared" si="19"/>
        <v>0</v>
      </c>
      <c r="N59" s="898">
        <f t="shared" si="19"/>
        <v>0</v>
      </c>
      <c r="O59" s="898">
        <f t="shared" si="19"/>
        <v>0</v>
      </c>
      <c r="P59" s="898">
        <f t="shared" si="19"/>
        <v>0</v>
      </c>
      <c r="Q59" s="898">
        <f t="shared" si="19"/>
        <v>0</v>
      </c>
      <c r="R59" s="896">
        <f t="shared" si="19"/>
        <v>0</v>
      </c>
      <c r="S59" s="896">
        <f t="shared" si="17"/>
        <v>0</v>
      </c>
      <c r="T59" s="896">
        <f t="shared" si="17"/>
        <v>0</v>
      </c>
      <c r="U59" s="896">
        <f t="shared" si="17"/>
        <v>0</v>
      </c>
      <c r="V59" s="896">
        <f t="shared" si="17"/>
        <v>0</v>
      </c>
      <c r="W59" s="896">
        <f t="shared" si="17"/>
        <v>0</v>
      </c>
      <c r="X59" s="896">
        <f t="shared" si="17"/>
        <v>0</v>
      </c>
      <c r="Y59" s="896">
        <f t="shared" si="17"/>
        <v>0</v>
      </c>
      <c r="Z59" s="896">
        <f t="shared" si="17"/>
        <v>0</v>
      </c>
      <c r="AA59" s="896">
        <f t="shared" si="17"/>
        <v>0</v>
      </c>
      <c r="AB59" s="896">
        <f t="shared" si="17"/>
        <v>0</v>
      </c>
      <c r="AC59" s="896">
        <f t="shared" si="26"/>
        <v>0</v>
      </c>
      <c r="AD59" s="896">
        <f t="shared" si="26"/>
        <v>0</v>
      </c>
      <c r="AE59" s="896">
        <f t="shared" si="26"/>
        <v>0</v>
      </c>
      <c r="AF59" s="896">
        <f t="shared" si="26"/>
        <v>0</v>
      </c>
      <c r="AG59" s="896">
        <f t="shared" si="26"/>
        <v>0</v>
      </c>
      <c r="AH59" s="896">
        <f t="shared" si="26"/>
        <v>0</v>
      </c>
      <c r="AI59" s="896">
        <f t="shared" si="26"/>
        <v>0</v>
      </c>
      <c r="AJ59" s="896">
        <f t="shared" si="26"/>
        <v>0</v>
      </c>
      <c r="AK59" s="896">
        <f t="shared" si="26"/>
        <v>0</v>
      </c>
      <c r="AL59" s="896">
        <f t="shared" si="26"/>
        <v>0</v>
      </c>
      <c r="AM59" s="896">
        <f t="shared" si="27"/>
        <v>0</v>
      </c>
      <c r="AN59" s="896">
        <f t="shared" si="27"/>
        <v>0</v>
      </c>
      <c r="AO59" s="896">
        <f t="shared" si="27"/>
        <v>0</v>
      </c>
      <c r="AP59" s="896">
        <f t="shared" si="27"/>
        <v>0</v>
      </c>
      <c r="AQ59" s="896">
        <f t="shared" si="27"/>
        <v>0</v>
      </c>
      <c r="AR59" s="896">
        <f t="shared" si="27"/>
        <v>0</v>
      </c>
      <c r="AS59" s="896">
        <f t="shared" si="27"/>
        <v>0</v>
      </c>
      <c r="AT59" s="896">
        <f t="shared" si="27"/>
        <v>0</v>
      </c>
      <c r="AU59" s="896">
        <f t="shared" si="27"/>
        <v>0</v>
      </c>
      <c r="AV59" s="896">
        <f t="shared" si="27"/>
        <v>0</v>
      </c>
      <c r="AW59" s="896">
        <f t="shared" si="20"/>
        <v>0</v>
      </c>
      <c r="AX59" s="896">
        <f t="shared" si="20"/>
        <v>0</v>
      </c>
      <c r="AY59" s="896">
        <f t="shared" si="20"/>
        <v>0</v>
      </c>
      <c r="AZ59" s="896">
        <f t="shared" si="20"/>
        <v>0</v>
      </c>
      <c r="BA59" s="896">
        <f t="shared" si="20"/>
        <v>0</v>
      </c>
      <c r="BB59" s="896">
        <f t="shared" si="20"/>
        <v>0</v>
      </c>
      <c r="BC59" s="896">
        <f t="shared" si="20"/>
        <v>0</v>
      </c>
      <c r="BD59" s="896">
        <f t="shared" si="20"/>
        <v>0</v>
      </c>
      <c r="BE59" s="896">
        <f t="shared" si="20"/>
        <v>0</v>
      </c>
      <c r="BF59" s="896">
        <f t="shared" si="20"/>
        <v>0</v>
      </c>
      <c r="BG59" s="896">
        <f t="shared" si="28"/>
        <v>0</v>
      </c>
      <c r="BH59" s="896">
        <f t="shared" si="28"/>
        <v>0</v>
      </c>
      <c r="BI59" s="896">
        <f t="shared" si="28"/>
        <v>0</v>
      </c>
      <c r="BJ59" s="896">
        <f t="shared" si="28"/>
        <v>0</v>
      </c>
      <c r="BK59" s="896">
        <f t="shared" si="28"/>
        <v>0</v>
      </c>
      <c r="BL59" s="896">
        <f t="shared" si="28"/>
        <v>0</v>
      </c>
      <c r="BM59" s="896">
        <f t="shared" si="28"/>
        <v>0</v>
      </c>
      <c r="BN59" s="896">
        <f t="shared" si="28"/>
        <v>0</v>
      </c>
      <c r="BO59" s="896">
        <f t="shared" si="28"/>
        <v>0</v>
      </c>
      <c r="BP59" s="896">
        <f t="shared" si="28"/>
        <v>0</v>
      </c>
    </row>
    <row r="60" spans="1:68" x14ac:dyDescent="0.25">
      <c r="A60" s="585" t="s">
        <v>539</v>
      </c>
      <c r="B60" s="485"/>
      <c r="C60" s="488" t="str">
        <f>IF($B60&lt;&gt;"",VLOOKUP($B60,COSTS_Witch[#All],2),"")</f>
        <v/>
      </c>
      <c r="D60" s="492" t="str">
        <f>IF($B60&lt;&gt;"",VLOOKUP($B60,COSTS_Witch[#All],3)/24,"")</f>
        <v/>
      </c>
      <c r="E60" s="499"/>
      <c r="F60" s="515"/>
      <c r="G60" s="504" t="str">
        <f t="shared" si="29"/>
        <v/>
      </c>
      <c r="H60" s="505"/>
      <c r="I60" s="898">
        <f t="shared" si="19"/>
        <v>0</v>
      </c>
      <c r="J60" s="898">
        <f t="shared" si="19"/>
        <v>0</v>
      </c>
      <c r="K60" s="898">
        <f t="shared" si="19"/>
        <v>0</v>
      </c>
      <c r="L60" s="898">
        <f t="shared" si="19"/>
        <v>0</v>
      </c>
      <c r="M60" s="898">
        <f t="shared" si="19"/>
        <v>0</v>
      </c>
      <c r="N60" s="898">
        <f t="shared" si="19"/>
        <v>0</v>
      </c>
      <c r="O60" s="898">
        <f t="shared" si="19"/>
        <v>0</v>
      </c>
      <c r="P60" s="898">
        <f t="shared" si="19"/>
        <v>0</v>
      </c>
      <c r="Q60" s="898">
        <f t="shared" si="19"/>
        <v>0</v>
      </c>
      <c r="R60" s="896">
        <f t="shared" si="19"/>
        <v>0</v>
      </c>
      <c r="S60" s="896">
        <f t="shared" si="17"/>
        <v>0</v>
      </c>
      <c r="T60" s="896">
        <f t="shared" si="17"/>
        <v>0</v>
      </c>
      <c r="U60" s="896">
        <f t="shared" si="17"/>
        <v>0</v>
      </c>
      <c r="V60" s="896">
        <f t="shared" si="17"/>
        <v>0</v>
      </c>
      <c r="W60" s="896">
        <f t="shared" si="17"/>
        <v>0</v>
      </c>
      <c r="X60" s="896">
        <f t="shared" si="17"/>
        <v>0</v>
      </c>
      <c r="Y60" s="896">
        <f t="shared" si="17"/>
        <v>0</v>
      </c>
      <c r="Z60" s="896">
        <f t="shared" si="17"/>
        <v>0</v>
      </c>
      <c r="AA60" s="896">
        <f t="shared" si="17"/>
        <v>0</v>
      </c>
      <c r="AB60" s="896">
        <f t="shared" si="17"/>
        <v>0</v>
      </c>
      <c r="AC60" s="896">
        <f t="shared" si="26"/>
        <v>0</v>
      </c>
      <c r="AD60" s="896">
        <f t="shared" si="26"/>
        <v>0</v>
      </c>
      <c r="AE60" s="896">
        <f t="shared" si="26"/>
        <v>0</v>
      </c>
      <c r="AF60" s="896">
        <f t="shared" si="26"/>
        <v>0</v>
      </c>
      <c r="AG60" s="896">
        <f t="shared" si="26"/>
        <v>0</v>
      </c>
      <c r="AH60" s="896">
        <f t="shared" si="26"/>
        <v>0</v>
      </c>
      <c r="AI60" s="896">
        <f t="shared" si="26"/>
        <v>0</v>
      </c>
      <c r="AJ60" s="896">
        <f t="shared" si="26"/>
        <v>0</v>
      </c>
      <c r="AK60" s="896">
        <f t="shared" si="26"/>
        <v>0</v>
      </c>
      <c r="AL60" s="896">
        <f t="shared" si="26"/>
        <v>0</v>
      </c>
      <c r="AM60" s="896">
        <f t="shared" si="27"/>
        <v>0</v>
      </c>
      <c r="AN60" s="896">
        <f t="shared" si="27"/>
        <v>0</v>
      </c>
      <c r="AO60" s="896">
        <f t="shared" si="27"/>
        <v>0</v>
      </c>
      <c r="AP60" s="896">
        <f t="shared" si="27"/>
        <v>0</v>
      </c>
      <c r="AQ60" s="896">
        <f t="shared" si="27"/>
        <v>0</v>
      </c>
      <c r="AR60" s="896">
        <f t="shared" si="27"/>
        <v>0</v>
      </c>
      <c r="AS60" s="896">
        <f t="shared" si="27"/>
        <v>0</v>
      </c>
      <c r="AT60" s="896">
        <f t="shared" si="27"/>
        <v>0</v>
      </c>
      <c r="AU60" s="896">
        <f t="shared" si="27"/>
        <v>0</v>
      </c>
      <c r="AV60" s="896">
        <f t="shared" si="27"/>
        <v>0</v>
      </c>
      <c r="AW60" s="896">
        <f t="shared" si="20"/>
        <v>0</v>
      </c>
      <c r="AX60" s="896">
        <f t="shared" si="20"/>
        <v>0</v>
      </c>
      <c r="AY60" s="896">
        <f t="shared" si="20"/>
        <v>0</v>
      </c>
      <c r="AZ60" s="896">
        <f t="shared" si="20"/>
        <v>0</v>
      </c>
      <c r="BA60" s="896">
        <f t="shared" si="20"/>
        <v>0</v>
      </c>
      <c r="BB60" s="896">
        <f t="shared" si="20"/>
        <v>0</v>
      </c>
      <c r="BC60" s="896">
        <f t="shared" si="20"/>
        <v>0</v>
      </c>
      <c r="BD60" s="896">
        <f t="shared" si="20"/>
        <v>0</v>
      </c>
      <c r="BE60" s="896">
        <f t="shared" si="20"/>
        <v>0</v>
      </c>
      <c r="BF60" s="896">
        <f t="shared" si="20"/>
        <v>0</v>
      </c>
      <c r="BG60" s="896">
        <f t="shared" si="28"/>
        <v>0</v>
      </c>
      <c r="BH60" s="896">
        <f t="shared" si="28"/>
        <v>0</v>
      </c>
      <c r="BI60" s="896">
        <f t="shared" si="28"/>
        <v>0</v>
      </c>
      <c r="BJ60" s="896">
        <f t="shared" si="28"/>
        <v>0</v>
      </c>
      <c r="BK60" s="896">
        <f t="shared" si="28"/>
        <v>0</v>
      </c>
      <c r="BL60" s="896">
        <f t="shared" si="28"/>
        <v>0</v>
      </c>
      <c r="BM60" s="896">
        <f t="shared" si="28"/>
        <v>0</v>
      </c>
      <c r="BN60" s="896">
        <f t="shared" si="28"/>
        <v>0</v>
      </c>
      <c r="BO60" s="896">
        <f t="shared" si="28"/>
        <v>0</v>
      </c>
      <c r="BP60" s="896">
        <f t="shared" si="28"/>
        <v>0</v>
      </c>
    </row>
    <row r="61" spans="1:68" ht="15.75" thickBot="1" x14ac:dyDescent="0.3">
      <c r="A61" s="585" t="s">
        <v>576</v>
      </c>
      <c r="B61" s="485"/>
      <c r="C61" s="303" t="str">
        <f>IF($B61&lt;&gt;"",VLOOKUP($B61,COSTS_Lava_Hound[#All],2),"")</f>
        <v/>
      </c>
      <c r="D61" s="492" t="str">
        <f>IF($B61&lt;&gt;"",VLOOKUP($B61,COSTS_Lava_Hound[#All],3)/24,"")</f>
        <v/>
      </c>
      <c r="E61" s="499"/>
      <c r="F61" s="515"/>
      <c r="G61" s="504" t="str">
        <f t="shared" si="29"/>
        <v/>
      </c>
      <c r="H61" s="505"/>
      <c r="I61" s="898">
        <f t="shared" si="19"/>
        <v>0</v>
      </c>
      <c r="J61" s="898">
        <f t="shared" si="19"/>
        <v>0</v>
      </c>
      <c r="K61" s="898">
        <f t="shared" si="19"/>
        <v>0</v>
      </c>
      <c r="L61" s="898">
        <f t="shared" si="19"/>
        <v>0</v>
      </c>
      <c r="M61" s="898">
        <f t="shared" si="19"/>
        <v>0</v>
      </c>
      <c r="N61" s="898">
        <f t="shared" si="19"/>
        <v>0</v>
      </c>
      <c r="O61" s="898">
        <f t="shared" si="19"/>
        <v>0</v>
      </c>
      <c r="P61" s="898">
        <f t="shared" si="19"/>
        <v>0</v>
      </c>
      <c r="Q61" s="898">
        <f t="shared" si="19"/>
        <v>0</v>
      </c>
      <c r="R61" s="896">
        <f t="shared" si="19"/>
        <v>0</v>
      </c>
      <c r="S61" s="896">
        <f t="shared" si="17"/>
        <v>0</v>
      </c>
      <c r="T61" s="896">
        <f t="shared" si="17"/>
        <v>0</v>
      </c>
      <c r="U61" s="896">
        <f t="shared" si="17"/>
        <v>0</v>
      </c>
      <c r="V61" s="896">
        <f t="shared" si="17"/>
        <v>0</v>
      </c>
      <c r="W61" s="896">
        <f t="shared" si="17"/>
        <v>0</v>
      </c>
      <c r="X61" s="896">
        <f t="shared" si="17"/>
        <v>0</v>
      </c>
      <c r="Y61" s="896">
        <f t="shared" si="17"/>
        <v>0</v>
      </c>
      <c r="Z61" s="896">
        <f t="shared" si="17"/>
        <v>0</v>
      </c>
      <c r="AA61" s="896">
        <f t="shared" si="17"/>
        <v>0</v>
      </c>
      <c r="AB61" s="896">
        <f t="shared" si="17"/>
        <v>0</v>
      </c>
      <c r="AC61" s="896">
        <f t="shared" si="26"/>
        <v>0</v>
      </c>
      <c r="AD61" s="896">
        <f t="shared" si="26"/>
        <v>0</v>
      </c>
      <c r="AE61" s="896">
        <f t="shared" si="26"/>
        <v>0</v>
      </c>
      <c r="AF61" s="896">
        <f t="shared" si="26"/>
        <v>0</v>
      </c>
      <c r="AG61" s="896">
        <f t="shared" si="26"/>
        <v>0</v>
      </c>
      <c r="AH61" s="896">
        <f t="shared" si="26"/>
        <v>0</v>
      </c>
      <c r="AI61" s="896">
        <f t="shared" si="26"/>
        <v>0</v>
      </c>
      <c r="AJ61" s="896">
        <f t="shared" si="26"/>
        <v>0</v>
      </c>
      <c r="AK61" s="896">
        <f t="shared" si="26"/>
        <v>0</v>
      </c>
      <c r="AL61" s="896">
        <f t="shared" si="26"/>
        <v>0</v>
      </c>
      <c r="AM61" s="896">
        <f t="shared" si="27"/>
        <v>0</v>
      </c>
      <c r="AN61" s="896">
        <f t="shared" si="27"/>
        <v>0</v>
      </c>
      <c r="AO61" s="896">
        <f t="shared" si="27"/>
        <v>0</v>
      </c>
      <c r="AP61" s="896">
        <f t="shared" si="27"/>
        <v>0</v>
      </c>
      <c r="AQ61" s="896">
        <f t="shared" si="27"/>
        <v>0</v>
      </c>
      <c r="AR61" s="896">
        <f t="shared" si="27"/>
        <v>0</v>
      </c>
      <c r="AS61" s="896">
        <f t="shared" si="27"/>
        <v>0</v>
      </c>
      <c r="AT61" s="896">
        <f t="shared" si="27"/>
        <v>0</v>
      </c>
      <c r="AU61" s="896">
        <f t="shared" si="27"/>
        <v>0</v>
      </c>
      <c r="AV61" s="896">
        <f t="shared" si="27"/>
        <v>0</v>
      </c>
      <c r="AW61" s="896">
        <f t="shared" si="20"/>
        <v>0</v>
      </c>
      <c r="AX61" s="896">
        <f t="shared" si="20"/>
        <v>0</v>
      </c>
      <c r="AY61" s="896">
        <f t="shared" si="20"/>
        <v>0</v>
      </c>
      <c r="AZ61" s="896">
        <f t="shared" si="20"/>
        <v>0</v>
      </c>
      <c r="BA61" s="896">
        <f t="shared" si="20"/>
        <v>0</v>
      </c>
      <c r="BB61" s="896">
        <f t="shared" si="20"/>
        <v>0</v>
      </c>
      <c r="BC61" s="896">
        <f t="shared" si="20"/>
        <v>0</v>
      </c>
      <c r="BD61" s="896">
        <f t="shared" si="20"/>
        <v>0</v>
      </c>
      <c r="BE61" s="896">
        <f t="shared" si="20"/>
        <v>0</v>
      </c>
      <c r="BF61" s="896">
        <f t="shared" si="20"/>
        <v>0</v>
      </c>
      <c r="BG61" s="896">
        <f t="shared" si="28"/>
        <v>0</v>
      </c>
      <c r="BH61" s="896">
        <f t="shared" si="28"/>
        <v>0</v>
      </c>
      <c r="BI61" s="896">
        <f t="shared" si="28"/>
        <v>0</v>
      </c>
      <c r="BJ61" s="896">
        <f t="shared" si="28"/>
        <v>0</v>
      </c>
      <c r="BK61" s="896">
        <f t="shared" si="28"/>
        <v>0</v>
      </c>
      <c r="BL61" s="896">
        <f t="shared" si="28"/>
        <v>0</v>
      </c>
      <c r="BM61" s="896">
        <f t="shared" si="28"/>
        <v>0</v>
      </c>
      <c r="BN61" s="896">
        <f t="shared" si="28"/>
        <v>0</v>
      </c>
      <c r="BO61" s="896">
        <f t="shared" si="28"/>
        <v>0</v>
      </c>
      <c r="BP61" s="896">
        <f t="shared" si="28"/>
        <v>0</v>
      </c>
    </row>
    <row r="62" spans="1:68" ht="16.5" thickBot="1" x14ac:dyDescent="0.3">
      <c r="A62" s="1013" t="s">
        <v>178</v>
      </c>
      <c r="B62" s="1014"/>
      <c r="C62" s="1014"/>
      <c r="D62" s="1014"/>
      <c r="E62" s="1014"/>
      <c r="F62" s="1014"/>
      <c r="G62" s="1014"/>
      <c r="H62" s="1015"/>
      <c r="I62" s="898">
        <f t="shared" si="19"/>
        <v>0</v>
      </c>
      <c r="J62" s="898">
        <f t="shared" si="19"/>
        <v>0</v>
      </c>
      <c r="K62" s="898">
        <f t="shared" si="19"/>
        <v>0</v>
      </c>
      <c r="L62" s="898">
        <f t="shared" si="19"/>
        <v>0</v>
      </c>
      <c r="M62" s="898">
        <f t="shared" si="19"/>
        <v>0</v>
      </c>
      <c r="N62" s="898">
        <f t="shared" si="19"/>
        <v>0</v>
      </c>
      <c r="O62" s="898">
        <f t="shared" si="19"/>
        <v>0</v>
      </c>
      <c r="P62" s="898">
        <f t="shared" si="19"/>
        <v>0</v>
      </c>
      <c r="Q62" s="898">
        <f t="shared" si="19"/>
        <v>0</v>
      </c>
      <c r="R62" s="896">
        <f t="shared" si="19"/>
        <v>0</v>
      </c>
      <c r="S62" s="896">
        <f t="shared" si="17"/>
        <v>0</v>
      </c>
      <c r="T62" s="896">
        <f t="shared" si="17"/>
        <v>0</v>
      </c>
      <c r="U62" s="896">
        <f t="shared" si="17"/>
        <v>0</v>
      </c>
      <c r="V62" s="896">
        <f t="shared" si="17"/>
        <v>0</v>
      </c>
      <c r="W62" s="896">
        <f t="shared" si="17"/>
        <v>0</v>
      </c>
      <c r="X62" s="896">
        <f t="shared" si="17"/>
        <v>0</v>
      </c>
      <c r="Y62" s="896">
        <f t="shared" si="17"/>
        <v>0</v>
      </c>
      <c r="Z62" s="896">
        <f t="shared" si="17"/>
        <v>0</v>
      </c>
      <c r="AA62" s="896">
        <f t="shared" si="17"/>
        <v>0</v>
      </c>
      <c r="AB62" s="896">
        <f t="shared" si="17"/>
        <v>0</v>
      </c>
      <c r="AC62" s="896">
        <f t="shared" si="26"/>
        <v>0</v>
      </c>
      <c r="AD62" s="896">
        <f t="shared" si="26"/>
        <v>0</v>
      </c>
      <c r="AE62" s="896">
        <f t="shared" si="26"/>
        <v>0</v>
      </c>
      <c r="AF62" s="896">
        <f t="shared" si="26"/>
        <v>0</v>
      </c>
      <c r="AG62" s="896">
        <f t="shared" si="26"/>
        <v>0</v>
      </c>
      <c r="AH62" s="896">
        <f t="shared" si="26"/>
        <v>0</v>
      </c>
      <c r="AI62" s="896">
        <f t="shared" si="26"/>
        <v>0</v>
      </c>
      <c r="AJ62" s="896">
        <f t="shared" si="26"/>
        <v>0</v>
      </c>
      <c r="AK62" s="896">
        <f t="shared" si="26"/>
        <v>0</v>
      </c>
      <c r="AL62" s="896">
        <f t="shared" si="26"/>
        <v>0</v>
      </c>
      <c r="AM62" s="896">
        <f t="shared" si="27"/>
        <v>0</v>
      </c>
      <c r="AN62" s="896">
        <f t="shared" si="27"/>
        <v>0</v>
      </c>
      <c r="AO62" s="896">
        <f t="shared" si="27"/>
        <v>0</v>
      </c>
      <c r="AP62" s="896">
        <f t="shared" si="27"/>
        <v>0</v>
      </c>
      <c r="AQ62" s="896">
        <f t="shared" si="27"/>
        <v>0</v>
      </c>
      <c r="AR62" s="896">
        <f t="shared" si="27"/>
        <v>0</v>
      </c>
      <c r="AS62" s="896">
        <f t="shared" si="27"/>
        <v>0</v>
      </c>
      <c r="AT62" s="896">
        <f t="shared" si="27"/>
        <v>0</v>
      </c>
      <c r="AU62" s="896">
        <f t="shared" si="27"/>
        <v>0</v>
      </c>
      <c r="AV62" s="896">
        <f t="shared" si="27"/>
        <v>0</v>
      </c>
      <c r="AW62" s="896">
        <f t="shared" si="20"/>
        <v>0</v>
      </c>
      <c r="AX62" s="896">
        <f t="shared" si="20"/>
        <v>0</v>
      </c>
      <c r="AY62" s="896">
        <f t="shared" si="20"/>
        <v>0</v>
      </c>
      <c r="AZ62" s="896">
        <f t="shared" si="20"/>
        <v>0</v>
      </c>
      <c r="BA62" s="896">
        <f t="shared" si="20"/>
        <v>0</v>
      </c>
      <c r="BB62" s="896">
        <f t="shared" si="20"/>
        <v>0</v>
      </c>
      <c r="BC62" s="896">
        <f t="shared" si="20"/>
        <v>0</v>
      </c>
      <c r="BD62" s="896">
        <f t="shared" si="20"/>
        <v>0</v>
      </c>
      <c r="BE62" s="896">
        <f t="shared" si="20"/>
        <v>0</v>
      </c>
      <c r="BF62" s="896">
        <f t="shared" si="20"/>
        <v>0</v>
      </c>
      <c r="BG62" s="896">
        <f t="shared" si="28"/>
        <v>0</v>
      </c>
      <c r="BH62" s="896">
        <f t="shared" si="28"/>
        <v>0</v>
      </c>
      <c r="BI62" s="896">
        <f t="shared" si="28"/>
        <v>0</v>
      </c>
      <c r="BJ62" s="896">
        <f t="shared" si="28"/>
        <v>0</v>
      </c>
      <c r="BK62" s="896">
        <f t="shared" si="28"/>
        <v>0</v>
      </c>
      <c r="BL62" s="896">
        <f t="shared" si="28"/>
        <v>0</v>
      </c>
      <c r="BM62" s="896">
        <f t="shared" si="28"/>
        <v>0</v>
      </c>
      <c r="BN62" s="896">
        <f t="shared" si="28"/>
        <v>0</v>
      </c>
      <c r="BO62" s="896">
        <f t="shared" si="28"/>
        <v>0</v>
      </c>
      <c r="BP62" s="896">
        <f t="shared" si="28"/>
        <v>0</v>
      </c>
    </row>
    <row r="63" spans="1:68" x14ac:dyDescent="0.25">
      <c r="A63" s="482" t="s">
        <v>196</v>
      </c>
      <c r="B63" s="483"/>
      <c r="C63" s="305" t="str">
        <f>IF($B63&lt;&gt;"",VLOOKUP($B63,COSTS_Barbarian_King[#All],2),"")</f>
        <v/>
      </c>
      <c r="D63" s="491" t="str">
        <f>IF($B63&lt;&gt;"",VLOOKUP($B63,COSTS_Barbarian_King[#All],3)/24,"")</f>
        <v/>
      </c>
      <c r="E63" s="499"/>
      <c r="F63" s="512"/>
      <c r="G63" s="500" t="str">
        <f t="shared" si="18"/>
        <v/>
      </c>
      <c r="H63" s="501"/>
      <c r="I63" s="898">
        <f t="shared" si="19"/>
        <v>0</v>
      </c>
      <c r="J63" s="898">
        <f t="shared" si="19"/>
        <v>0</v>
      </c>
      <c r="K63" s="898">
        <f t="shared" si="19"/>
        <v>0</v>
      </c>
      <c r="L63" s="898">
        <f t="shared" si="19"/>
        <v>0</v>
      </c>
      <c r="M63" s="898">
        <f t="shared" si="19"/>
        <v>0</v>
      </c>
      <c r="N63" s="898">
        <f t="shared" si="19"/>
        <v>0</v>
      </c>
      <c r="O63" s="898">
        <f t="shared" si="19"/>
        <v>0</v>
      </c>
      <c r="P63" s="898">
        <f t="shared" si="19"/>
        <v>0</v>
      </c>
      <c r="Q63" s="898">
        <f t="shared" si="19"/>
        <v>0</v>
      </c>
      <c r="R63" s="896">
        <f t="shared" si="19"/>
        <v>0</v>
      </c>
      <c r="S63" s="896">
        <f t="shared" si="17"/>
        <v>0</v>
      </c>
      <c r="T63" s="896">
        <f t="shared" si="17"/>
        <v>0</v>
      </c>
      <c r="U63" s="896">
        <f t="shared" si="17"/>
        <v>0</v>
      </c>
      <c r="V63" s="896">
        <f t="shared" si="17"/>
        <v>0</v>
      </c>
      <c r="W63" s="896">
        <f t="shared" si="17"/>
        <v>0</v>
      </c>
      <c r="X63" s="896">
        <f t="shared" si="17"/>
        <v>0</v>
      </c>
      <c r="Y63" s="896">
        <f t="shared" si="17"/>
        <v>0</v>
      </c>
      <c r="Z63" s="896">
        <f t="shared" si="17"/>
        <v>0</v>
      </c>
      <c r="AA63" s="896">
        <f t="shared" si="17"/>
        <v>0</v>
      </c>
      <c r="AB63" s="896">
        <f t="shared" si="17"/>
        <v>0</v>
      </c>
      <c r="AC63" s="896">
        <f t="shared" si="26"/>
        <v>0</v>
      </c>
      <c r="AD63" s="896">
        <f t="shared" si="26"/>
        <v>0</v>
      </c>
      <c r="AE63" s="896">
        <f t="shared" si="26"/>
        <v>0</v>
      </c>
      <c r="AF63" s="896">
        <f t="shared" si="26"/>
        <v>0</v>
      </c>
      <c r="AG63" s="896">
        <f t="shared" si="26"/>
        <v>0</v>
      </c>
      <c r="AH63" s="896">
        <f t="shared" si="26"/>
        <v>0</v>
      </c>
      <c r="AI63" s="896">
        <f t="shared" si="26"/>
        <v>0</v>
      </c>
      <c r="AJ63" s="896">
        <f t="shared" si="26"/>
        <v>0</v>
      </c>
      <c r="AK63" s="896">
        <f t="shared" si="26"/>
        <v>0</v>
      </c>
      <c r="AL63" s="896">
        <f t="shared" si="26"/>
        <v>0</v>
      </c>
      <c r="AM63" s="896">
        <f t="shared" si="27"/>
        <v>0</v>
      </c>
      <c r="AN63" s="896">
        <f t="shared" si="27"/>
        <v>0</v>
      </c>
      <c r="AO63" s="896">
        <f t="shared" si="27"/>
        <v>0</v>
      </c>
      <c r="AP63" s="896">
        <f t="shared" si="27"/>
        <v>0</v>
      </c>
      <c r="AQ63" s="896">
        <f t="shared" si="27"/>
        <v>0</v>
      </c>
      <c r="AR63" s="896">
        <f t="shared" si="27"/>
        <v>0</v>
      </c>
      <c r="AS63" s="896">
        <f t="shared" si="27"/>
        <v>0</v>
      </c>
      <c r="AT63" s="896">
        <f t="shared" si="27"/>
        <v>0</v>
      </c>
      <c r="AU63" s="896">
        <f t="shared" si="27"/>
        <v>0</v>
      </c>
      <c r="AV63" s="896">
        <f t="shared" si="27"/>
        <v>0</v>
      </c>
      <c r="AW63" s="896">
        <f t="shared" si="20"/>
        <v>0</v>
      </c>
      <c r="AX63" s="896">
        <f t="shared" si="20"/>
        <v>0</v>
      </c>
      <c r="AY63" s="896">
        <f t="shared" si="20"/>
        <v>0</v>
      </c>
      <c r="AZ63" s="896">
        <f t="shared" si="20"/>
        <v>0</v>
      </c>
      <c r="BA63" s="896">
        <f t="shared" si="20"/>
        <v>0</v>
      </c>
      <c r="BB63" s="896">
        <f t="shared" si="20"/>
        <v>0</v>
      </c>
      <c r="BC63" s="896">
        <f t="shared" si="20"/>
        <v>0</v>
      </c>
      <c r="BD63" s="896">
        <f t="shared" si="20"/>
        <v>0</v>
      </c>
      <c r="BE63" s="896">
        <f t="shared" si="20"/>
        <v>0</v>
      </c>
      <c r="BF63" s="896">
        <f t="shared" si="20"/>
        <v>0</v>
      </c>
      <c r="BG63" s="896">
        <f t="shared" si="28"/>
        <v>0</v>
      </c>
      <c r="BH63" s="896">
        <f t="shared" si="28"/>
        <v>0</v>
      </c>
      <c r="BI63" s="896">
        <f t="shared" si="28"/>
        <v>0</v>
      </c>
      <c r="BJ63" s="896">
        <f t="shared" si="28"/>
        <v>0</v>
      </c>
      <c r="BK63" s="896">
        <f t="shared" si="28"/>
        <v>0</v>
      </c>
      <c r="BL63" s="896">
        <f t="shared" si="28"/>
        <v>0</v>
      </c>
      <c r="BM63" s="896">
        <f t="shared" si="28"/>
        <v>0</v>
      </c>
      <c r="BN63" s="896">
        <f t="shared" si="28"/>
        <v>0</v>
      </c>
      <c r="BO63" s="896">
        <f t="shared" si="28"/>
        <v>0</v>
      </c>
      <c r="BP63" s="896">
        <f t="shared" si="28"/>
        <v>0</v>
      </c>
    </row>
    <row r="64" spans="1:68" ht="15.75" thickBot="1" x14ac:dyDescent="0.3">
      <c r="A64" s="495" t="s">
        <v>182</v>
      </c>
      <c r="B64" s="496"/>
      <c r="C64" s="489" t="str">
        <f>IF($B64&lt;&gt;"",VLOOKUP($B64,COSTS_Archer_Queen[#All],2),"")</f>
        <v/>
      </c>
      <c r="D64" s="498" t="str">
        <f>IF($B64&lt;&gt;"",VLOOKUP($B64,COSTS_Archer_Queen[#All],3)/24,"")</f>
        <v/>
      </c>
      <c r="E64" s="499"/>
      <c r="F64" s="513"/>
      <c r="G64" s="185" t="str">
        <f t="shared" si="18"/>
        <v/>
      </c>
      <c r="H64" s="503"/>
      <c r="I64" s="898">
        <f t="shared" si="19"/>
        <v>0</v>
      </c>
      <c r="J64" s="898">
        <f t="shared" si="19"/>
        <v>0</v>
      </c>
      <c r="K64" s="898">
        <f t="shared" si="19"/>
        <v>0</v>
      </c>
      <c r="L64" s="898">
        <f t="shared" si="19"/>
        <v>0</v>
      </c>
      <c r="M64" s="898">
        <f t="shared" si="19"/>
        <v>0</v>
      </c>
      <c r="N64" s="898">
        <f t="shared" si="19"/>
        <v>0</v>
      </c>
      <c r="O64" s="898">
        <f t="shared" si="19"/>
        <v>0</v>
      </c>
      <c r="P64" s="898">
        <f t="shared" si="19"/>
        <v>0</v>
      </c>
      <c r="Q64" s="898">
        <f t="shared" si="19"/>
        <v>0</v>
      </c>
      <c r="R64" s="896">
        <f t="shared" si="19"/>
        <v>0</v>
      </c>
      <c r="S64" s="896">
        <f t="shared" si="17"/>
        <v>0</v>
      </c>
      <c r="T64" s="896">
        <f t="shared" si="17"/>
        <v>0</v>
      </c>
      <c r="U64" s="896">
        <f t="shared" ref="S64:AB71" si="30">IF(ISERROR(Plan),0,Plan)</f>
        <v>0</v>
      </c>
      <c r="V64" s="896">
        <f t="shared" si="30"/>
        <v>0</v>
      </c>
      <c r="W64" s="896">
        <f t="shared" si="30"/>
        <v>0</v>
      </c>
      <c r="X64" s="896">
        <f t="shared" si="30"/>
        <v>0</v>
      </c>
      <c r="Y64" s="896">
        <f t="shared" si="30"/>
        <v>0</v>
      </c>
      <c r="Z64" s="896">
        <f t="shared" si="30"/>
        <v>0</v>
      </c>
      <c r="AA64" s="896">
        <f t="shared" si="30"/>
        <v>0</v>
      </c>
      <c r="AB64" s="896">
        <f t="shared" si="30"/>
        <v>0</v>
      </c>
      <c r="AC64" s="896">
        <f t="shared" si="26"/>
        <v>0</v>
      </c>
      <c r="AD64" s="896">
        <f t="shared" si="26"/>
        <v>0</v>
      </c>
      <c r="AE64" s="896">
        <f t="shared" si="26"/>
        <v>0</v>
      </c>
      <c r="AF64" s="896">
        <f t="shared" si="26"/>
        <v>0</v>
      </c>
      <c r="AG64" s="896">
        <f t="shared" si="26"/>
        <v>0</v>
      </c>
      <c r="AH64" s="896">
        <f t="shared" si="26"/>
        <v>0</v>
      </c>
      <c r="AI64" s="896">
        <f t="shared" si="26"/>
        <v>0</v>
      </c>
      <c r="AJ64" s="896">
        <f t="shared" si="26"/>
        <v>0</v>
      </c>
      <c r="AK64" s="896">
        <f t="shared" si="26"/>
        <v>0</v>
      </c>
      <c r="AL64" s="896">
        <f t="shared" si="26"/>
        <v>0</v>
      </c>
      <c r="AM64" s="896">
        <f t="shared" si="27"/>
        <v>0</v>
      </c>
      <c r="AN64" s="896">
        <f t="shared" si="27"/>
        <v>0</v>
      </c>
      <c r="AO64" s="896">
        <f t="shared" si="27"/>
        <v>0</v>
      </c>
      <c r="AP64" s="896">
        <f t="shared" si="27"/>
        <v>0</v>
      </c>
      <c r="AQ64" s="896">
        <f t="shared" si="27"/>
        <v>0</v>
      </c>
      <c r="AR64" s="896">
        <f t="shared" si="27"/>
        <v>0</v>
      </c>
      <c r="AS64" s="896">
        <f t="shared" si="27"/>
        <v>0</v>
      </c>
      <c r="AT64" s="896">
        <f t="shared" si="27"/>
        <v>0</v>
      </c>
      <c r="AU64" s="896">
        <f t="shared" si="27"/>
        <v>0</v>
      </c>
      <c r="AV64" s="896">
        <f t="shared" si="27"/>
        <v>0</v>
      </c>
      <c r="AW64" s="896">
        <f t="shared" si="20"/>
        <v>0</v>
      </c>
      <c r="AX64" s="896">
        <f t="shared" si="20"/>
        <v>0</v>
      </c>
      <c r="AY64" s="896">
        <f t="shared" si="20"/>
        <v>0</v>
      </c>
      <c r="AZ64" s="896">
        <f t="shared" si="20"/>
        <v>0</v>
      </c>
      <c r="BA64" s="896">
        <f t="shared" si="20"/>
        <v>0</v>
      </c>
      <c r="BB64" s="896">
        <f t="shared" si="20"/>
        <v>0</v>
      </c>
      <c r="BC64" s="896">
        <f t="shared" si="20"/>
        <v>0</v>
      </c>
      <c r="BD64" s="896">
        <f t="shared" si="20"/>
        <v>0</v>
      </c>
      <c r="BE64" s="896">
        <f t="shared" si="20"/>
        <v>0</v>
      </c>
      <c r="BF64" s="896">
        <f t="shared" si="20"/>
        <v>0</v>
      </c>
      <c r="BG64" s="896">
        <f t="shared" si="28"/>
        <v>0</v>
      </c>
      <c r="BH64" s="896">
        <f t="shared" si="28"/>
        <v>0</v>
      </c>
      <c r="BI64" s="896">
        <f t="shared" si="28"/>
        <v>0</v>
      </c>
      <c r="BJ64" s="896">
        <f t="shared" si="28"/>
        <v>0</v>
      </c>
      <c r="BK64" s="896">
        <f t="shared" si="28"/>
        <v>0</v>
      </c>
      <c r="BL64" s="896">
        <f t="shared" si="28"/>
        <v>0</v>
      </c>
      <c r="BM64" s="896">
        <f t="shared" si="28"/>
        <v>0</v>
      </c>
      <c r="BN64" s="896">
        <f t="shared" si="28"/>
        <v>0</v>
      </c>
      <c r="BO64" s="896">
        <f t="shared" si="28"/>
        <v>0</v>
      </c>
      <c r="BP64" s="896">
        <f t="shared" si="28"/>
        <v>0</v>
      </c>
    </row>
    <row r="65" spans="1:68" ht="16.5" thickBot="1" x14ac:dyDescent="0.3">
      <c r="A65" s="1013" t="s">
        <v>585</v>
      </c>
      <c r="B65" s="1014"/>
      <c r="C65" s="1014"/>
      <c r="D65" s="1014"/>
      <c r="E65" s="1014"/>
      <c r="F65" s="1014"/>
      <c r="G65" s="1014"/>
      <c r="H65" s="1015"/>
      <c r="I65" s="898">
        <f t="shared" si="19"/>
        <v>0</v>
      </c>
      <c r="J65" s="898">
        <f t="shared" si="19"/>
        <v>0</v>
      </c>
      <c r="K65" s="898">
        <f t="shared" si="19"/>
        <v>0</v>
      </c>
      <c r="L65" s="898">
        <f t="shared" si="19"/>
        <v>0</v>
      </c>
      <c r="M65" s="898">
        <f t="shared" si="19"/>
        <v>0</v>
      </c>
      <c r="N65" s="898">
        <f t="shared" ref="J65:R71" si="31">IF(ISERROR(Plan),0,Plan)</f>
        <v>0</v>
      </c>
      <c r="O65" s="898">
        <f t="shared" si="31"/>
        <v>0</v>
      </c>
      <c r="P65" s="898">
        <f t="shared" si="31"/>
        <v>0</v>
      </c>
      <c r="Q65" s="898">
        <f t="shared" si="31"/>
        <v>0</v>
      </c>
      <c r="R65" s="896">
        <f t="shared" si="31"/>
        <v>0</v>
      </c>
      <c r="S65" s="896">
        <f t="shared" si="30"/>
        <v>0</v>
      </c>
      <c r="T65" s="896">
        <f t="shared" si="30"/>
        <v>0</v>
      </c>
      <c r="U65" s="896">
        <f t="shared" si="30"/>
        <v>0</v>
      </c>
      <c r="V65" s="896">
        <f t="shared" si="30"/>
        <v>0</v>
      </c>
      <c r="W65" s="896">
        <f t="shared" si="30"/>
        <v>0</v>
      </c>
      <c r="X65" s="896">
        <f t="shared" si="30"/>
        <v>0</v>
      </c>
      <c r="Y65" s="896">
        <f t="shared" si="30"/>
        <v>0</v>
      </c>
      <c r="Z65" s="896">
        <f t="shared" si="30"/>
        <v>0</v>
      </c>
      <c r="AA65" s="896">
        <f t="shared" si="30"/>
        <v>0</v>
      </c>
      <c r="AB65" s="896">
        <f t="shared" si="30"/>
        <v>0</v>
      </c>
      <c r="AC65" s="896">
        <f t="shared" si="26"/>
        <v>0</v>
      </c>
      <c r="AD65" s="896">
        <f t="shared" si="26"/>
        <v>0</v>
      </c>
      <c r="AE65" s="896">
        <f t="shared" si="26"/>
        <v>0</v>
      </c>
      <c r="AF65" s="896">
        <f t="shared" si="26"/>
        <v>0</v>
      </c>
      <c r="AG65" s="896">
        <f t="shared" si="26"/>
        <v>0</v>
      </c>
      <c r="AH65" s="896">
        <f t="shared" si="26"/>
        <v>0</v>
      </c>
      <c r="AI65" s="896">
        <f t="shared" si="26"/>
        <v>0</v>
      </c>
      <c r="AJ65" s="896">
        <f t="shared" si="26"/>
        <v>0</v>
      </c>
      <c r="AK65" s="896">
        <f t="shared" si="26"/>
        <v>0</v>
      </c>
      <c r="AL65" s="896">
        <f t="shared" si="26"/>
        <v>0</v>
      </c>
      <c r="AM65" s="896">
        <f t="shared" si="27"/>
        <v>0</v>
      </c>
      <c r="AN65" s="896">
        <f t="shared" si="27"/>
        <v>0</v>
      </c>
      <c r="AO65" s="896">
        <f t="shared" si="27"/>
        <v>0</v>
      </c>
      <c r="AP65" s="896">
        <f t="shared" si="27"/>
        <v>0</v>
      </c>
      <c r="AQ65" s="896">
        <f t="shared" si="27"/>
        <v>0</v>
      </c>
      <c r="AR65" s="896">
        <f t="shared" si="27"/>
        <v>0</v>
      </c>
      <c r="AS65" s="896">
        <f t="shared" si="27"/>
        <v>0</v>
      </c>
      <c r="AT65" s="896">
        <f t="shared" si="27"/>
        <v>0</v>
      </c>
      <c r="AU65" s="896">
        <f t="shared" si="27"/>
        <v>0</v>
      </c>
      <c r="AV65" s="896">
        <f t="shared" si="27"/>
        <v>0</v>
      </c>
      <c r="AW65" s="896">
        <f t="shared" si="20"/>
        <v>0</v>
      </c>
      <c r="AX65" s="896">
        <f t="shared" si="20"/>
        <v>0</v>
      </c>
      <c r="AY65" s="896">
        <f t="shared" si="20"/>
        <v>0</v>
      </c>
      <c r="AZ65" s="896">
        <f t="shared" si="20"/>
        <v>0</v>
      </c>
      <c r="BA65" s="896">
        <f t="shared" si="20"/>
        <v>0</v>
      </c>
      <c r="BB65" s="896">
        <f t="shared" si="20"/>
        <v>0</v>
      </c>
      <c r="BC65" s="896">
        <f t="shared" si="20"/>
        <v>0</v>
      </c>
      <c r="BD65" s="896">
        <f t="shared" si="20"/>
        <v>0</v>
      </c>
      <c r="BE65" s="896">
        <f t="shared" si="20"/>
        <v>0</v>
      </c>
      <c r="BF65" s="896">
        <f t="shared" si="20"/>
        <v>0</v>
      </c>
      <c r="BG65" s="896">
        <f t="shared" si="28"/>
        <v>0</v>
      </c>
      <c r="BH65" s="896">
        <f t="shared" si="28"/>
        <v>0</v>
      </c>
      <c r="BI65" s="896">
        <f t="shared" si="28"/>
        <v>0</v>
      </c>
      <c r="BJ65" s="896">
        <f t="shared" si="28"/>
        <v>0</v>
      </c>
      <c r="BK65" s="896">
        <f t="shared" si="28"/>
        <v>0</v>
      </c>
      <c r="BL65" s="896">
        <f t="shared" si="28"/>
        <v>0</v>
      </c>
      <c r="BM65" s="896">
        <f t="shared" si="28"/>
        <v>0</v>
      </c>
      <c r="BN65" s="896">
        <f t="shared" si="28"/>
        <v>0</v>
      </c>
      <c r="BO65" s="896">
        <f t="shared" si="28"/>
        <v>0</v>
      </c>
      <c r="BP65" s="896">
        <f t="shared" si="28"/>
        <v>0</v>
      </c>
    </row>
    <row r="66" spans="1:68" x14ac:dyDescent="0.25">
      <c r="A66" s="482" t="s">
        <v>564</v>
      </c>
      <c r="B66" s="483"/>
      <c r="C66" s="206" t="str">
        <f>IF($B66&lt;&gt;"",VLOOKUP($B66,COSTS_Bomb[#All],2),"")</f>
        <v/>
      </c>
      <c r="D66" s="491" t="str">
        <f>IF($B66&lt;&gt;"",VLOOKUP($B66,COSTS_Bomb[#All],3)/24,"")</f>
        <v/>
      </c>
      <c r="E66" s="499"/>
      <c r="F66" s="512"/>
      <c r="G66" s="500" t="str">
        <f t="shared" si="18"/>
        <v/>
      </c>
      <c r="H66" s="501"/>
      <c r="I66" s="898">
        <f t="shared" ref="I66:I71" si="32">IF(ISERROR(Plan),0,Plan)</f>
        <v>0</v>
      </c>
      <c r="J66" s="898">
        <f t="shared" si="31"/>
        <v>0</v>
      </c>
      <c r="K66" s="898">
        <f t="shared" si="31"/>
        <v>0</v>
      </c>
      <c r="L66" s="898">
        <f t="shared" si="31"/>
        <v>0</v>
      </c>
      <c r="M66" s="898">
        <f t="shared" si="31"/>
        <v>0</v>
      </c>
      <c r="N66" s="898">
        <f t="shared" si="31"/>
        <v>0</v>
      </c>
      <c r="O66" s="898">
        <f t="shared" si="31"/>
        <v>0</v>
      </c>
      <c r="P66" s="898">
        <f t="shared" si="31"/>
        <v>0</v>
      </c>
      <c r="Q66" s="898">
        <f t="shared" si="31"/>
        <v>0</v>
      </c>
      <c r="R66" s="896">
        <f t="shared" si="31"/>
        <v>0</v>
      </c>
      <c r="S66" s="896">
        <f t="shared" si="30"/>
        <v>0</v>
      </c>
      <c r="T66" s="896">
        <f t="shared" si="30"/>
        <v>0</v>
      </c>
      <c r="U66" s="896">
        <f t="shared" si="30"/>
        <v>0</v>
      </c>
      <c r="V66" s="896">
        <f t="shared" si="30"/>
        <v>0</v>
      </c>
      <c r="W66" s="896">
        <f t="shared" si="30"/>
        <v>0</v>
      </c>
      <c r="X66" s="896">
        <f t="shared" si="30"/>
        <v>0</v>
      </c>
      <c r="Y66" s="896">
        <f t="shared" si="30"/>
        <v>0</v>
      </c>
      <c r="Z66" s="896">
        <f t="shared" si="30"/>
        <v>0</v>
      </c>
      <c r="AA66" s="896">
        <f t="shared" si="30"/>
        <v>0</v>
      </c>
      <c r="AB66" s="896">
        <f t="shared" si="30"/>
        <v>0</v>
      </c>
      <c r="AC66" s="896">
        <f t="shared" si="26"/>
        <v>0</v>
      </c>
      <c r="AD66" s="896">
        <f t="shared" si="26"/>
        <v>0</v>
      </c>
      <c r="AE66" s="896">
        <f t="shared" si="26"/>
        <v>0</v>
      </c>
      <c r="AF66" s="896">
        <f t="shared" si="26"/>
        <v>0</v>
      </c>
      <c r="AG66" s="896">
        <f t="shared" si="26"/>
        <v>0</v>
      </c>
      <c r="AH66" s="896">
        <f t="shared" si="26"/>
        <v>0</v>
      </c>
      <c r="AI66" s="896">
        <f t="shared" si="26"/>
        <v>0</v>
      </c>
      <c r="AJ66" s="896">
        <f t="shared" si="26"/>
        <v>0</v>
      </c>
      <c r="AK66" s="896">
        <f t="shared" si="26"/>
        <v>0</v>
      </c>
      <c r="AL66" s="896">
        <f t="shared" si="26"/>
        <v>0</v>
      </c>
      <c r="AM66" s="896">
        <f t="shared" si="27"/>
        <v>0</v>
      </c>
      <c r="AN66" s="896">
        <f t="shared" si="27"/>
        <v>0</v>
      </c>
      <c r="AO66" s="896">
        <f t="shared" si="27"/>
        <v>0</v>
      </c>
      <c r="AP66" s="896">
        <f t="shared" si="27"/>
        <v>0</v>
      </c>
      <c r="AQ66" s="896">
        <f t="shared" si="27"/>
        <v>0</v>
      </c>
      <c r="AR66" s="896">
        <f t="shared" si="27"/>
        <v>0</v>
      </c>
      <c r="AS66" s="896">
        <f t="shared" si="27"/>
        <v>0</v>
      </c>
      <c r="AT66" s="896">
        <f t="shared" si="27"/>
        <v>0</v>
      </c>
      <c r="AU66" s="896">
        <f t="shared" si="27"/>
        <v>0</v>
      </c>
      <c r="AV66" s="896">
        <f t="shared" si="27"/>
        <v>0</v>
      </c>
      <c r="AW66" s="896">
        <f t="shared" si="20"/>
        <v>0</v>
      </c>
      <c r="AX66" s="896">
        <f t="shared" si="20"/>
        <v>0</v>
      </c>
      <c r="AY66" s="896">
        <f t="shared" si="20"/>
        <v>0</v>
      </c>
      <c r="AZ66" s="896">
        <f t="shared" si="20"/>
        <v>0</v>
      </c>
      <c r="BA66" s="896">
        <f t="shared" si="20"/>
        <v>0</v>
      </c>
      <c r="BB66" s="896">
        <f t="shared" si="20"/>
        <v>0</v>
      </c>
      <c r="BC66" s="896">
        <f t="shared" si="20"/>
        <v>0</v>
      </c>
      <c r="BD66" s="896">
        <f t="shared" si="20"/>
        <v>0</v>
      </c>
      <c r="BE66" s="896">
        <f t="shared" si="20"/>
        <v>0</v>
      </c>
      <c r="BF66" s="896">
        <f t="shared" si="20"/>
        <v>0</v>
      </c>
      <c r="BG66" s="896">
        <f t="shared" si="28"/>
        <v>0</v>
      </c>
      <c r="BH66" s="896">
        <f t="shared" si="28"/>
        <v>0</v>
      </c>
      <c r="BI66" s="896">
        <f t="shared" si="28"/>
        <v>0</v>
      </c>
      <c r="BJ66" s="896">
        <f t="shared" si="28"/>
        <v>0</v>
      </c>
      <c r="BK66" s="896">
        <f t="shared" si="28"/>
        <v>0</v>
      </c>
      <c r="BL66" s="896">
        <f t="shared" si="28"/>
        <v>0</v>
      </c>
      <c r="BM66" s="896">
        <f t="shared" si="28"/>
        <v>0</v>
      </c>
      <c r="BN66" s="896">
        <f t="shared" si="28"/>
        <v>0</v>
      </c>
      <c r="BO66" s="896">
        <f t="shared" si="28"/>
        <v>0</v>
      </c>
      <c r="BP66" s="896">
        <f t="shared" si="28"/>
        <v>0</v>
      </c>
    </row>
    <row r="67" spans="1:68" x14ac:dyDescent="0.25">
      <c r="A67" s="482" t="s">
        <v>562</v>
      </c>
      <c r="B67" s="483"/>
      <c r="C67" s="206" t="str">
        <f>IF($B67&lt;&gt;"",VLOOKUP($B67,COSTS_Spring_Trap[#All],2),"")</f>
        <v/>
      </c>
      <c r="D67" s="491" t="str">
        <f>IF($B67&lt;&gt;"",VLOOKUP($B67,COSTS_Spring_Trap[#All],3)/24,"")</f>
        <v/>
      </c>
      <c r="E67" s="499"/>
      <c r="F67" s="512"/>
      <c r="G67" s="500" t="str">
        <f t="shared" ref="G67:G71" si="33">IF($D67&lt;&gt;"",$D67,"")</f>
        <v/>
      </c>
      <c r="H67" s="501"/>
      <c r="I67" s="898">
        <f t="shared" si="32"/>
        <v>0</v>
      </c>
      <c r="J67" s="898">
        <f t="shared" si="31"/>
        <v>0</v>
      </c>
      <c r="K67" s="898">
        <f t="shared" si="31"/>
        <v>0</v>
      </c>
      <c r="L67" s="898">
        <f t="shared" si="31"/>
        <v>0</v>
      </c>
      <c r="M67" s="898">
        <f t="shared" si="31"/>
        <v>0</v>
      </c>
      <c r="N67" s="898">
        <f t="shared" si="31"/>
        <v>0</v>
      </c>
      <c r="O67" s="898">
        <f t="shared" si="31"/>
        <v>0</v>
      </c>
      <c r="P67" s="898">
        <f t="shared" si="31"/>
        <v>0</v>
      </c>
      <c r="Q67" s="898">
        <f t="shared" si="31"/>
        <v>0</v>
      </c>
      <c r="R67" s="896">
        <f t="shared" si="31"/>
        <v>0</v>
      </c>
      <c r="S67" s="896">
        <f t="shared" si="30"/>
        <v>0</v>
      </c>
      <c r="T67" s="896">
        <f t="shared" si="30"/>
        <v>0</v>
      </c>
      <c r="U67" s="896">
        <f t="shared" si="30"/>
        <v>0</v>
      </c>
      <c r="V67" s="896">
        <f t="shared" si="30"/>
        <v>0</v>
      </c>
      <c r="W67" s="896">
        <f t="shared" si="30"/>
        <v>0</v>
      </c>
      <c r="X67" s="896">
        <f t="shared" si="30"/>
        <v>0</v>
      </c>
      <c r="Y67" s="896">
        <f t="shared" si="30"/>
        <v>0</v>
      </c>
      <c r="Z67" s="896">
        <f t="shared" si="30"/>
        <v>0</v>
      </c>
      <c r="AA67" s="896">
        <f t="shared" si="30"/>
        <v>0</v>
      </c>
      <c r="AB67" s="896">
        <f t="shared" si="30"/>
        <v>0</v>
      </c>
      <c r="AC67" s="896">
        <f t="shared" si="26"/>
        <v>0</v>
      </c>
      <c r="AD67" s="896">
        <f t="shared" si="26"/>
        <v>0</v>
      </c>
      <c r="AE67" s="896">
        <f t="shared" si="26"/>
        <v>0</v>
      </c>
      <c r="AF67" s="896">
        <f t="shared" si="26"/>
        <v>0</v>
      </c>
      <c r="AG67" s="896">
        <f t="shared" si="26"/>
        <v>0</v>
      </c>
      <c r="AH67" s="896">
        <f t="shared" si="26"/>
        <v>0</v>
      </c>
      <c r="AI67" s="896">
        <f t="shared" si="26"/>
        <v>0</v>
      </c>
      <c r="AJ67" s="896">
        <f t="shared" si="26"/>
        <v>0</v>
      </c>
      <c r="AK67" s="896">
        <f t="shared" si="26"/>
        <v>0</v>
      </c>
      <c r="AL67" s="896">
        <f t="shared" si="26"/>
        <v>0</v>
      </c>
      <c r="AM67" s="896">
        <f t="shared" si="27"/>
        <v>0</v>
      </c>
      <c r="AN67" s="896">
        <f t="shared" si="27"/>
        <v>0</v>
      </c>
      <c r="AO67" s="896">
        <f t="shared" si="27"/>
        <v>0</v>
      </c>
      <c r="AP67" s="896">
        <f t="shared" si="27"/>
        <v>0</v>
      </c>
      <c r="AQ67" s="896">
        <f t="shared" si="27"/>
        <v>0</v>
      </c>
      <c r="AR67" s="896">
        <f t="shared" si="27"/>
        <v>0</v>
      </c>
      <c r="AS67" s="896">
        <f t="shared" si="27"/>
        <v>0</v>
      </c>
      <c r="AT67" s="896">
        <f t="shared" si="27"/>
        <v>0</v>
      </c>
      <c r="AU67" s="896">
        <f t="shared" si="27"/>
        <v>0</v>
      </c>
      <c r="AV67" s="896">
        <f t="shared" si="27"/>
        <v>0</v>
      </c>
      <c r="AW67" s="896">
        <f t="shared" si="20"/>
        <v>0</v>
      </c>
      <c r="AX67" s="896">
        <f t="shared" si="20"/>
        <v>0</v>
      </c>
      <c r="AY67" s="896">
        <f t="shared" si="20"/>
        <v>0</v>
      </c>
      <c r="AZ67" s="896">
        <f t="shared" si="20"/>
        <v>0</v>
      </c>
      <c r="BA67" s="896">
        <f t="shared" si="20"/>
        <v>0</v>
      </c>
      <c r="BB67" s="896">
        <f t="shared" si="20"/>
        <v>0</v>
      </c>
      <c r="BC67" s="896">
        <f t="shared" si="20"/>
        <v>0</v>
      </c>
      <c r="BD67" s="896">
        <f t="shared" si="20"/>
        <v>0</v>
      </c>
      <c r="BE67" s="896">
        <f t="shared" si="20"/>
        <v>0</v>
      </c>
      <c r="BF67" s="896">
        <f t="shared" si="20"/>
        <v>0</v>
      </c>
      <c r="BG67" s="896">
        <f t="shared" si="28"/>
        <v>0</v>
      </c>
      <c r="BH67" s="896">
        <f t="shared" si="28"/>
        <v>0</v>
      </c>
      <c r="BI67" s="896">
        <f t="shared" si="28"/>
        <v>0</v>
      </c>
      <c r="BJ67" s="896">
        <f t="shared" si="28"/>
        <v>0</v>
      </c>
      <c r="BK67" s="896">
        <f t="shared" si="28"/>
        <v>0</v>
      </c>
      <c r="BL67" s="896">
        <f t="shared" si="28"/>
        <v>0</v>
      </c>
      <c r="BM67" s="896">
        <f t="shared" si="28"/>
        <v>0</v>
      </c>
      <c r="BN67" s="896">
        <f t="shared" si="28"/>
        <v>0</v>
      </c>
      <c r="BO67" s="896">
        <f t="shared" si="28"/>
        <v>0</v>
      </c>
      <c r="BP67" s="896">
        <f t="shared" si="28"/>
        <v>0</v>
      </c>
    </row>
    <row r="68" spans="1:68" x14ac:dyDescent="0.25">
      <c r="A68" s="482" t="s">
        <v>561</v>
      </c>
      <c r="B68" s="483"/>
      <c r="C68" s="206" t="str">
        <f>IF($B68&lt;&gt;"",VLOOKUP($B68,COSTS_Giant_Bomb[#All],2),"")</f>
        <v/>
      </c>
      <c r="D68" s="491" t="str">
        <f>IF($B68&lt;&gt;"",VLOOKUP($B68,COSTS_Giant_Bomb[#All],3)/24,"")</f>
        <v/>
      </c>
      <c r="E68" s="499"/>
      <c r="F68" s="512"/>
      <c r="G68" s="500" t="str">
        <f t="shared" si="33"/>
        <v/>
      </c>
      <c r="H68" s="501"/>
      <c r="I68" s="898">
        <f t="shared" si="32"/>
        <v>0</v>
      </c>
      <c r="J68" s="898">
        <f t="shared" si="31"/>
        <v>0</v>
      </c>
      <c r="K68" s="898">
        <f t="shared" si="31"/>
        <v>0</v>
      </c>
      <c r="L68" s="898">
        <f t="shared" si="31"/>
        <v>0</v>
      </c>
      <c r="M68" s="898">
        <f t="shared" si="31"/>
        <v>0</v>
      </c>
      <c r="N68" s="898">
        <f t="shared" si="31"/>
        <v>0</v>
      </c>
      <c r="O68" s="898">
        <f t="shared" si="31"/>
        <v>0</v>
      </c>
      <c r="P68" s="898">
        <f t="shared" si="31"/>
        <v>0</v>
      </c>
      <c r="Q68" s="898">
        <f t="shared" si="31"/>
        <v>0</v>
      </c>
      <c r="R68" s="896">
        <f t="shared" si="31"/>
        <v>0</v>
      </c>
      <c r="S68" s="896">
        <f t="shared" si="30"/>
        <v>0</v>
      </c>
      <c r="T68" s="896">
        <f t="shared" si="30"/>
        <v>0</v>
      </c>
      <c r="U68" s="896">
        <f t="shared" si="30"/>
        <v>0</v>
      </c>
      <c r="V68" s="896">
        <f t="shared" si="30"/>
        <v>0</v>
      </c>
      <c r="W68" s="896">
        <f t="shared" si="30"/>
        <v>0</v>
      </c>
      <c r="X68" s="896">
        <f t="shared" si="30"/>
        <v>0</v>
      </c>
      <c r="Y68" s="896">
        <f t="shared" si="30"/>
        <v>0</v>
      </c>
      <c r="Z68" s="896">
        <f t="shared" si="30"/>
        <v>0</v>
      </c>
      <c r="AA68" s="896">
        <f t="shared" si="30"/>
        <v>0</v>
      </c>
      <c r="AB68" s="896">
        <f t="shared" si="30"/>
        <v>0</v>
      </c>
      <c r="AC68" s="896">
        <f t="shared" si="26"/>
        <v>0</v>
      </c>
      <c r="AD68" s="896">
        <f t="shared" si="26"/>
        <v>0</v>
      </c>
      <c r="AE68" s="896">
        <f t="shared" si="26"/>
        <v>0</v>
      </c>
      <c r="AF68" s="896">
        <f t="shared" si="26"/>
        <v>0</v>
      </c>
      <c r="AG68" s="896">
        <f t="shared" si="26"/>
        <v>0</v>
      </c>
      <c r="AH68" s="896">
        <f t="shared" si="26"/>
        <v>0</v>
      </c>
      <c r="AI68" s="896">
        <f t="shared" si="26"/>
        <v>0</v>
      </c>
      <c r="AJ68" s="896">
        <f t="shared" si="26"/>
        <v>0</v>
      </c>
      <c r="AK68" s="896">
        <f t="shared" si="26"/>
        <v>0</v>
      </c>
      <c r="AL68" s="896">
        <f t="shared" si="26"/>
        <v>0</v>
      </c>
      <c r="AM68" s="896">
        <f t="shared" si="27"/>
        <v>0</v>
      </c>
      <c r="AN68" s="896">
        <f t="shared" si="27"/>
        <v>0</v>
      </c>
      <c r="AO68" s="896">
        <f t="shared" si="27"/>
        <v>0</v>
      </c>
      <c r="AP68" s="896">
        <f t="shared" si="27"/>
        <v>0</v>
      </c>
      <c r="AQ68" s="896">
        <f t="shared" si="27"/>
        <v>0</v>
      </c>
      <c r="AR68" s="896">
        <f t="shared" si="27"/>
        <v>0</v>
      </c>
      <c r="AS68" s="896">
        <f t="shared" si="27"/>
        <v>0</v>
      </c>
      <c r="AT68" s="896">
        <f t="shared" si="27"/>
        <v>0</v>
      </c>
      <c r="AU68" s="896">
        <f t="shared" si="27"/>
        <v>0</v>
      </c>
      <c r="AV68" s="896">
        <f t="shared" si="27"/>
        <v>0</v>
      </c>
      <c r="AW68" s="896">
        <f t="shared" si="20"/>
        <v>0</v>
      </c>
      <c r="AX68" s="896">
        <f t="shared" si="20"/>
        <v>0</v>
      </c>
      <c r="AY68" s="896">
        <f t="shared" si="20"/>
        <v>0</v>
      </c>
      <c r="AZ68" s="896">
        <f t="shared" si="20"/>
        <v>0</v>
      </c>
      <c r="BA68" s="896">
        <f t="shared" si="20"/>
        <v>0</v>
      </c>
      <c r="BB68" s="896">
        <f t="shared" si="20"/>
        <v>0</v>
      </c>
      <c r="BC68" s="896">
        <f t="shared" si="20"/>
        <v>0</v>
      </c>
      <c r="BD68" s="896">
        <f t="shared" si="20"/>
        <v>0</v>
      </c>
      <c r="BE68" s="896">
        <f t="shared" si="20"/>
        <v>0</v>
      </c>
      <c r="BF68" s="896">
        <f t="shared" si="20"/>
        <v>0</v>
      </c>
      <c r="BG68" s="896">
        <f t="shared" si="28"/>
        <v>0</v>
      </c>
      <c r="BH68" s="896">
        <f t="shared" si="28"/>
        <v>0</v>
      </c>
      <c r="BI68" s="896">
        <f t="shared" si="28"/>
        <v>0</v>
      </c>
      <c r="BJ68" s="896">
        <f t="shared" si="28"/>
        <v>0</v>
      </c>
      <c r="BK68" s="896">
        <f t="shared" si="28"/>
        <v>0</v>
      </c>
      <c r="BL68" s="896">
        <f t="shared" si="28"/>
        <v>0</v>
      </c>
      <c r="BM68" s="896">
        <f t="shared" si="28"/>
        <v>0</v>
      </c>
      <c r="BN68" s="896">
        <f t="shared" si="28"/>
        <v>0</v>
      </c>
      <c r="BO68" s="896">
        <f t="shared" si="28"/>
        <v>0</v>
      </c>
      <c r="BP68" s="896">
        <f t="shared" si="28"/>
        <v>0</v>
      </c>
    </row>
    <row r="69" spans="1:68" x14ac:dyDescent="0.25">
      <c r="A69" s="482" t="s">
        <v>563</v>
      </c>
      <c r="B69" s="483"/>
      <c r="C69" s="206" t="str">
        <f>IF($B69&lt;&gt;"",VLOOKUP($B69,COST_Air_Bomb[#All],2),"")</f>
        <v/>
      </c>
      <c r="D69" s="491" t="str">
        <f>IF($B69&lt;&gt;"",VLOOKUP($B69,COST_Air_Bomb[#All],3)/24,"")</f>
        <v/>
      </c>
      <c r="E69" s="499"/>
      <c r="F69" s="512"/>
      <c r="G69" s="500" t="str">
        <f t="shared" si="33"/>
        <v/>
      </c>
      <c r="H69" s="501"/>
      <c r="I69" s="898">
        <f t="shared" si="32"/>
        <v>0</v>
      </c>
      <c r="J69" s="898">
        <f t="shared" si="31"/>
        <v>0</v>
      </c>
      <c r="K69" s="898">
        <f t="shared" si="31"/>
        <v>0</v>
      </c>
      <c r="L69" s="898">
        <f t="shared" si="31"/>
        <v>0</v>
      </c>
      <c r="M69" s="898">
        <f t="shared" si="31"/>
        <v>0</v>
      </c>
      <c r="N69" s="898">
        <f t="shared" si="31"/>
        <v>0</v>
      </c>
      <c r="O69" s="898">
        <f t="shared" si="31"/>
        <v>0</v>
      </c>
      <c r="P69" s="898">
        <f t="shared" si="31"/>
        <v>0</v>
      </c>
      <c r="Q69" s="898">
        <f t="shared" si="31"/>
        <v>0</v>
      </c>
      <c r="R69" s="896">
        <f t="shared" si="31"/>
        <v>0</v>
      </c>
      <c r="S69" s="896">
        <f t="shared" si="30"/>
        <v>0</v>
      </c>
      <c r="T69" s="896">
        <f t="shared" si="30"/>
        <v>0</v>
      </c>
      <c r="U69" s="896">
        <f t="shared" si="30"/>
        <v>0</v>
      </c>
      <c r="V69" s="896">
        <f t="shared" si="30"/>
        <v>0</v>
      </c>
      <c r="W69" s="896">
        <f t="shared" si="30"/>
        <v>0</v>
      </c>
      <c r="X69" s="896">
        <f t="shared" si="30"/>
        <v>0</v>
      </c>
      <c r="Y69" s="896">
        <f t="shared" si="30"/>
        <v>0</v>
      </c>
      <c r="Z69" s="896">
        <f t="shared" si="30"/>
        <v>0</v>
      </c>
      <c r="AA69" s="896">
        <f t="shared" si="30"/>
        <v>0</v>
      </c>
      <c r="AB69" s="896">
        <f t="shared" si="30"/>
        <v>0</v>
      </c>
      <c r="AC69" s="896">
        <f t="shared" si="26"/>
        <v>0</v>
      </c>
      <c r="AD69" s="896">
        <f t="shared" si="26"/>
        <v>0</v>
      </c>
      <c r="AE69" s="896">
        <f t="shared" si="26"/>
        <v>0</v>
      </c>
      <c r="AF69" s="896">
        <f t="shared" si="26"/>
        <v>0</v>
      </c>
      <c r="AG69" s="896">
        <f t="shared" si="26"/>
        <v>0</v>
      </c>
      <c r="AH69" s="896">
        <f t="shared" si="26"/>
        <v>0</v>
      </c>
      <c r="AI69" s="896">
        <f t="shared" si="26"/>
        <v>0</v>
      </c>
      <c r="AJ69" s="896">
        <f t="shared" si="26"/>
        <v>0</v>
      </c>
      <c r="AK69" s="896">
        <f t="shared" si="26"/>
        <v>0</v>
      </c>
      <c r="AL69" s="896">
        <f t="shared" si="26"/>
        <v>0</v>
      </c>
      <c r="AM69" s="896">
        <f t="shared" si="27"/>
        <v>0</v>
      </c>
      <c r="AN69" s="896">
        <f t="shared" si="27"/>
        <v>0</v>
      </c>
      <c r="AO69" s="896">
        <f t="shared" si="27"/>
        <v>0</v>
      </c>
      <c r="AP69" s="896">
        <f t="shared" si="27"/>
        <v>0</v>
      </c>
      <c r="AQ69" s="896">
        <f t="shared" si="27"/>
        <v>0</v>
      </c>
      <c r="AR69" s="896">
        <f t="shared" si="27"/>
        <v>0</v>
      </c>
      <c r="AS69" s="896">
        <f t="shared" si="27"/>
        <v>0</v>
      </c>
      <c r="AT69" s="896">
        <f t="shared" ref="AM69:AV71" si="34">IF(ISERROR(Plan),0,Plan)</f>
        <v>0</v>
      </c>
      <c r="AU69" s="896">
        <f t="shared" si="34"/>
        <v>0</v>
      </c>
      <c r="AV69" s="896">
        <f t="shared" si="34"/>
        <v>0</v>
      </c>
      <c r="AW69" s="896">
        <f t="shared" si="20"/>
        <v>0</v>
      </c>
      <c r="AX69" s="896">
        <f t="shared" si="20"/>
        <v>0</v>
      </c>
      <c r="AY69" s="896">
        <f t="shared" ref="AW69:BF71" si="35">IF(ISERROR(Plan),0,Plan)</f>
        <v>0</v>
      </c>
      <c r="AZ69" s="896">
        <f t="shared" si="35"/>
        <v>0</v>
      </c>
      <c r="BA69" s="896">
        <f t="shared" si="35"/>
        <v>0</v>
      </c>
      <c r="BB69" s="896">
        <f t="shared" si="35"/>
        <v>0</v>
      </c>
      <c r="BC69" s="896">
        <f t="shared" si="35"/>
        <v>0</v>
      </c>
      <c r="BD69" s="896">
        <f t="shared" si="35"/>
        <v>0</v>
      </c>
      <c r="BE69" s="896">
        <f t="shared" si="35"/>
        <v>0</v>
      </c>
      <c r="BF69" s="896">
        <f t="shared" si="35"/>
        <v>0</v>
      </c>
      <c r="BG69" s="896">
        <f t="shared" si="28"/>
        <v>0</v>
      </c>
      <c r="BH69" s="896">
        <f t="shared" si="28"/>
        <v>0</v>
      </c>
      <c r="BI69" s="896">
        <f t="shared" si="28"/>
        <v>0</v>
      </c>
      <c r="BJ69" s="896">
        <f t="shared" si="28"/>
        <v>0</v>
      </c>
      <c r="BK69" s="896">
        <f t="shared" si="28"/>
        <v>0</v>
      </c>
      <c r="BL69" s="896">
        <f t="shared" si="28"/>
        <v>0</v>
      </c>
      <c r="BM69" s="896">
        <f t="shared" si="28"/>
        <v>0</v>
      </c>
      <c r="BN69" s="896">
        <f t="shared" si="28"/>
        <v>0</v>
      </c>
      <c r="BO69" s="896">
        <f t="shared" si="28"/>
        <v>0</v>
      </c>
      <c r="BP69" s="896">
        <f t="shared" si="28"/>
        <v>0</v>
      </c>
    </row>
    <row r="70" spans="1:68" x14ac:dyDescent="0.25">
      <c r="A70" s="482" t="s">
        <v>565</v>
      </c>
      <c r="B70" s="483"/>
      <c r="C70" s="206" t="str">
        <f>IF($B70&lt;&gt;"",VLOOKUP($B70,COST_Seeking_Air_Mine[#All],2),"")</f>
        <v/>
      </c>
      <c r="D70" s="491" t="str">
        <f>IF($B70&lt;&gt;"",VLOOKUP($B70,COST_Seeking_Air_Mine[#All],3)/24,"")</f>
        <v/>
      </c>
      <c r="E70" s="499"/>
      <c r="F70" s="512"/>
      <c r="G70" s="500" t="str">
        <f t="shared" si="33"/>
        <v/>
      </c>
      <c r="H70" s="501"/>
      <c r="I70" s="898">
        <f t="shared" si="32"/>
        <v>0</v>
      </c>
      <c r="J70" s="898">
        <f t="shared" si="31"/>
        <v>0</v>
      </c>
      <c r="K70" s="898">
        <f t="shared" si="31"/>
        <v>0</v>
      </c>
      <c r="L70" s="898">
        <f t="shared" si="31"/>
        <v>0</v>
      </c>
      <c r="M70" s="898">
        <f t="shared" si="31"/>
        <v>0</v>
      </c>
      <c r="N70" s="898">
        <f t="shared" si="31"/>
        <v>0</v>
      </c>
      <c r="O70" s="898">
        <f t="shared" si="31"/>
        <v>0</v>
      </c>
      <c r="P70" s="898">
        <f t="shared" si="31"/>
        <v>0</v>
      </c>
      <c r="Q70" s="898">
        <f t="shared" si="31"/>
        <v>0</v>
      </c>
      <c r="R70" s="896">
        <f t="shared" si="31"/>
        <v>0</v>
      </c>
      <c r="S70" s="896">
        <f t="shared" si="30"/>
        <v>0</v>
      </c>
      <c r="T70" s="896">
        <f t="shared" si="30"/>
        <v>0</v>
      </c>
      <c r="U70" s="896">
        <f t="shared" si="30"/>
        <v>0</v>
      </c>
      <c r="V70" s="896">
        <f t="shared" si="30"/>
        <v>0</v>
      </c>
      <c r="W70" s="896">
        <f t="shared" si="30"/>
        <v>0</v>
      </c>
      <c r="X70" s="896">
        <f t="shared" si="30"/>
        <v>0</v>
      </c>
      <c r="Y70" s="896">
        <f t="shared" si="30"/>
        <v>0</v>
      </c>
      <c r="Z70" s="896">
        <f t="shared" si="30"/>
        <v>0</v>
      </c>
      <c r="AA70" s="896">
        <f t="shared" si="30"/>
        <v>0</v>
      </c>
      <c r="AB70" s="896">
        <f t="shared" si="30"/>
        <v>0</v>
      </c>
      <c r="AC70" s="896">
        <f t="shared" si="26"/>
        <v>0</v>
      </c>
      <c r="AD70" s="896">
        <f t="shared" si="26"/>
        <v>0</v>
      </c>
      <c r="AE70" s="896">
        <f t="shared" si="26"/>
        <v>0</v>
      </c>
      <c r="AF70" s="896">
        <f t="shared" si="26"/>
        <v>0</v>
      </c>
      <c r="AG70" s="896">
        <f t="shared" si="26"/>
        <v>0</v>
      </c>
      <c r="AH70" s="896">
        <f t="shared" si="26"/>
        <v>0</v>
      </c>
      <c r="AI70" s="896">
        <f t="shared" si="26"/>
        <v>0</v>
      </c>
      <c r="AJ70" s="896">
        <f t="shared" si="26"/>
        <v>0</v>
      </c>
      <c r="AK70" s="896">
        <f t="shared" si="26"/>
        <v>0</v>
      </c>
      <c r="AL70" s="896">
        <f t="shared" si="26"/>
        <v>0</v>
      </c>
      <c r="AM70" s="896">
        <f t="shared" si="34"/>
        <v>0</v>
      </c>
      <c r="AN70" s="896">
        <f t="shared" si="34"/>
        <v>0</v>
      </c>
      <c r="AO70" s="896">
        <f t="shared" si="34"/>
        <v>0</v>
      </c>
      <c r="AP70" s="896">
        <f t="shared" si="34"/>
        <v>0</v>
      </c>
      <c r="AQ70" s="896">
        <f t="shared" si="34"/>
        <v>0</v>
      </c>
      <c r="AR70" s="896">
        <f t="shared" si="34"/>
        <v>0</v>
      </c>
      <c r="AS70" s="896">
        <f t="shared" si="34"/>
        <v>0</v>
      </c>
      <c r="AT70" s="896">
        <f t="shared" si="34"/>
        <v>0</v>
      </c>
      <c r="AU70" s="896">
        <f t="shared" si="34"/>
        <v>0</v>
      </c>
      <c r="AV70" s="896">
        <f t="shared" si="34"/>
        <v>0</v>
      </c>
      <c r="AW70" s="896">
        <f t="shared" si="35"/>
        <v>0</v>
      </c>
      <c r="AX70" s="896">
        <f t="shared" si="35"/>
        <v>0</v>
      </c>
      <c r="AY70" s="896">
        <f t="shared" si="35"/>
        <v>0</v>
      </c>
      <c r="AZ70" s="896">
        <f t="shared" si="35"/>
        <v>0</v>
      </c>
      <c r="BA70" s="896">
        <f t="shared" si="35"/>
        <v>0</v>
      </c>
      <c r="BB70" s="896">
        <f t="shared" si="35"/>
        <v>0</v>
      </c>
      <c r="BC70" s="896">
        <f t="shared" si="35"/>
        <v>0</v>
      </c>
      <c r="BD70" s="896">
        <f t="shared" si="35"/>
        <v>0</v>
      </c>
      <c r="BE70" s="896">
        <f t="shared" si="35"/>
        <v>0</v>
      </c>
      <c r="BF70" s="896">
        <f t="shared" si="35"/>
        <v>0</v>
      </c>
      <c r="BG70" s="896">
        <f t="shared" si="28"/>
        <v>0</v>
      </c>
      <c r="BH70" s="896">
        <f t="shared" si="28"/>
        <v>0</v>
      </c>
      <c r="BI70" s="896">
        <f t="shared" si="28"/>
        <v>0</v>
      </c>
      <c r="BJ70" s="896">
        <f t="shared" si="28"/>
        <v>0</v>
      </c>
      <c r="BK70" s="896">
        <f t="shared" si="28"/>
        <v>0</v>
      </c>
      <c r="BL70" s="896">
        <f t="shared" si="28"/>
        <v>0</v>
      </c>
      <c r="BM70" s="896">
        <f t="shared" si="28"/>
        <v>0</v>
      </c>
      <c r="BN70" s="896">
        <f t="shared" si="28"/>
        <v>0</v>
      </c>
      <c r="BO70" s="896">
        <f t="shared" si="28"/>
        <v>0</v>
      </c>
      <c r="BP70" s="896">
        <f t="shared" si="28"/>
        <v>0</v>
      </c>
    </row>
    <row r="71" spans="1:68" x14ac:dyDescent="0.25">
      <c r="A71" s="482" t="s">
        <v>567</v>
      </c>
      <c r="B71" s="483"/>
      <c r="C71" s="607" t="str">
        <f>IF($B71&lt;&gt;"",VLOOKUP($B71,COST_Skeleton_Trap[#All],2),"")</f>
        <v/>
      </c>
      <c r="D71" s="491" t="str">
        <f>IF($B71&lt;&gt;"",VLOOKUP($B71,COST_Skeleton_Trap[#All],3)/24,"")</f>
        <v/>
      </c>
      <c r="E71" s="499"/>
      <c r="F71" s="512"/>
      <c r="G71" s="500" t="str">
        <f t="shared" si="33"/>
        <v/>
      </c>
      <c r="H71" s="501"/>
      <c r="I71" s="898">
        <f t="shared" si="32"/>
        <v>0</v>
      </c>
      <c r="J71" s="898">
        <f t="shared" si="31"/>
        <v>0</v>
      </c>
      <c r="K71" s="898">
        <f t="shared" si="31"/>
        <v>0</v>
      </c>
      <c r="L71" s="898">
        <f t="shared" si="31"/>
        <v>0</v>
      </c>
      <c r="M71" s="898">
        <f t="shared" si="31"/>
        <v>0</v>
      </c>
      <c r="N71" s="898">
        <f t="shared" si="31"/>
        <v>0</v>
      </c>
      <c r="O71" s="898">
        <f t="shared" si="31"/>
        <v>0</v>
      </c>
      <c r="P71" s="898">
        <f t="shared" si="31"/>
        <v>0</v>
      </c>
      <c r="Q71" s="898">
        <f t="shared" si="31"/>
        <v>0</v>
      </c>
      <c r="R71" s="896">
        <f t="shared" si="31"/>
        <v>0</v>
      </c>
      <c r="S71" s="896">
        <f t="shared" si="30"/>
        <v>0</v>
      </c>
      <c r="T71" s="896">
        <f t="shared" si="30"/>
        <v>0</v>
      </c>
      <c r="U71" s="896">
        <f t="shared" si="30"/>
        <v>0</v>
      </c>
      <c r="V71" s="896">
        <f t="shared" si="30"/>
        <v>0</v>
      </c>
      <c r="W71" s="896">
        <f t="shared" si="30"/>
        <v>0</v>
      </c>
      <c r="X71" s="896">
        <f t="shared" si="30"/>
        <v>0</v>
      </c>
      <c r="Y71" s="896">
        <f t="shared" si="30"/>
        <v>0</v>
      </c>
      <c r="Z71" s="896">
        <f t="shared" si="30"/>
        <v>0</v>
      </c>
      <c r="AA71" s="896">
        <f t="shared" si="30"/>
        <v>0</v>
      </c>
      <c r="AB71" s="896">
        <f t="shared" si="30"/>
        <v>0</v>
      </c>
      <c r="AC71" s="896">
        <f t="shared" si="26"/>
        <v>0</v>
      </c>
      <c r="AD71" s="896">
        <f t="shared" si="26"/>
        <v>0</v>
      </c>
      <c r="AE71" s="896">
        <f t="shared" ref="AE71:AL71" si="36">IF(ISERROR(Plan),0,Plan)</f>
        <v>0</v>
      </c>
      <c r="AF71" s="896">
        <f t="shared" si="36"/>
        <v>0</v>
      </c>
      <c r="AG71" s="896">
        <f t="shared" si="36"/>
        <v>0</v>
      </c>
      <c r="AH71" s="896">
        <f t="shared" si="36"/>
        <v>0</v>
      </c>
      <c r="AI71" s="896">
        <f t="shared" si="36"/>
        <v>0</v>
      </c>
      <c r="AJ71" s="896">
        <f t="shared" si="36"/>
        <v>0</v>
      </c>
      <c r="AK71" s="896">
        <f t="shared" si="36"/>
        <v>0</v>
      </c>
      <c r="AL71" s="896">
        <f t="shared" si="36"/>
        <v>0</v>
      </c>
      <c r="AM71" s="896">
        <f t="shared" si="34"/>
        <v>0</v>
      </c>
      <c r="AN71" s="896">
        <f t="shared" si="34"/>
        <v>0</v>
      </c>
      <c r="AO71" s="896">
        <f t="shared" si="34"/>
        <v>0</v>
      </c>
      <c r="AP71" s="896">
        <f t="shared" si="34"/>
        <v>0</v>
      </c>
      <c r="AQ71" s="896">
        <f t="shared" si="34"/>
        <v>0</v>
      </c>
      <c r="AR71" s="896">
        <f t="shared" si="34"/>
        <v>0</v>
      </c>
      <c r="AS71" s="896">
        <f t="shared" si="34"/>
        <v>0</v>
      </c>
      <c r="AT71" s="896">
        <f t="shared" si="34"/>
        <v>0</v>
      </c>
      <c r="AU71" s="896">
        <f t="shared" si="34"/>
        <v>0</v>
      </c>
      <c r="AV71" s="896">
        <f t="shared" si="34"/>
        <v>0</v>
      </c>
      <c r="AW71" s="896">
        <f t="shared" si="35"/>
        <v>0</v>
      </c>
      <c r="AX71" s="896">
        <f t="shared" si="35"/>
        <v>0</v>
      </c>
      <c r="AY71" s="896">
        <f t="shared" si="35"/>
        <v>0</v>
      </c>
      <c r="AZ71" s="896">
        <f t="shared" si="35"/>
        <v>0</v>
      </c>
      <c r="BA71" s="896">
        <f t="shared" si="35"/>
        <v>0</v>
      </c>
      <c r="BB71" s="896">
        <f t="shared" si="35"/>
        <v>0</v>
      </c>
      <c r="BC71" s="896">
        <f t="shared" si="35"/>
        <v>0</v>
      </c>
      <c r="BD71" s="896">
        <f t="shared" si="35"/>
        <v>0</v>
      </c>
      <c r="BE71" s="896">
        <f t="shared" si="35"/>
        <v>0</v>
      </c>
      <c r="BF71" s="896">
        <f t="shared" si="35"/>
        <v>0</v>
      </c>
      <c r="BG71" s="896">
        <f t="shared" si="28"/>
        <v>0</v>
      </c>
      <c r="BH71" s="896">
        <f t="shared" si="28"/>
        <v>0</v>
      </c>
      <c r="BI71" s="896">
        <f t="shared" si="28"/>
        <v>0</v>
      </c>
      <c r="BJ71" s="896">
        <f t="shared" si="28"/>
        <v>0</v>
      </c>
      <c r="BK71" s="896">
        <f t="shared" si="28"/>
        <v>0</v>
      </c>
      <c r="BL71" s="896">
        <f t="shared" si="28"/>
        <v>0</v>
      </c>
      <c r="BM71" s="896">
        <f t="shared" si="28"/>
        <v>0</v>
      </c>
      <c r="BN71" s="896">
        <f t="shared" si="28"/>
        <v>0</v>
      </c>
      <c r="BO71" s="896">
        <f t="shared" si="28"/>
        <v>0</v>
      </c>
      <c r="BP71" s="896">
        <f t="shared" si="28"/>
        <v>0</v>
      </c>
    </row>
  </sheetData>
  <sheetProtection sheet="1" objects="1" scenarios="1" selectLockedCells="1"/>
  <dataConsolidate/>
  <mergeCells count="39">
    <mergeCell ref="T3:V3"/>
    <mergeCell ref="T2:V2"/>
    <mergeCell ref="T4:V4"/>
    <mergeCell ref="X5:Z5"/>
    <mergeCell ref="P5:Q5"/>
    <mergeCell ref="S1:Z1"/>
    <mergeCell ref="A15:H15"/>
    <mergeCell ref="A36:H36"/>
    <mergeCell ref="A1:B1"/>
    <mergeCell ref="A2:B2"/>
    <mergeCell ref="I5:J5"/>
    <mergeCell ref="L5:M5"/>
    <mergeCell ref="N5:O5"/>
    <mergeCell ref="P1:Q1"/>
    <mergeCell ref="P2:Q2"/>
    <mergeCell ref="P3:Q3"/>
    <mergeCell ref="P4:Q4"/>
    <mergeCell ref="I1:J1"/>
    <mergeCell ref="X2:Z2"/>
    <mergeCell ref="X3:Z3"/>
    <mergeCell ref="T5:V5"/>
    <mergeCell ref="N1:O1"/>
    <mergeCell ref="L2:M2"/>
    <mergeCell ref="L3:M3"/>
    <mergeCell ref="L4:M4"/>
    <mergeCell ref="N2:O2"/>
    <mergeCell ref="N3:O3"/>
    <mergeCell ref="N4:O4"/>
    <mergeCell ref="A65:H65"/>
    <mergeCell ref="A62:H62"/>
    <mergeCell ref="A22:H22"/>
    <mergeCell ref="A33:H33"/>
    <mergeCell ref="L1:M1"/>
    <mergeCell ref="A8:H8"/>
    <mergeCell ref="I2:J2"/>
    <mergeCell ref="I3:J3"/>
    <mergeCell ref="I4:J4"/>
    <mergeCell ref="A45:H45"/>
    <mergeCell ref="A3:H6"/>
  </mergeCells>
  <conditionalFormatting sqref="I7:BP7">
    <cfRule type="expression" dxfId="272" priority="64">
      <formula>I$7=period_selected</formula>
    </cfRule>
  </conditionalFormatting>
  <conditionalFormatting sqref="I8:BP71">
    <cfRule type="expression" dxfId="271" priority="83">
      <formula>I$7=period_selected</formula>
    </cfRule>
    <cfRule type="expression" dxfId="270" priority="84">
      <formula>PercentComplete</formula>
    </cfRule>
    <cfRule type="expression" dxfId="269" priority="86">
      <formula>PercentCompleteBeyond</formula>
    </cfRule>
    <cfRule type="expression" dxfId="268" priority="87">
      <formula>Actual</formula>
    </cfRule>
    <cfRule type="expression" dxfId="267" priority="88">
      <formula>ActualBeyond</formula>
    </cfRule>
    <cfRule type="expression" dxfId="266" priority="91">
      <formula>Plan</formula>
    </cfRule>
    <cfRule type="expression" dxfId="265" priority="94">
      <formula>MOD(COLUMN(),2)</formula>
    </cfRule>
    <cfRule type="expression" dxfId="264" priority="95">
      <formula>MOD(COLUMN(),2)=0</formula>
    </cfRule>
  </conditionalFormatting>
  <conditionalFormatting sqref="K2:Q5">
    <cfRule type="expression" dxfId="263" priority="3">
      <formula>$K2&gt;$G$1</formula>
    </cfRule>
  </conditionalFormatting>
  <dataValidations count="3">
    <dataValidation type="list" allowBlank="1" showInputMessage="1" showErrorMessage="1" sqref="E9:F14 E2 E16:F21 E23:F32 E34:F35 E37:F44 E46:F61 E63:F64 E66:F71">
      <formula1>Calendar</formula1>
    </dataValidation>
    <dataValidation type="list" allowBlank="1" showInputMessage="1" showErrorMessage="1" sqref="D2">
      <formula1>Pas</formula1>
    </dataValidation>
    <dataValidation type="date" allowBlank="1" showInputMessage="1" showErrorMessage="1" sqref="C2">
      <formula1>1</formula1>
      <formula2>73415</formula2>
    </dataValidation>
  </dataValidations>
  <pageMargins left="0.70866141732283472" right="0.70866141732283472" top="0.74803149606299213" bottom="0.7480314960629921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Plannifier">
                <anchor moveWithCells="1">
                  <from>
                    <xdr:col>5</xdr:col>
                    <xdr:colOff>19050</xdr:colOff>
                    <xdr:row>0</xdr:row>
                    <xdr:rowOff>9525</xdr:rowOff>
                  </from>
                  <to>
                    <xdr:col>7</xdr:col>
                    <xdr:colOff>504825</xdr:colOff>
                    <xdr:row>0</xdr:row>
                    <xdr:rowOff>228600</xdr:rowOff>
                  </to>
                </anchor>
              </controlPr>
            </control>
          </mc:Choice>
        </mc:AlternateContent>
        <mc:AlternateContent xmlns:mc="http://schemas.openxmlformats.org/markup-compatibility/2006">
          <mc:Choice Requires="x14">
            <control shapeId="2053" r:id="rId5" name="Button 5">
              <controlPr defaultSize="0" print="0" autoFill="0" autoPict="0" macro="[0]!RAZ_Planning">
                <anchor moveWithCells="1">
                  <from>
                    <xdr:col>5</xdr:col>
                    <xdr:colOff>28575</xdr:colOff>
                    <xdr:row>0</xdr:row>
                    <xdr:rowOff>276225</xdr:rowOff>
                  </from>
                  <to>
                    <xdr:col>7</xdr:col>
                    <xdr:colOff>504825</xdr:colOff>
                    <xdr:row>1</xdr:row>
                    <xdr:rowOff>190500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2" id="{73F5B081-7835-422B-87B2-1DEC784C2A77}">
            <xm:f>I$6&lt;Paramètres!$BJ$2</xm:f>
            <x14:dxf>
              <fill>
                <patternFill>
                  <bgColor rgb="FF00B0F0"/>
                </patternFill>
              </fill>
            </x14:dxf>
          </x14:cfRule>
          <xm:sqref>I7:BP7</xm:sqref>
        </x14:conditionalFormatting>
        <x14:conditionalFormatting xmlns:xm="http://schemas.microsoft.com/office/excel/2006/main">
          <x14:cfRule type="expression" priority="73" id="{CBFA38D1-EFCA-4F93-BCED-865B344A5638}">
            <xm:f>I$6&gt;Paramètres!$BJ$2</xm:f>
            <x14:dxf>
              <fill>
                <patternFill>
                  <bgColor rgb="FFFF0000"/>
                </patternFill>
              </fill>
            </x14:dxf>
          </x14:cfRule>
          <xm:sqref>I7:BP7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0070C0"/>
    <pageSetUpPr fitToPage="1"/>
  </sheetPr>
  <dimension ref="A1:AF50"/>
  <sheetViews>
    <sheetView showGridLines="0" zoomScaleNormal="100" zoomScaleSheetLayoutView="90" workbookViewId="0">
      <pane ySplit="2" topLeftCell="A3" activePane="bottomLeft" state="frozen"/>
      <selection activeCell="A3" sqref="A3:H6"/>
      <selection pane="bottomLeft" activeCell="AA25" sqref="AA25"/>
    </sheetView>
  </sheetViews>
  <sheetFormatPr baseColWidth="10" defaultColWidth="11.42578125" defaultRowHeight="15" customHeight="1" x14ac:dyDescent="0.25"/>
  <cols>
    <col min="1" max="1" width="17.42578125" style="152" customWidth="1"/>
    <col min="2" max="3" width="5.7109375" style="152" customWidth="1"/>
    <col min="4" max="4" width="9.42578125" style="152" customWidth="1"/>
    <col min="5" max="6" width="8.85546875" style="152" customWidth="1"/>
    <col min="7" max="7" width="11.7109375" style="152" bestFit="1" customWidth="1"/>
    <col min="8" max="9" width="5.7109375" style="152" customWidth="1"/>
    <col min="10" max="10" width="11" style="152" customWidth="1"/>
    <col min="11" max="12" width="8.85546875" style="152" customWidth="1"/>
    <col min="13" max="13" width="13.7109375" style="152" customWidth="1"/>
    <col min="14" max="15" width="5.7109375" style="152" customWidth="1"/>
    <col min="16" max="16" width="9.42578125" style="152" customWidth="1"/>
    <col min="17" max="18" width="8.85546875" style="152" customWidth="1"/>
    <col min="19" max="19" width="13.85546875" style="152" customWidth="1"/>
    <col min="20" max="21" width="5.7109375" style="152" customWidth="1"/>
    <col min="22" max="22" width="9.42578125" style="152" customWidth="1"/>
    <col min="23" max="24" width="8.85546875" style="152" customWidth="1"/>
    <col min="25" max="25" width="4.7109375" style="874" customWidth="1"/>
    <col min="26" max="27" width="10.7109375" style="874" customWidth="1"/>
    <col min="28" max="29" width="11.42578125" style="874"/>
    <col min="30" max="16384" width="11.42578125" style="152"/>
  </cols>
  <sheetData>
    <row r="1" spans="1:29" ht="15" customHeight="1" thickBot="1" x14ac:dyDescent="0.3">
      <c r="A1" s="384" t="s">
        <v>291</v>
      </c>
      <c r="B1" s="1080" t="s">
        <v>228</v>
      </c>
      <c r="C1" s="1081"/>
      <c r="D1" s="877" t="s">
        <v>664</v>
      </c>
      <c r="E1" s="877" t="s">
        <v>667</v>
      </c>
      <c r="F1" s="877" t="s">
        <v>178</v>
      </c>
      <c r="G1" s="894"/>
      <c r="H1" s="1076" t="s">
        <v>237</v>
      </c>
      <c r="I1" s="1076"/>
      <c r="J1" s="1076"/>
      <c r="K1" s="1082" t="s">
        <v>241</v>
      </c>
      <c r="L1" s="1082"/>
      <c r="M1" s="1084" t="s">
        <v>260</v>
      </c>
      <c r="N1" s="1084"/>
      <c r="O1" s="1072" t="s">
        <v>244</v>
      </c>
      <c r="P1" s="1072"/>
      <c r="Q1" s="1092" t="str">
        <f>'Paramètres - Admin'!$D$7 &amp; IF($B$2='Paramètres - Admin'!$B$2,TEXT((E13+K13+K27+Q27+Q13)*60*60,"# 0")&amp;" " &amp; 'Paramètres - Admin'!$B$2,IF($B$2='Paramètres - Admin'!$B$3,TEXT((E13+K13+K27+Q27+Q13)*60,"# 0")&amp;" " &amp; 'Paramètres - Admin'!$B$3,IF($B$2='Paramètres - Admin'!$B$4,TEXT((E13+K13+K27+Q27+Q13),"# 0,00")&amp;" " &amp; 'Paramètres - Admin'!$B$4,IF($B$2='Paramètres - Admin'!$B$5,TEXT((E13+K13+K27+Q27+Q13)/24,"# 0,00")&amp;" " &amp; 'Paramètres - Admin'!$B$5,IF($B$2='Paramètres - Admin'!$B$6,TEXT(((E13+K13+K27+Q27+Q13)/24)/30,"# 0,00")&amp;" " &amp; 'Paramètres - Admin'!$B$6,IF((E13+K13+K27+Q27+Q13)/24&gt;=1,INT((E13+K13+K27+Q27+Q13)/24)&amp;" " &amp;  'Paramètres - Admin'!$D$4 &amp; " " &amp; HOUR((E13+K13+K27+Q27+Q13)/24-INT((E13+K13+K27+Q27+Q13)/24))&amp;" " &amp;  'Paramètres - Admin'!$D$3 &amp; " " &amp; MINUTE((E13+K13+K27+Q27+Q13)/24-INT((E13+K13+K27+Q27+Q13)/24))&amp;" " &amp;  'Paramètres - Admin'!$D$2,HOUR((E13+K13+K27+Q27+Q13)/24-INT((E13+K13+K27+Q27+Q13)/24))&amp;" " &amp;  'Paramètres - Admin'!$D$3 &amp; " " &amp; MINUTE((E13+K13+K27+Q27+Q13)/24-INT((E13+K13+K27+Q27+Q13)/24))&amp;" " &amp;  'Paramètres - Admin'!$D$2))))))</f>
        <v>Bâtiments : 0,15 jours</v>
      </c>
      <c r="R1" s="1092"/>
      <c r="S1" s="1092"/>
      <c r="T1" s="1072" t="s">
        <v>358</v>
      </c>
      <c r="U1" s="1072"/>
      <c r="V1" s="1072"/>
      <c r="W1" s="1090" t="s">
        <v>677</v>
      </c>
      <c r="X1" s="1090"/>
    </row>
    <row r="2" spans="1:29" ht="15" customHeight="1" thickTop="1" thickBot="1" x14ac:dyDescent="0.3">
      <c r="A2" s="743">
        <f>Paramètres!$BI$2</f>
        <v>1</v>
      </c>
      <c r="B2" s="1078" t="s">
        <v>221</v>
      </c>
      <c r="C2" s="1079"/>
      <c r="D2" s="878" t="s">
        <v>670</v>
      </c>
      <c r="E2" s="879" t="s">
        <v>670</v>
      </c>
      <c r="F2" s="879" t="s">
        <v>670</v>
      </c>
      <c r="G2" s="894"/>
      <c r="H2" s="1077" t="str">
        <f>TEXT(D8+D11+J27+P27+P13,"# ##0")</f>
        <v>4 250</v>
      </c>
      <c r="I2" s="1077"/>
      <c r="J2" s="1077"/>
      <c r="K2" s="1083" t="str">
        <f>TEXT(D7+D9+D10+D12+J13+P22+D27,"# ##0")</f>
        <v>4 700</v>
      </c>
      <c r="L2" s="1083"/>
      <c r="M2" s="1089" t="str">
        <f>TEXT(V13+V27,"# ##0")</f>
        <v>0</v>
      </c>
      <c r="N2" s="1089"/>
      <c r="O2" s="1071" t="str">
        <f>IF($B$2='Paramètres - Admin'!$B$2,TEXT((Z6)*60*60,"# 0")&amp;" " &amp; 'Paramètres - Admin'!$B$2,IF($B$2='Paramètres - Admin'!$B$3,TEXT(Z6*60,"# 0")&amp;" " &amp; 'Paramètres - Admin'!$B$3,IF($B$2='Paramètres - Admin'!$B$4,TEXT(Z6,"# 0,00")&amp;" " &amp; 'Paramètres - Admin'!$B$4,IF($B$2='Paramètres - Admin'!$B$5,TEXT(Z6/24,"# 0,00")&amp;" " &amp; 'Paramètres - Admin'!$B$5,IF($B$2='Paramètres - Admin'!$B$6,TEXT((Z6/24)/30,"# 0,00")&amp;" " &amp; 'Paramètres - Admin'!$B$6,IF(Z6/24&gt;=1,INT(Z6/24)&amp;" " &amp;  'Paramètres - Admin'!$D$4 &amp; " " &amp; HOUR(Z6/24-INT(Z6/24))&amp;" " &amp;  'Paramètres - Admin'!$D$3 &amp; " " &amp; MINUTE(Z6/24-INT(Z6/24))&amp;" " &amp;  'Paramètres - Admin'!$D$2,HOUR(Z6/24-INT(Z6/24))&amp;" " &amp;  'Paramètres - Admin'!$D$3 &amp; " " &amp; MINUTE(Z6/24-INT(Z6/24))&amp;" " &amp;  'Paramètres - Admin'!$D$2))))))</f>
        <v>0,15 jours</v>
      </c>
      <c r="P2" s="1071"/>
      <c r="Q2" s="1093" t="str">
        <f>'Paramètres - Admin'!$D$6 &amp; IF($B$2='Paramètres - Admin'!$B$2,TEXT(W27*60*60,"# 0")&amp;" " &amp; 'Paramètres - Admin'!$B$2,IF($B$2='Paramètres - Admin'!$B$3,TEXT(W27*60,"# 0")&amp;" " &amp; 'Paramètres - Admin'!$B$3,IF($B$2='Paramètres - Admin'!$B$4,TEXT(W27,"# 0,00")&amp;" " &amp; 'Paramètres - Admin'!$B$4,IF($B$2='Paramètres - Admin'!$B$5,TEXT(W27/24,"# 0,00")&amp;" " &amp; 'Paramètres - Admin'!$B$5,IF($B$2='Paramètres - Admin'!$B$6,TEXT((W27/24)/30,"# 0,00")&amp;" " &amp; 'Paramètres - Admin'!$B$6,IF(W27/24&gt;=1,INT(W27/24)&amp;" " &amp;  'Paramètres - Admin'!$D$4 &amp; " " &amp; HOUR(W27/24-INT(W27/24))&amp;" " &amp;  'Paramètres - Admin'!$D$3 &amp; " " &amp; MINUTE(W27/24-INT(W27/24))&amp;" " &amp;  'Paramètres - Admin'!$D$2,HOUR(W27/24-INT(W27/24))&amp;" " &amp;  'Paramètres - Admin'!$D$3 &amp; " " &amp; MINUTE(W27/24-INT(W27/24))&amp;" " &amp;  'Paramètres - Admin'!$D$2))))))</f>
        <v>Héros : 0,00 jours</v>
      </c>
      <c r="R2" s="1093"/>
      <c r="S2" s="1093"/>
      <c r="T2" s="1071" t="str">
        <f>IF($B$2='Paramètres - Admin'!$B$2,TEXT((E13+K13+K27+Q27+Q13+W27)/Paramètres!$BJ$2*60*60,"# 0")&amp;" " &amp; 'Paramètres - Admin'!$B$2,IF($B$2='Paramètres - Admin'!$B$3,TEXT((E13+K13+K27+Q27+Q13+W27)/Paramètres!$BJ$2*60,"# 0")&amp;" " &amp; 'Paramètres - Admin'!$B$3,IF($B$2='Paramètres - Admin'!$B$4,TEXT((E13+K13+K27+Q27+Q13+W27)/Paramètres!$BJ$2,"# 0,00")&amp;" " &amp; 'Paramètres - Admin'!$B$4,IF($B$2='Paramètres - Admin'!$B$5,TEXT((E13+K13+K27+Q27+Q13+W27)/Paramètres!$BJ$2/24,"# 0,00")&amp;" " &amp; 'Paramètres - Admin'!$B$5,IF($B$2='Paramètres - Admin'!$B$6,TEXT(((E13+K13+K27+Q27+Q13+W27)/Paramètres!$BJ$2/24)/30,"# 0,00")&amp;" " &amp; 'Paramètres - Admin'!$B$6,IF((E13+K13+K27+Q27+Q13+W27)/Paramètres!$BJ$2/24&gt;=1,INT((E13+K13+K27+Q27+Q13+W27)/Paramètres!$BJ$2/24)&amp;" " &amp;  'Paramètres - Admin'!$D$4 &amp; " " &amp; HOUR((E13+K13+K27+Q27+Q13+W27)/Paramètres!$BJ$2/24-INT((E13+K13+K27+Q27+Q13+W27)/Paramètres!$BJ$2/24))&amp;" " &amp;  'Paramètres - Admin'!$D$3 &amp; " " &amp; MINUTE((E13+K13+K27+Q27+Q13+W27)/Paramètres!$BJ$2/24-INT((E13+K13+K27+Q27+Q13+W27)/Paramètres!$BJ$2/24))&amp;" " &amp;  'Paramètres - Admin'!$D$2,HOUR((E13+K13+K27+Q27+Q13+W27)/Paramètres!$BJ$2/24-INT((E13+K13+K27+Q27+Q13+W27)/Paramètres!$BJ$2/24))&amp;" " &amp;  'Paramètres - Admin'!$D$3 &amp; " " &amp; MINUTE((E13+K13+K27+Q27+Q13+W27)/Paramètres!$BJ$2/24-INT((E13+K13+K27+Q27+Q13+W27)/Paramètres!$BJ$2/24))&amp;" " &amp;  'Paramètres - Admin'!$D$2))))))</f>
        <v>0,15 jours</v>
      </c>
      <c r="U2" s="1071"/>
      <c r="V2" s="1071"/>
      <c r="W2" s="1091" t="str">
        <f>IF($B$2='Paramètres - Admin'!$B$2,TEXT((Q22+E27+W13+W20)*60*60,"# 0")&amp;" " &amp; 'Paramètres - Admin'!$B$2,IF($B$2='Paramètres - Admin'!$B$3,TEXT((Q22+E27+W13+W20)*60,"# 0")&amp;" " &amp; 'Paramètres - Admin'!$B$3,IF($B$2='Paramètres - Admin'!$B$4,TEXT((Q22+E27+W13+W20),"# 0,00")&amp;" " &amp; 'Paramètres - Admin'!$B$4,IF($B$2='Paramètres - Admin'!$B$5,TEXT((Q22+E27+W13+W20)/24,"# 0,00")&amp;" " &amp; 'Paramètres - Admin'!$B$5,IF($B$2='Paramètres - Admin'!$B$6,TEXT(((Q22+E27+W13+W20)/24)/30,"# 0,00")&amp;" " &amp; 'Paramètres - Admin'!$B$6,IF((Q22+E27+W13+W20)/24&gt;=1,INT((Q22+E27+W13+W20)/24)&amp;" " &amp;  'Paramètres - Admin'!$D$4 &amp; " " &amp; HOUR((Q22+E27+W13+W20)/24-INT((Q22+E27+W13+W20)/24))&amp;" " &amp;  'Paramètres - Admin'!$D$3 &amp; " " &amp; MINUTE((Q22+E27+W13+W20)/24-INT((Q22+E27+W13+W20)/24))&amp;" " &amp;  'Paramètres - Admin'!$D$2,HOUR((Q22+E27+W13+W20)/24-INT((Q22+E27+W13+W20)/24))&amp;" " &amp;  'Paramètres - Admin'!$D$3 &amp; " " &amp; MINUTE((Q22+E27+W13+W20)/24-INT((Q22+E27+W13+W20)/24))&amp;" " &amp;  'Paramètres - Admin'!$D$2))))))</f>
        <v>0,00 jours</v>
      </c>
      <c r="X2" s="1091"/>
    </row>
    <row r="3" spans="1:29" ht="15" customHeight="1" thickTop="1" x14ac:dyDescent="0.25">
      <c r="A3" s="1085" t="s">
        <v>175</v>
      </c>
      <c r="B3" s="1086"/>
      <c r="C3" s="1086"/>
      <c r="D3" s="1086"/>
      <c r="E3" s="1086"/>
      <c r="F3" s="1086"/>
      <c r="G3" s="1086"/>
      <c r="H3" s="1086"/>
      <c r="I3" s="1086"/>
      <c r="J3" s="1086"/>
      <c r="K3" s="1086"/>
      <c r="L3" s="1086"/>
      <c r="M3" s="1086"/>
      <c r="N3" s="1086"/>
      <c r="O3" s="1086"/>
      <c r="P3" s="1086"/>
      <c r="Q3" s="1086"/>
      <c r="R3" s="1086"/>
      <c r="S3" s="1086"/>
      <c r="T3" s="1086"/>
      <c r="U3" s="1086"/>
      <c r="V3" s="1086"/>
      <c r="W3" s="1086"/>
      <c r="X3" s="1086"/>
      <c r="Y3" s="874" t="s">
        <v>246</v>
      </c>
      <c r="Z3" s="875">
        <f>D8+D11+J27+P27+P13-IF(D2="Non",J17,0)-IF(E2="Non",P26,0)</f>
        <v>3250</v>
      </c>
    </row>
    <row r="4" spans="1:29" ht="15" customHeight="1" thickBot="1" x14ac:dyDescent="0.3">
      <c r="A4" s="1087"/>
      <c r="B4" s="1088"/>
      <c r="C4" s="1088"/>
      <c r="D4" s="1088"/>
      <c r="E4" s="1088"/>
      <c r="F4" s="1088"/>
      <c r="G4" s="1088"/>
      <c r="H4" s="1088"/>
      <c r="I4" s="1088"/>
      <c r="J4" s="1088"/>
      <c r="K4" s="1088"/>
      <c r="L4" s="1088"/>
      <c r="M4" s="1088"/>
      <c r="N4" s="1088"/>
      <c r="O4" s="1088"/>
      <c r="P4" s="1088"/>
      <c r="Q4" s="1088"/>
      <c r="R4" s="1088"/>
      <c r="S4" s="1088"/>
      <c r="T4" s="1088"/>
      <c r="U4" s="1088"/>
      <c r="V4" s="1088"/>
      <c r="W4" s="1088"/>
      <c r="X4" s="1088"/>
      <c r="Y4" s="874" t="s">
        <v>247</v>
      </c>
      <c r="Z4" s="875">
        <f>D7+D9+D10+D12+J13+P22+D27</f>
        <v>4700</v>
      </c>
    </row>
    <row r="5" spans="1:29" ht="20.100000000000001" customHeight="1" thickBot="1" x14ac:dyDescent="0.3">
      <c r="A5" s="1073" t="s">
        <v>448</v>
      </c>
      <c r="B5" s="1074"/>
      <c r="C5" s="1074"/>
      <c r="D5" s="1074"/>
      <c r="E5" s="1074"/>
      <c r="F5" s="1075"/>
      <c r="G5" s="1073" t="s">
        <v>181</v>
      </c>
      <c r="H5" s="1074"/>
      <c r="I5" s="1074"/>
      <c r="J5" s="1074"/>
      <c r="K5" s="1074"/>
      <c r="L5" s="1075"/>
      <c r="M5" s="1073" t="s">
        <v>585</v>
      </c>
      <c r="N5" s="1074"/>
      <c r="O5" s="1074"/>
      <c r="P5" s="1074"/>
      <c r="Q5" s="1074"/>
      <c r="R5" s="1075"/>
      <c r="S5" s="1073" t="s">
        <v>227</v>
      </c>
      <c r="T5" s="1074"/>
      <c r="U5" s="1074"/>
      <c r="V5" s="1074"/>
      <c r="W5" s="1074"/>
      <c r="X5" s="1075"/>
      <c r="Y5" s="874" t="s">
        <v>248</v>
      </c>
      <c r="Z5" s="875">
        <f>V13+V20+IF(F2="Non",0,V27)</f>
        <v>0</v>
      </c>
    </row>
    <row r="6" spans="1:29" s="153" customFormat="1" ht="15" customHeight="1" thickBot="1" x14ac:dyDescent="0.3">
      <c r="A6" s="576" t="s">
        <v>231</v>
      </c>
      <c r="B6" s="329" t="s">
        <v>362</v>
      </c>
      <c r="C6" s="653" t="s">
        <v>70</v>
      </c>
      <c r="D6" s="653" t="s">
        <v>232</v>
      </c>
      <c r="E6" s="653" t="s">
        <v>233</v>
      </c>
      <c r="F6" s="654" t="s">
        <v>233</v>
      </c>
      <c r="G6" s="400" t="s">
        <v>231</v>
      </c>
      <c r="H6" s="108" t="s">
        <v>362</v>
      </c>
      <c r="I6" s="272" t="s">
        <v>70</v>
      </c>
      <c r="J6" s="272" t="s">
        <v>232</v>
      </c>
      <c r="K6" s="272" t="s">
        <v>233</v>
      </c>
      <c r="L6" s="273" t="s">
        <v>233</v>
      </c>
      <c r="M6" s="274" t="s">
        <v>231</v>
      </c>
      <c r="N6" s="329" t="s">
        <v>362</v>
      </c>
      <c r="O6" s="653" t="s">
        <v>70</v>
      </c>
      <c r="P6" s="653" t="s">
        <v>232</v>
      </c>
      <c r="Q6" s="653" t="s">
        <v>233</v>
      </c>
      <c r="R6" s="654" t="s">
        <v>233</v>
      </c>
      <c r="S6" s="400" t="s">
        <v>236</v>
      </c>
      <c r="T6" s="271" t="s">
        <v>362</v>
      </c>
      <c r="U6" s="272" t="s">
        <v>70</v>
      </c>
      <c r="V6" s="272" t="s">
        <v>232</v>
      </c>
      <c r="W6" s="272" t="s">
        <v>233</v>
      </c>
      <c r="X6" s="273" t="s">
        <v>233</v>
      </c>
      <c r="Y6" s="880" t="s">
        <v>259</v>
      </c>
      <c r="Z6" s="993">
        <f>E13+K13+Q13+W13+E27+K27+Q22+Q27+W20+W27</f>
        <v>3.6700000000000004</v>
      </c>
      <c r="AA6" s="880"/>
      <c r="AB6" s="880"/>
      <c r="AC6" s="880"/>
    </row>
    <row r="7" spans="1:29" s="153" customFormat="1" ht="15" customHeight="1" x14ac:dyDescent="0.25">
      <c r="A7" s="396" t="s">
        <v>176</v>
      </c>
      <c r="B7" s="90">
        <f>'À Faire - Détails'!J6</f>
        <v>1</v>
      </c>
      <c r="C7" s="91">
        <f>'À Faire - Détails'!K6</f>
        <v>2</v>
      </c>
      <c r="D7" s="449">
        <f>'À Faire - Détails'!J20</f>
        <v>450</v>
      </c>
      <c r="E7" s="380">
        <f>'À Faire - Détails'!K20</f>
        <v>9.9999999999999992E-2</v>
      </c>
      <c r="F7" s="92" t="str">
        <f>IF($B$2='Paramètres - Admin'!$B$2,TEXT(E7*60*60,"# 0")&amp;" " &amp; 'Paramètres - Admin'!$B$2,IF($B$2='Paramètres - Admin'!$B$3,TEXT(E7*60,"# 0")&amp;" " &amp; 'Paramètres - Admin'!$B$3,IF($B$2='Paramètres - Admin'!$B$4,TEXT(E7,"# 0,00")&amp;" " &amp; 'Paramètres - Admin'!$B$4,IF($B$2='Paramètres - Admin'!$B$5,TEXT(E7/24,"# 0,00")&amp;" " &amp; 'Paramètres - Admin'!$B$5,IF($B$2='Paramètres - Admin'!$B$6,TEXT((E7/24)/30,"# 0,00")&amp;" " &amp; 'Paramètres - Admin'!$B$6,IF(E7/24&gt;=1,INT(E7/24)&amp;" " &amp;  'Paramètres - Admin'!$D$4 &amp; " " &amp; HOUR(E7/24-INT(E7/24))&amp;" " &amp;  'Paramètres - Admin'!$D$3 &amp; " " &amp; MINUTE(E7/24-INT(E7/24))&amp;" " &amp;  'Paramètres - Admin'!$D$2,HOUR(E7/24-INT(E7/24))&amp;" " &amp;  'Paramètres - Admin'!$D$3 &amp; " " &amp; MINUTE(E7/24-INT(E7/24))&amp;" " &amp;  'Paramètres - Admin'!$D$2))))))</f>
        <v>0,00 jours</v>
      </c>
      <c r="G7" s="336" t="s">
        <v>207</v>
      </c>
      <c r="H7" s="552">
        <f>'À Faire - Détails'!J61</f>
        <v>1</v>
      </c>
      <c r="I7" s="985">
        <f>'À Faire - Détails'!K61</f>
        <v>3</v>
      </c>
      <c r="J7" s="440">
        <f>'À Faire - Détails'!J73</f>
        <v>3700</v>
      </c>
      <c r="K7" s="986">
        <f>'À Faire - Détails'!K73</f>
        <v>2.27</v>
      </c>
      <c r="L7" s="987" t="str">
        <f>IF($B$2='Paramètres - Admin'!$B$2,TEXT(K7*60*60,"# 0")&amp;" " &amp; 'Paramètres - Admin'!$B$2,IF($B$2='Paramètres - Admin'!$B$3,TEXT(K7*60,"# 0")&amp;" " &amp; 'Paramètres - Admin'!$B$3,IF($B$2='Paramètres - Admin'!$B$4,TEXT(K7,"# 0,00")&amp;" " &amp; 'Paramètres - Admin'!$B$4,IF($B$2='Paramètres - Admin'!$B$5,TEXT(K7/24,"# 0,00")&amp;" " &amp; 'Paramètres - Admin'!$B$5,IF($B$2='Paramètres - Admin'!$B$6,TEXT((K7/24)/30,"# 0,00")&amp;" " &amp; 'Paramètres - Admin'!$B$6,IF(K7/24&gt;=1,INT(K7/24)&amp;" " &amp;  'Paramètres - Admin'!$D$4 &amp; " " &amp; HOUR(K7/24-INT(K7/24))&amp;" " &amp;  'Paramètres - Admin'!$D$3 &amp; " " &amp; MINUTE(K7/24-INT(K7/24))&amp;" " &amp;  'Paramètres - Admin'!$D$2,HOUR(K7/24-INT(K7/24))&amp;" " &amp;  'Paramètres - Admin'!$D$3 &amp; " " &amp; MINUTE(K7/24-INT(K7/24))&amp;" " &amp;  'Paramètres - Admin'!$D$2))))))</f>
        <v>0,09 jours</v>
      </c>
      <c r="M7" s="396" t="s">
        <v>564</v>
      </c>
      <c r="N7" s="90">
        <f>'À Faire - Détails'!J183</f>
        <v>0</v>
      </c>
      <c r="O7" s="337">
        <f>'À Faire - Détails'!K183</f>
        <v>0</v>
      </c>
      <c r="P7" s="650">
        <f>'À Faire - Détails'!J191</f>
        <v>0</v>
      </c>
      <c r="Q7" s="380">
        <f>'À Faire - Détails'!K191</f>
        <v>0</v>
      </c>
      <c r="R7" s="92" t="str">
        <f>IF($B$2='Paramètres - Admin'!$B$2,TEXT(Q7*60*60,"# 0")&amp;" " &amp; 'Paramètres - Admin'!$B$2,IF($B$2='Paramètres - Admin'!$B$3,TEXT(Q7*60,"# 0")&amp;" " &amp; 'Paramètres - Admin'!$B$3,IF($B$2='Paramètres - Admin'!$B$4,TEXT(Q7,"# 0,00")&amp;" " &amp; 'Paramètres - Admin'!$B$4,IF($B$2='Paramètres - Admin'!$B$5,TEXT(Q7/24,"# 0,00")&amp;" " &amp; 'Paramètres - Admin'!$B$5,IF($B$2='Paramètres - Admin'!$B$6,TEXT((Q7/24)/30,"# 0,00")&amp;" " &amp; 'Paramètres - Admin'!$B$6,IF(Q7/24&gt;=1,INT(Q7/24)&amp;" " &amp;  'Paramètres - Admin'!$D$4 &amp; " " &amp; HOUR(Q7/24-INT(Q7/24))&amp;" " &amp;  'Paramètres - Admin'!$D$3 &amp; " " &amp; MINUTE(Q7/24-INT(Q7/24))&amp;" " &amp;  'Paramètres - Admin'!$D$2,HOUR(Q7/24-INT(Q7/24))&amp;" " &amp;  'Paramètres - Admin'!$D$3 &amp; " " &amp; MINUTE(Q7/24-INT(Q7/24))&amp;" " &amp;  'Paramètres - Admin'!$D$2))))))</f>
        <v>0,00 jours</v>
      </c>
      <c r="S7" s="734" t="s">
        <v>183</v>
      </c>
      <c r="T7" s="340">
        <f>'À Faire - Détails'!J320</f>
        <v>0</v>
      </c>
      <c r="U7" s="99">
        <f>'À Faire - Détails'!K320</f>
        <v>0</v>
      </c>
      <c r="V7" s="139">
        <f>'À Faire - Détails'!J328</f>
        <v>0</v>
      </c>
      <c r="W7" s="381">
        <f>'À Faire - Détails'!K328</f>
        <v>0</v>
      </c>
      <c r="X7" s="735" t="str">
        <f>IF($B$2='Paramètres - Admin'!$B$2,TEXT(W7*60*60,"# 0")&amp;" " &amp; 'Paramètres - Admin'!$B$2,IF($B$2='Paramètres - Admin'!$B$3,TEXT(W7*60,"# 0")&amp;" " &amp; 'Paramètres - Admin'!$B$3,IF($B$2='Paramètres - Admin'!$B$4,TEXT(W7,"# 0,00")&amp;" " &amp; 'Paramètres - Admin'!$B$4,IF($B$2='Paramètres - Admin'!$B$5,TEXT(W7/24,"# 0,00")&amp;" " &amp; 'Paramètres - Admin'!$B$5,IF($B$2='Paramètres - Admin'!$B$6,TEXT((W7/24)/30,"# 0,00")&amp;" " &amp; 'Paramètres - Admin'!$B$6,IF(W7/24&gt;=1,INT(W7/24)&amp;" " &amp;  'Paramètres - Admin'!$D$4 &amp; " " &amp; HOUR(W7/24-INT(W7/24))&amp;" " &amp;  'Paramètres - Admin'!$D$3 &amp; " " &amp; MINUTE(W7/24-INT(W7/24))&amp;" " &amp;  'Paramètres - Admin'!$D$2,HOUR(W7/24-INT(W7/24))&amp;" " &amp;  'Paramètres - Admin'!$D$3 &amp; " " &amp; MINUTE(W7/24-INT(W7/24))&amp;" " &amp;  'Paramètres - Admin'!$D$2))))))</f>
        <v>0,00 jours</v>
      </c>
      <c r="Y7" s="880"/>
      <c r="Z7" s="880"/>
      <c r="AA7" s="880"/>
      <c r="AB7" s="880"/>
      <c r="AC7" s="880"/>
    </row>
    <row r="8" spans="1:29" s="153" customFormat="1" ht="15" customHeight="1" x14ac:dyDescent="0.25">
      <c r="A8" s="97" t="s">
        <v>210</v>
      </c>
      <c r="B8" s="98">
        <f>'À Faire - Détails'!U6</f>
        <v>1</v>
      </c>
      <c r="C8" s="99">
        <f>'À Faire - Détails'!V6</f>
        <v>2</v>
      </c>
      <c r="D8" s="622">
        <f>'À Faire - Détails'!U20</f>
        <v>450</v>
      </c>
      <c r="E8" s="381">
        <f>'À Faire - Détails'!V20</f>
        <v>9.9999999999999992E-2</v>
      </c>
      <c r="F8" s="92" t="str">
        <f>IF($B$2='Paramètres - Admin'!$B$2,TEXT(E8*60*60,"# 0")&amp;" " &amp; 'Paramètres - Admin'!$B$2,IF($B$2='Paramètres - Admin'!$B$3,TEXT(E8*60,"# 0")&amp;" " &amp; 'Paramètres - Admin'!$B$3,IF($B$2='Paramètres - Admin'!$B$4,TEXT(E8,"# 0,00")&amp;" " &amp; 'Paramètres - Admin'!$B$4,IF($B$2='Paramètres - Admin'!$B$5,TEXT(E8/24,"# 0,00")&amp;" " &amp; 'Paramètres - Admin'!$B$5,IF($B$2='Paramètres - Admin'!$B$6,TEXT((E8/24)/30,"# 0,00")&amp;" " &amp; 'Paramètres - Admin'!$B$6,IF(E8/24&gt;=1,INT(E8/24)&amp;" " &amp;  'Paramètres - Admin'!$D$4 &amp; " " &amp; HOUR(E8/24-INT(E8/24))&amp;" " &amp;  'Paramètres - Admin'!$D$3 &amp; " " &amp; MINUTE(E8/24-INT(E8/24))&amp;" " &amp;  'Paramètres - Admin'!$D$2,HOUR(E8/24-INT(E8/24))&amp;" " &amp;  'Paramètres - Admin'!$D$3 &amp; " " &amp; MINUTE(E8/24-INT(E8/24))&amp;" " &amp;  'Paramètres - Admin'!$D$2))))))</f>
        <v>0,00 jours</v>
      </c>
      <c r="G8" s="134" t="s">
        <v>343</v>
      </c>
      <c r="H8" s="98">
        <f>'À Faire - Détails'!J75</f>
        <v>0</v>
      </c>
      <c r="I8" s="99">
        <f>'À Faire - Détails'!K75</f>
        <v>0</v>
      </c>
      <c r="J8" s="441">
        <f>'À Faire - Détails'!J83</f>
        <v>0</v>
      </c>
      <c r="K8" s="381">
        <f>'À Faire - Détails'!K83</f>
        <v>0</v>
      </c>
      <c r="L8" s="735" t="str">
        <f>IF($B$2='Paramètres - Admin'!$B$2,TEXT(K8*60*60,"# 0")&amp;" " &amp; 'Paramètres - Admin'!$B$2,IF($B$2='Paramètres - Admin'!$B$3,TEXT(K8*60,"# 0")&amp;" " &amp; 'Paramètres - Admin'!$B$3,IF($B$2='Paramètres - Admin'!$B$4,TEXT(K8,"# 0,00")&amp;" " &amp; 'Paramètres - Admin'!$B$4,IF($B$2='Paramètres - Admin'!$B$5,TEXT(K8/24,"# 0,00")&amp;" " &amp; 'Paramètres - Admin'!$B$5,IF($B$2='Paramètres - Admin'!$B$6,TEXT((K8/24)/30,"# 0,00")&amp;" " &amp; 'Paramètres - Admin'!$B$6,IF(K8/24&gt;=1,INT(K8/24)&amp;" " &amp;  'Paramètres - Admin'!$D$4 &amp; " " &amp; HOUR(K8/24-INT(K8/24))&amp;" " &amp;  'Paramètres - Admin'!$D$3 &amp; " " &amp; MINUTE(K8/24-INT(K8/24))&amp;" " &amp;  'Paramètres - Admin'!$D$2,HOUR(K8/24-INT(K8/24))&amp;" " &amp;  'Paramètres - Admin'!$D$3 &amp; " " &amp; MINUTE(K8/24-INT(K8/24))&amp;" " &amp;  'Paramètres - Admin'!$D$2))))))</f>
        <v>0,00 jours</v>
      </c>
      <c r="M8" s="396" t="s">
        <v>562</v>
      </c>
      <c r="N8" s="90">
        <f>'À Faire - Détails'!J193</f>
        <v>0</v>
      </c>
      <c r="O8" s="337">
        <f>'À Faire - Détails'!K193</f>
        <v>0</v>
      </c>
      <c r="P8" s="650">
        <f>'À Faire - Détails'!J196</f>
        <v>0</v>
      </c>
      <c r="Q8" s="380">
        <f>'À Faire - Détails'!K196</f>
        <v>0</v>
      </c>
      <c r="R8" s="92" t="str">
        <f>IF($B$2='Paramètres - Admin'!$B$2,TEXT(Q8*60*60,"# 0")&amp;" " &amp; 'Paramètres - Admin'!$B$2,IF($B$2='Paramètres - Admin'!$B$3,TEXT(Q8*60,"# 0")&amp;" " &amp; 'Paramètres - Admin'!$B$3,IF($B$2='Paramètres - Admin'!$B$4,TEXT(Q8,"# 0,00")&amp;" " &amp; 'Paramètres - Admin'!$B$4,IF($B$2='Paramètres - Admin'!$B$5,TEXT(Q8/24,"# 0,00")&amp;" " &amp; 'Paramètres - Admin'!$B$5,IF($B$2='Paramètres - Admin'!$B$6,TEXT((Q8/24)/30,"# 0,00")&amp;" " &amp; 'Paramètres - Admin'!$B$6,IF(Q8/24&gt;=1,INT(Q8/24)&amp;" " &amp;  'Paramètres - Admin'!$D$4 &amp; " " &amp; HOUR(Q8/24-INT(Q8/24))&amp;" " &amp;  'Paramètres - Admin'!$D$3 &amp; " " &amp; MINUTE(Q8/24-INT(Q8/24))&amp;" " &amp;  'Paramètres - Admin'!$D$2,HOUR(Q8/24-INT(Q8/24))&amp;" " &amp;  'Paramètres - Admin'!$D$3 &amp; " " &amp; MINUTE(Q8/24-INT(Q8/24))&amp;" " &amp;  'Paramètres - Admin'!$D$2))))))</f>
        <v>0,00 jours</v>
      </c>
      <c r="S8" s="734" t="s">
        <v>245</v>
      </c>
      <c r="T8" s="340">
        <f>'À Faire - Détails'!J330</f>
        <v>0</v>
      </c>
      <c r="U8" s="99">
        <f>'À Faire - Détails'!K330</f>
        <v>0</v>
      </c>
      <c r="V8" s="139">
        <f>'À Faire - Détails'!J337</f>
        <v>0</v>
      </c>
      <c r="W8" s="381">
        <f>'À Faire - Détails'!K337</f>
        <v>0</v>
      </c>
      <c r="X8" s="735" t="str">
        <f>IF($B$2='Paramètres - Admin'!$B$2,TEXT(W8*60*60,"# 0")&amp;" " &amp; 'Paramètres - Admin'!$B$2,IF($B$2='Paramètres - Admin'!$B$3,TEXT(W8*60,"# 0")&amp;" " &amp; 'Paramètres - Admin'!$B$3,IF($B$2='Paramètres - Admin'!$B$4,TEXT(W8,"# 0,00")&amp;" " &amp; 'Paramètres - Admin'!$B$4,IF($B$2='Paramètres - Admin'!$B$5,TEXT(W8/24,"# 0,00")&amp;" " &amp; 'Paramètres - Admin'!$B$5,IF($B$2='Paramètres - Admin'!$B$6,TEXT((W8/24)/30,"# 0,00")&amp;" " &amp; 'Paramètres - Admin'!$B$6,IF(W8/24&gt;=1,INT(W8/24)&amp;" " &amp;  'Paramètres - Admin'!$D$4 &amp; " " &amp; HOUR(W8/24-INT(W8/24))&amp;" " &amp;  'Paramètres - Admin'!$D$3 &amp; " " &amp; MINUTE(W8/24-INT(W8/24))&amp;" " &amp;  'Paramètres - Admin'!$D$2,HOUR(W8/24-INT(W8/24))&amp;" " &amp;  'Paramètres - Admin'!$D$3 &amp; " " &amp; MINUTE(W8/24-INT(W8/24))&amp;" " &amp;  'Paramètres - Admin'!$D$2))))))</f>
        <v>0,00 jours</v>
      </c>
      <c r="Y8" s="880"/>
      <c r="Z8" s="880"/>
      <c r="AA8" s="880"/>
      <c r="AB8" s="880"/>
      <c r="AC8" s="880"/>
    </row>
    <row r="9" spans="1:29" s="153" customFormat="1" ht="15" customHeight="1" x14ac:dyDescent="0.25">
      <c r="A9" s="97" t="s">
        <v>211</v>
      </c>
      <c r="B9" s="98">
        <f>'À Faire - Détails'!J22</f>
        <v>0</v>
      </c>
      <c r="C9" s="99">
        <f>'À Faire - Détails'!K22</f>
        <v>0</v>
      </c>
      <c r="D9" s="441">
        <f>'À Faire - Détails'!J30</f>
        <v>0</v>
      </c>
      <c r="E9" s="381">
        <f>'À Faire - Détails'!K30</f>
        <v>0</v>
      </c>
      <c r="F9" s="92" t="str">
        <f>IF($B$2='Paramètres - Admin'!$B$2,TEXT(E9*60*60,"# 0")&amp;" " &amp; 'Paramètres - Admin'!$B$2,IF($B$2='Paramètres - Admin'!$B$3,TEXT(E9*60,"# 0")&amp;" " &amp; 'Paramètres - Admin'!$B$3,IF($B$2='Paramètres - Admin'!$B$4,TEXT(E9,"# 0,00")&amp;" " &amp; 'Paramètres - Admin'!$B$4,IF($B$2='Paramètres - Admin'!$B$5,TEXT(E9/24,"# 0,00")&amp;" " &amp; 'Paramètres - Admin'!$B$5,IF($B$2='Paramètres - Admin'!$B$6,TEXT((E9/24)/30,"# 0,00")&amp;" " &amp; 'Paramètres - Admin'!$B$6,IF(E9/24&gt;=1,INT(E9/24)&amp;" " &amp;  'Paramètres - Admin'!$D$4 &amp; " " &amp; HOUR(E9/24-INT(E9/24))&amp;" " &amp;  'Paramètres - Admin'!$D$3 &amp; " " &amp; MINUTE(E9/24-INT(E9/24))&amp;" " &amp;  'Paramètres - Admin'!$D$2,HOUR(E9/24-INT(E9/24))&amp;" " &amp;  'Paramètres - Admin'!$D$3 &amp; " " &amp; MINUTE(E9/24-INT(E9/24))&amp;" " &amp;  'Paramètres - Admin'!$D$2))))))</f>
        <v>0,00 jours</v>
      </c>
      <c r="G9" s="137" t="s">
        <v>338</v>
      </c>
      <c r="H9" s="98">
        <f>'À Faire - Détails'!J85</f>
        <v>1</v>
      </c>
      <c r="I9" s="99">
        <f>'À Faire - Détails'!K85</f>
        <v>1</v>
      </c>
      <c r="J9" s="441">
        <f>'À Faire - Détails'!J95</f>
        <v>250</v>
      </c>
      <c r="K9" s="381">
        <f>'À Faire - Détails'!K95</f>
        <v>8.3333333333333329E-2</v>
      </c>
      <c r="L9" s="735" t="str">
        <f>IF($B$2='Paramètres - Admin'!$B$2,TEXT(K9*60*60,"# 0")&amp;" " &amp; 'Paramètres - Admin'!$B$2,IF($B$2='Paramètres - Admin'!$B$3,TEXT(K9*60,"# 0")&amp;" " &amp; 'Paramètres - Admin'!$B$3,IF($B$2='Paramètres - Admin'!$B$4,TEXT(K9,"# 0,00")&amp;" " &amp; 'Paramètres - Admin'!$B$4,IF($B$2='Paramètres - Admin'!$B$5,TEXT(K9/24,"# 0,00")&amp;" " &amp; 'Paramètres - Admin'!$B$5,IF($B$2='Paramètres - Admin'!$B$6,TEXT((K9/24)/30,"# 0,00")&amp;" " &amp; 'Paramètres - Admin'!$B$6,IF(K9/24&gt;=1,INT(K9/24)&amp;" " &amp;  'Paramètres - Admin'!$D$4 &amp; " " &amp; HOUR(K9/24-INT(K9/24))&amp;" " &amp;  'Paramètres - Admin'!$D$3 &amp; " " &amp; MINUTE(K9/24-INT(K9/24))&amp;" " &amp;  'Paramètres - Admin'!$D$2,HOUR(K9/24-INT(K9/24))&amp;" " &amp;  'Paramètres - Admin'!$D$3 &amp; " " &amp; MINUTE(K9/24-INT(K9/24))&amp;" " &amp;  'Paramètres - Admin'!$D$2))))))</f>
        <v>0,00 jours</v>
      </c>
      <c r="M9" s="396" t="s">
        <v>561</v>
      </c>
      <c r="N9" s="90">
        <f>'À Faire - Détails'!J198</f>
        <v>0</v>
      </c>
      <c r="O9" s="337">
        <f>'À Faire - Détails'!K198</f>
        <v>0</v>
      </c>
      <c r="P9" s="650">
        <f>'À Faire - Détails'!J204</f>
        <v>0</v>
      </c>
      <c r="Q9" s="380">
        <f>'À Faire - Détails'!K204</f>
        <v>0</v>
      </c>
      <c r="R9" s="92" t="str">
        <f>IF($B$2='Paramètres - Admin'!$B$2,TEXT(Q9*60*60,"# 0")&amp;" " &amp; 'Paramètres - Admin'!$B$2,IF($B$2='Paramètres - Admin'!$B$3,TEXT(Q9*60,"# 0")&amp;" " &amp; 'Paramètres - Admin'!$B$3,IF($B$2='Paramètres - Admin'!$B$4,TEXT(Q9,"# 0,00")&amp;" " &amp; 'Paramètres - Admin'!$B$4,IF($B$2='Paramètres - Admin'!$B$5,TEXT(Q9/24,"# 0,00")&amp;" " &amp; 'Paramètres - Admin'!$B$5,IF($B$2='Paramètres - Admin'!$B$6,TEXT((Q9/24)/30,"# 0,00")&amp;" " &amp; 'Paramètres - Admin'!$B$6,IF(Q9/24&gt;=1,INT(Q9/24)&amp;" " &amp;  'Paramètres - Admin'!$D$4 &amp; " " &amp; HOUR(Q9/24-INT(Q9/24))&amp;" " &amp;  'Paramètres - Admin'!$D$3 &amp; " " &amp; MINUTE(Q9/24-INT(Q9/24))&amp;" " &amp;  'Paramètres - Admin'!$D$2,HOUR(Q9/24-INT(Q9/24))&amp;" " &amp;  'Paramètres - Admin'!$D$3 &amp; " " &amp; MINUTE(Q9/24-INT(Q9/24))&amp;" " &amp;  'Paramètres - Admin'!$D$2))))))</f>
        <v>0,00 jours</v>
      </c>
      <c r="S9" s="734" t="s">
        <v>66</v>
      </c>
      <c r="T9" s="340">
        <f>'À Faire - Détails'!J339</f>
        <v>0</v>
      </c>
      <c r="U9" s="99">
        <f>'À Faire - Détails'!K339</f>
        <v>0</v>
      </c>
      <c r="V9" s="139">
        <f>'À Faire - Détails'!J345</f>
        <v>0</v>
      </c>
      <c r="W9" s="381">
        <f>'À Faire - Détails'!K345</f>
        <v>0</v>
      </c>
      <c r="X9" s="735" t="str">
        <f>IF($B$2='Paramètres - Admin'!$B$2,TEXT(W9*60*60,"# 0")&amp;" " &amp; 'Paramètres - Admin'!$B$2,IF($B$2='Paramètres - Admin'!$B$3,TEXT(W9*60,"# 0")&amp;" " &amp; 'Paramètres - Admin'!$B$3,IF($B$2='Paramètres - Admin'!$B$4,TEXT(W9,"# 0,00")&amp;" " &amp; 'Paramètres - Admin'!$B$4,IF($B$2='Paramètres - Admin'!$B$5,TEXT(W9/24,"# 0,00")&amp;" " &amp; 'Paramètres - Admin'!$B$5,IF($B$2='Paramètres - Admin'!$B$6,TEXT((W9/24)/30,"# 0,00")&amp;" " &amp; 'Paramètres - Admin'!$B$6,IF(W9/24&gt;=1,INT(W9/24)&amp;" " &amp;  'Paramètres - Admin'!$D$4 &amp; " " &amp; HOUR(W9/24-INT(W9/24))&amp;" " &amp;  'Paramètres - Admin'!$D$3 &amp; " " &amp; MINUTE(W9/24-INT(W9/24))&amp;" " &amp;  'Paramètres - Admin'!$D$2,HOUR(W9/24-INT(W9/24))&amp;" " &amp;  'Paramètres - Admin'!$D$3 &amp; " " &amp; MINUTE(W9/24-INT(W9/24))&amp;" " &amp;  'Paramètres - Admin'!$D$2))))))</f>
        <v>0,00 jours</v>
      </c>
      <c r="Y9" s="880"/>
      <c r="Z9" s="880"/>
      <c r="AA9" s="880"/>
      <c r="AB9" s="880"/>
      <c r="AC9" s="880"/>
    </row>
    <row r="10" spans="1:29" s="153" customFormat="1" ht="15" customHeight="1" x14ac:dyDescent="0.25">
      <c r="A10" s="97" t="s">
        <v>212</v>
      </c>
      <c r="B10" s="98">
        <f>'À Faire - Détails'!J32</f>
        <v>1</v>
      </c>
      <c r="C10" s="99">
        <f>'À Faire - Détails'!K32</f>
        <v>1</v>
      </c>
      <c r="D10" s="441">
        <f>'À Faire - Détails'!J45</f>
        <v>300</v>
      </c>
      <c r="E10" s="381">
        <f>'À Faire - Détails'!K45</f>
        <v>0.25</v>
      </c>
      <c r="F10" s="92" t="str">
        <f>IF($B$2='Paramètres - Admin'!$B$2,TEXT(E10*60*60,"# 0")&amp;" " &amp; 'Paramètres - Admin'!$B$2,IF($B$2='Paramètres - Admin'!$B$3,TEXT(E10*60,"# 0")&amp;" " &amp; 'Paramètres - Admin'!$B$3,IF($B$2='Paramètres - Admin'!$B$4,TEXT(E10,"# 0,00")&amp;" " &amp; 'Paramètres - Admin'!$B$4,IF($B$2='Paramètres - Admin'!$B$5,TEXT(E10/24,"# 0,00")&amp;" " &amp; 'Paramètres - Admin'!$B$5,IF($B$2='Paramètres - Admin'!$B$6,TEXT((E10/24)/30,"# 0,00")&amp;" " &amp; 'Paramètres - Admin'!$B$6,IF(E10/24&gt;=1,INT(E10/24)&amp;" " &amp;  'Paramètres - Admin'!$D$4 &amp; " " &amp; HOUR(E10/24-INT(E10/24))&amp;" " &amp;  'Paramètres - Admin'!$D$3 &amp; " " &amp; MINUTE(E10/24-INT(E10/24))&amp;" " &amp;  'Paramètres - Admin'!$D$2,HOUR(E10/24-INT(E10/24))&amp;" " &amp;  'Paramètres - Admin'!$D$3 &amp; " " &amp; MINUTE(E10/24-INT(E10/24))&amp;" " &amp;  'Paramètres - Admin'!$D$2))))))</f>
        <v>0,01 jours</v>
      </c>
      <c r="G10" s="137" t="s">
        <v>208</v>
      </c>
      <c r="H10" s="98">
        <f>'À Faire - Détails'!U61</f>
        <v>0</v>
      </c>
      <c r="I10" s="99">
        <f>'À Faire - Détails'!V61</f>
        <v>0</v>
      </c>
      <c r="J10" s="441">
        <f>'À Faire - Détails'!U71</f>
        <v>0</v>
      </c>
      <c r="K10" s="381">
        <f>'À Faire - Détails'!V71</f>
        <v>0</v>
      </c>
      <c r="L10" s="735" t="str">
        <f>IF($B$2='Paramètres - Admin'!$B$2,TEXT(K10*60*60,"# 0")&amp;" " &amp; 'Paramètres - Admin'!$B$2,IF($B$2='Paramètres - Admin'!$B$3,TEXT(K10*60,"# 0")&amp;" " &amp; 'Paramètres - Admin'!$B$3,IF($B$2='Paramètres - Admin'!$B$4,TEXT(K10,"# 0,00")&amp;" " &amp; 'Paramètres - Admin'!$B$4,IF($B$2='Paramètres - Admin'!$B$5,TEXT(K10/24,"# 0,00")&amp;" " &amp; 'Paramètres - Admin'!$B$5,IF($B$2='Paramètres - Admin'!$B$6,TEXT((K10/24)/30,"# 0,00")&amp;" " &amp; 'Paramètres - Admin'!$B$6,IF(K10/24&gt;=1,INT(K10/24)&amp;" " &amp;  'Paramètres - Admin'!$D$4 &amp; " " &amp; HOUR(K10/24-INT(K10/24))&amp;" " &amp;  'Paramètres - Admin'!$D$3 &amp; " " &amp; MINUTE(K10/24-INT(K10/24))&amp;" " &amp;  'Paramètres - Admin'!$D$2,HOUR(K10/24-INT(K10/24))&amp;" " &amp;  'Paramètres - Admin'!$D$3 &amp; " " &amp; MINUTE(K10/24-INT(K10/24))&amp;" " &amp;  'Paramètres - Admin'!$D$2))))))</f>
        <v>0,00 jours</v>
      </c>
      <c r="M10" s="396" t="s">
        <v>563</v>
      </c>
      <c r="N10" s="90">
        <f>'À Faire - Détails'!U183</f>
        <v>0</v>
      </c>
      <c r="O10" s="337">
        <f>'À Faire - Détails'!V183</f>
        <v>0</v>
      </c>
      <c r="P10" s="650">
        <f>'À Faire - Détails'!U189</f>
        <v>0</v>
      </c>
      <c r="Q10" s="380">
        <f>'À Faire - Détails'!V189</f>
        <v>0</v>
      </c>
      <c r="R10" s="92" t="str">
        <f>IF($B$2='Paramètres - Admin'!$B$2,TEXT(Q10*60*60,"# 0")&amp;" " &amp; 'Paramètres - Admin'!$B$2,IF($B$2='Paramètres - Admin'!$B$3,TEXT(Q10*60,"# 0")&amp;" " &amp; 'Paramètres - Admin'!$B$3,IF($B$2='Paramètres - Admin'!$B$4,TEXT(Q10,"# 0,00")&amp;" " &amp; 'Paramètres - Admin'!$B$4,IF($B$2='Paramètres - Admin'!$B$5,TEXT(Q10/24,"# 0,00")&amp;" " &amp; 'Paramètres - Admin'!$B$5,IF($B$2='Paramètres - Admin'!$B$6,TEXT((Q10/24)/30,"# 0,00")&amp;" " &amp; 'Paramètres - Admin'!$B$6,IF(Q10/24&gt;=1,INT(Q10/24)&amp;" " &amp;  'Paramètres - Admin'!$D$4 &amp; " " &amp; HOUR(Q10/24-INT(Q10/24))&amp;" " &amp;  'Paramètres - Admin'!$D$3 &amp; " " &amp; MINUTE(Q10/24-INT(Q10/24))&amp;" " &amp;  'Paramètres - Admin'!$D$2,HOUR(Q10/24-INT(Q10/24))&amp;" " &amp;  'Paramètres - Admin'!$D$3 &amp; " " &amp; MINUTE(Q10/24-INT(Q10/24))&amp;" " &amp;  'Paramètres - Admin'!$D$2))))))</f>
        <v>0,00 jours</v>
      </c>
      <c r="S10" s="734" t="s">
        <v>67</v>
      </c>
      <c r="T10" s="340">
        <f>'À Faire - Détails'!U320</f>
        <v>0</v>
      </c>
      <c r="U10" s="99">
        <f>'À Faire - Détails'!V320</f>
        <v>0</v>
      </c>
      <c r="V10" s="139">
        <f>'À Faire - Détails'!U327</f>
        <v>0</v>
      </c>
      <c r="W10" s="381">
        <f>'À Faire - Détails'!V327</f>
        <v>0</v>
      </c>
      <c r="X10" s="735" t="str">
        <f>IF($B$2='Paramètres - Admin'!$B$2,TEXT(W10*60*60,"# 0")&amp;" " &amp; 'Paramètres - Admin'!$B$2,IF($B$2='Paramètres - Admin'!$B$3,TEXT(W10*60,"# 0")&amp;" " &amp; 'Paramètres - Admin'!$B$3,IF($B$2='Paramètres - Admin'!$B$4,TEXT(W10,"# 0,00")&amp;" " &amp; 'Paramètres - Admin'!$B$4,IF($B$2='Paramètres - Admin'!$B$5,TEXT(W10/24,"# 0,00")&amp;" " &amp; 'Paramètres - Admin'!$B$5,IF($B$2='Paramètres - Admin'!$B$6,TEXT((W10/24)/30,"# 0,00")&amp;" " &amp; 'Paramètres - Admin'!$B$6,IF(W10/24&gt;=1,INT(W10/24)&amp;" " &amp;  'Paramètres - Admin'!$D$4 &amp; " " &amp; HOUR(W10/24-INT(W10/24))&amp;" " &amp;  'Paramètres - Admin'!$D$3 &amp; " " &amp; MINUTE(W10/24-INT(W10/24))&amp;" " &amp;  'Paramètres - Admin'!$D$2,HOUR(W10/24-INT(W10/24))&amp;" " &amp;  'Paramètres - Admin'!$D$3 &amp; " " &amp; MINUTE(W10/24-INT(W10/24))&amp;" " &amp;  'Paramètres - Admin'!$D$2))))))</f>
        <v>0,00 jours</v>
      </c>
      <c r="Y10" s="880"/>
      <c r="Z10" s="880"/>
      <c r="AA10" s="880"/>
      <c r="AB10" s="880"/>
      <c r="AC10" s="880"/>
    </row>
    <row r="11" spans="1:29" s="153" customFormat="1" ht="15" customHeight="1" x14ac:dyDescent="0.25">
      <c r="A11" s="97" t="s">
        <v>453</v>
      </c>
      <c r="B11" s="98">
        <f>'À Faire - Détails'!U22</f>
        <v>1</v>
      </c>
      <c r="C11" s="99">
        <f>'À Faire - Détails'!V22</f>
        <v>1</v>
      </c>
      <c r="D11" s="622">
        <f>'À Faire - Détails'!U35</f>
        <v>300</v>
      </c>
      <c r="E11" s="381">
        <f>'À Faire - Détails'!V35</f>
        <v>0.25</v>
      </c>
      <c r="F11" s="92" t="str">
        <f>IF($B$2='Paramètres - Admin'!$B$2,TEXT(E11*60*60,"# 0")&amp;" " &amp; 'Paramètres - Admin'!$B$2,IF($B$2='Paramètres - Admin'!$B$3,TEXT(E11*60,"# 0")&amp;" " &amp; 'Paramètres - Admin'!$B$3,IF($B$2='Paramètres - Admin'!$B$4,TEXT(E11,"# 0,00")&amp;" " &amp; 'Paramètres - Admin'!$B$4,IF($B$2='Paramètres - Admin'!$B$5,TEXT(E11/24,"# 0,00")&amp;" " &amp; 'Paramètres - Admin'!$B$5,IF($B$2='Paramètres - Admin'!$B$6,TEXT((E11/24)/30,"# 0,00")&amp;" " &amp; 'Paramètres - Admin'!$B$6,IF(E11/24&gt;=1,INT(E11/24)&amp;" " &amp;  'Paramètres - Admin'!$D$4 &amp; " " &amp; HOUR(E11/24-INT(E11/24))&amp;" " &amp;  'Paramètres - Admin'!$D$3 &amp; " " &amp; MINUTE(E11/24-INT(E11/24))&amp;" " &amp;  'Paramètres - Admin'!$D$2,HOUR(E11/24-INT(E11/24))&amp;" " &amp;  'Paramètres - Admin'!$D$3 &amp; " " &amp; MINUTE(E11/24-INT(E11/24))&amp;" " &amp;  'Paramètres - Admin'!$D$2))))))</f>
        <v>0,01 jours</v>
      </c>
      <c r="G11" s="183" t="s">
        <v>209</v>
      </c>
      <c r="H11" s="98">
        <f>'À Faire - Détails'!U73</f>
        <v>0</v>
      </c>
      <c r="I11" s="99">
        <f>'À Faire - Détails'!V73</f>
        <v>0</v>
      </c>
      <c r="J11" s="441">
        <f>'À Faire - Détails'!U80</f>
        <v>0</v>
      </c>
      <c r="K11" s="381">
        <f>'À Faire - Détails'!V80</f>
        <v>0</v>
      </c>
      <c r="L11" s="735" t="str">
        <f>IF($B$2='Paramètres - Admin'!$B$2,TEXT(K11*60*60,"# 0")&amp;" " &amp; 'Paramètres - Admin'!$B$2,IF($B$2='Paramètres - Admin'!$B$3,TEXT(K11*60,"# 0")&amp;" " &amp; 'Paramètres - Admin'!$B$3,IF($B$2='Paramètres - Admin'!$B$4,TEXT(K11,"# 0,00")&amp;" " &amp; 'Paramètres - Admin'!$B$4,IF($B$2='Paramètres - Admin'!$B$5,TEXT(K11/24,"# 0,00")&amp;" " &amp; 'Paramètres - Admin'!$B$5,IF($B$2='Paramètres - Admin'!$B$6,TEXT((K11/24)/30,"# 0,00")&amp;" " &amp; 'Paramètres - Admin'!$B$6,IF(K11/24&gt;=1,INT(K11/24)&amp;" " &amp;  'Paramètres - Admin'!$D$4 &amp; " " &amp; HOUR(K11/24-INT(K11/24))&amp;" " &amp;  'Paramètres - Admin'!$D$3 &amp; " " &amp; MINUTE(K11/24-INT(K11/24))&amp;" " &amp;  'Paramètres - Admin'!$D$2,HOUR(K11/24-INT(K11/24))&amp;" " &amp;  'Paramètres - Admin'!$D$3 &amp; " " &amp; MINUTE(K11/24-INT(K11/24))&amp;" " &amp;  'Paramètres - Admin'!$D$2))))))</f>
        <v>0,00 jours</v>
      </c>
      <c r="M11" s="396" t="s">
        <v>565</v>
      </c>
      <c r="N11" s="90">
        <f>'À Faire - Détails'!U191</f>
        <v>0</v>
      </c>
      <c r="O11" s="337">
        <f>'À Faire - Détails'!V191</f>
        <v>0</v>
      </c>
      <c r="P11" s="650">
        <f>'À Faire - Détails'!U196</f>
        <v>0</v>
      </c>
      <c r="Q11" s="380">
        <f>'À Faire - Détails'!V196</f>
        <v>0</v>
      </c>
      <c r="R11" s="92" t="str">
        <f>IF($B$2='Paramètres - Admin'!$B$2,TEXT(Q11*60*60,"# 0")&amp;" " &amp; 'Paramètres - Admin'!$B$2,IF($B$2='Paramètres - Admin'!$B$3,TEXT(Q11*60,"# 0")&amp;" " &amp; 'Paramètres - Admin'!$B$3,IF($B$2='Paramètres - Admin'!$B$4,TEXT(Q11,"# 0,00")&amp;" " &amp; 'Paramètres - Admin'!$B$4,IF($B$2='Paramètres - Admin'!$B$5,TEXT(Q11/24,"# 0,00")&amp;" " &amp; 'Paramètres - Admin'!$B$5,IF($B$2='Paramètres - Admin'!$B$6,TEXT((Q11/24)/30,"# 0,00")&amp;" " &amp; 'Paramètres - Admin'!$B$6,IF(Q11/24&gt;=1,INT(Q11/24)&amp;" " &amp;  'Paramètres - Admin'!$D$4 &amp; " " &amp; HOUR(Q11/24-INT(Q11/24))&amp;" " &amp;  'Paramètres - Admin'!$D$3 &amp; " " &amp; MINUTE(Q11/24-INT(Q11/24))&amp;" " &amp;  'Paramètres - Admin'!$D$2,HOUR(Q11/24-INT(Q11/24))&amp;" " &amp;  'Paramètres - Admin'!$D$3 &amp; " " &amp; MINUTE(Q11/24-INT(Q11/24))&amp;" " &amp;  'Paramètres - Admin'!$D$2))))))</f>
        <v>0,00 jours</v>
      </c>
      <c r="S11" s="734" t="s">
        <v>539</v>
      </c>
      <c r="T11" s="340">
        <f>'À Faire - Détails'!U329</f>
        <v>0</v>
      </c>
      <c r="U11" s="99">
        <f>'À Faire - Détails'!V329</f>
        <v>0</v>
      </c>
      <c r="V11" s="139">
        <f>'À Faire - Détails'!U332</f>
        <v>0</v>
      </c>
      <c r="W11" s="381">
        <f>'À Faire - Détails'!V333</f>
        <v>0</v>
      </c>
      <c r="X11" s="735" t="str">
        <f>IF($B$2='Paramètres - Admin'!$B$2,TEXT(W11*60*60,"# 0")&amp;" " &amp; 'Paramètres - Admin'!$B$2,IF($B$2='Paramètres - Admin'!$B$3,TEXT(W11*60,"# 0")&amp;" " &amp; 'Paramètres - Admin'!$B$3,IF($B$2='Paramètres - Admin'!$B$4,TEXT(W11,"# 0,00")&amp;" " &amp; 'Paramètres - Admin'!$B$4,IF($B$2='Paramètres - Admin'!$B$5,TEXT(W11/24,"# 0,00")&amp;" " &amp; 'Paramètres - Admin'!$B$5,IF($B$2='Paramètres - Admin'!$B$6,TEXT((W11/24)/30,"# 0,00")&amp;" " &amp; 'Paramètres - Admin'!$B$6,IF(W11/24&gt;=1,INT(W11/24)&amp;" " &amp;  'Paramètres - Admin'!$D$4 &amp; " " &amp; HOUR(W11/24-INT(W11/24))&amp;" " &amp;  'Paramètres - Admin'!$D$3 &amp; " " &amp; MINUTE(W11/24-INT(W11/24))&amp;" " &amp;  'Paramètres - Admin'!$D$2,HOUR(W11/24-INT(W11/24))&amp;" " &amp;  'Paramètres - Admin'!$D$3 &amp; " " &amp; MINUTE(W11/24-INT(W11/24))&amp;" " &amp;  'Paramètres - Admin'!$D$2))))))</f>
        <v>0,00 jours</v>
      </c>
      <c r="Y11" s="880"/>
      <c r="Z11" s="880"/>
    </row>
    <row r="12" spans="1:29" s="153" customFormat="1" ht="15" customHeight="1" thickBot="1" x14ac:dyDescent="0.3">
      <c r="A12" s="126" t="s">
        <v>452</v>
      </c>
      <c r="B12" s="623">
        <f>'À Faire - Détails'!J47</f>
        <v>0</v>
      </c>
      <c r="C12" s="124">
        <f>'À Faire - Détails'!K47</f>
        <v>0</v>
      </c>
      <c r="D12" s="450">
        <f>'À Faire - Détails'!J55</f>
        <v>0</v>
      </c>
      <c r="E12" s="382">
        <f>'À Faire - Détails'!K55</f>
        <v>0</v>
      </c>
      <c r="F12" s="182" t="str">
        <f>IF($B$2='Paramètres - Admin'!$B$2,TEXT(E12*60*60,"# 0")&amp;" " &amp; 'Paramètres - Admin'!$B$2,IF($B$2='Paramètres - Admin'!$B$3,TEXT(E12*60,"# 0")&amp;" " &amp; 'Paramètres - Admin'!$B$3,IF($B$2='Paramètres - Admin'!$B$4,TEXT(E12,"# 0,00")&amp;" " &amp; 'Paramètres - Admin'!$B$4,IF($B$2='Paramètres - Admin'!$B$5,TEXT(E12/24,"# 0,00")&amp;" " &amp; 'Paramètres - Admin'!$B$5,IF($B$2='Paramètres - Admin'!$B$6,TEXT((E12/24)/30,"# 0,00")&amp;" " &amp; 'Paramètres - Admin'!$B$6,IF(E12/24&gt;=1,INT(E12/24)&amp;" " &amp;  'Paramètres - Admin'!$D$4 &amp; " " &amp; HOUR(E12/24-INT(E12/24))&amp;" " &amp;  'Paramètres - Admin'!$D$3 &amp; " " &amp; MINUTE(E12/24-INT(E12/24))&amp;" " &amp;  'Paramètres - Admin'!$D$2,HOUR(E12/24-INT(E12/24))&amp;" " &amp;  'Paramètres - Admin'!$D$3 &amp; " " &amp; MINUTE(E12/24-INT(E12/24))&amp;" " &amp;  'Paramètres - Admin'!$D$2))))))</f>
        <v>0,00 jours</v>
      </c>
      <c r="G12" s="344" t="s">
        <v>707</v>
      </c>
      <c r="H12" s="620">
        <f>'À Faire - Détails'!U82</f>
        <v>0</v>
      </c>
      <c r="I12" s="992">
        <f>'À Faire - Détails'!V82</f>
        <v>0</v>
      </c>
      <c r="J12" s="442">
        <f>'À Faire - Détails'!U87</f>
        <v>0</v>
      </c>
      <c r="K12" s="988">
        <f>'À Faire - Détails'!V87</f>
        <v>0</v>
      </c>
      <c r="L12" s="989" t="str">
        <f>IF($B$2='Paramètres - Admin'!$B$2,TEXT(K12*60*60,"# 0")&amp;" " &amp; 'Paramètres - Admin'!$B$2,IF($B$2='Paramètres - Admin'!$B$3,TEXT(K12*60,"# 0")&amp;" " &amp; 'Paramètres - Admin'!$B$3,IF($B$2='Paramètres - Admin'!$B$4,TEXT(K12,"# 0,00")&amp;" " &amp; 'Paramètres - Admin'!$B$4,IF($B$2='Paramètres - Admin'!$B$5,TEXT(K12/24,"# 0,00")&amp;" " &amp; 'Paramètres - Admin'!$B$5,IF($B$2='Paramètres - Admin'!$B$6,TEXT((K12/24)/30,"# 0,00")&amp;" " &amp; 'Paramètres - Admin'!$B$6,IF(K12/24&gt;=1,INT(K12/24)&amp;" " &amp;  'Paramètres - Admin'!$D$4 &amp; " " &amp; HOUR(K12/24-INT(K12/24))&amp;" " &amp;  'Paramètres - Admin'!$D$3 &amp; " " &amp; MINUTE(K12/24-INT(K12/24))&amp;" " &amp;  'Paramètres - Admin'!$D$2,HOUR(K12/24-INT(K12/24))&amp;" " &amp;  'Paramètres - Admin'!$D$3 &amp; " " &amp; MINUTE(K12/24-INT(K12/24))&amp;" " &amp;  'Paramètres - Admin'!$D$2))))))</f>
        <v>0,00 jours</v>
      </c>
      <c r="M12" s="396" t="s">
        <v>567</v>
      </c>
      <c r="N12" s="90">
        <f>'À Faire - Détails'!U198</f>
        <v>0</v>
      </c>
      <c r="O12" s="337">
        <f>'À Faire - Détails'!V198</f>
        <v>0</v>
      </c>
      <c r="P12" s="650">
        <f>'À Faire - Détails'!U203</f>
        <v>0</v>
      </c>
      <c r="Q12" s="380">
        <f>'À Faire - Détails'!V203</f>
        <v>0</v>
      </c>
      <c r="R12" s="92" t="str">
        <f>IF($B$2='Paramètres - Admin'!$B$2,TEXT(Q12*60*60,"# 0")&amp;" " &amp; 'Paramètres - Admin'!$B$2,IF($B$2='Paramètres - Admin'!$B$3,TEXT(Q12*60,"# 0")&amp;" " &amp; 'Paramètres - Admin'!$B$3,IF($B$2='Paramètres - Admin'!$B$4,TEXT(Q12,"# 0,00")&amp;" " &amp; 'Paramètres - Admin'!$B$4,IF($B$2='Paramètres - Admin'!$B$5,TEXT(Q12/24,"# 0,00")&amp;" " &amp; 'Paramètres - Admin'!$B$5,IF($B$2='Paramètres - Admin'!$B$6,TEXT((Q12/24)/30,"# 0,00")&amp;" " &amp; 'Paramètres - Admin'!$B$6,IF(Q12/24&gt;=1,INT(Q12/24)&amp;" " &amp;  'Paramètres - Admin'!$D$4 &amp; " " &amp; HOUR(Q12/24-INT(Q12/24))&amp;" " &amp;  'Paramètres - Admin'!$D$3 &amp; " " &amp; MINUTE(Q12/24-INT(Q12/24))&amp;" " &amp;  'Paramètres - Admin'!$D$2,HOUR(Q12/24-INT(Q12/24))&amp;" " &amp;  'Paramètres - Admin'!$D$3 &amp; " " &amp; MINUTE(Q12/24-INT(Q12/24))&amp;" " &amp;  'Paramètres - Admin'!$D$2))))))</f>
        <v>0,00 jours</v>
      </c>
      <c r="S12" s="736" t="s">
        <v>576</v>
      </c>
      <c r="T12" s="733">
        <f>'À Faire - Détails'!U335</f>
        <v>0</v>
      </c>
      <c r="U12" s="124">
        <f>'À Faire - Détails'!V335</f>
        <v>0</v>
      </c>
      <c r="V12" s="140">
        <f>'À Faire - Détails'!U340</f>
        <v>0</v>
      </c>
      <c r="W12" s="382">
        <f>'À Faire - Détails'!V340</f>
        <v>0</v>
      </c>
      <c r="X12" s="737" t="str">
        <f>IF($B$2='Paramètres - Admin'!$B$2,TEXT(W12*60*60,"# 0")&amp;" " &amp; 'Paramètres - Admin'!$B$2,IF($B$2='Paramètres - Admin'!$B$3,TEXT(W12*60,"# 0")&amp;" " &amp; 'Paramètres - Admin'!$B$3,IF($B$2='Paramètres - Admin'!$B$4,TEXT(W12,"# 0,00")&amp;" " &amp; 'Paramètres - Admin'!$B$4,IF($B$2='Paramètres - Admin'!$B$5,TEXT(W12/24,"# 0,00")&amp;" " &amp; 'Paramètres - Admin'!$B$5,IF($B$2='Paramètres - Admin'!$B$6,TEXT((W12/24)/30,"# 0,00")&amp;" " &amp; 'Paramètres - Admin'!$B$6,IF(W12/24&gt;=1,INT(W12/24)&amp;" " &amp;  'Paramètres - Admin'!$D$4 &amp; " " &amp; HOUR(W12/24-INT(W12/24))&amp;" " &amp;  'Paramètres - Admin'!$D$3 &amp; " " &amp; MINUTE(W12/24-INT(W12/24))&amp;" " &amp;  'Paramètres - Admin'!$D$2,HOUR(W12/24-INT(W12/24))&amp;" " &amp;  'Paramètres - Admin'!$D$3 &amp; " " &amp; MINUTE(W12/24-INT(W12/24))&amp;" " &amp;  'Paramètres - Admin'!$D$2))))))</f>
        <v>0,00 jours</v>
      </c>
      <c r="Y12" s="880"/>
      <c r="Z12" s="880"/>
    </row>
    <row r="13" spans="1:29" s="153" customFormat="1" ht="15" customHeight="1" thickBot="1" x14ac:dyDescent="0.3">
      <c r="A13" s="576" t="s">
        <v>31</v>
      </c>
      <c r="B13" s="111">
        <f>SUM(B7:B12)</f>
        <v>4</v>
      </c>
      <c r="C13" s="112">
        <f>SUM(C7:C12)</f>
        <v>6</v>
      </c>
      <c r="D13" s="451">
        <f>SUM(D7:D12)</f>
        <v>1500</v>
      </c>
      <c r="E13" s="383">
        <f>SUM(E7:E12)</f>
        <v>0.7</v>
      </c>
      <c r="F13" s="114" t="str">
        <f>IF($B$2='Paramètres - Admin'!$B$2,TEXT(E13*60*60,"# 0")&amp;" " &amp; 'Paramètres - Admin'!$B$2,IF($B$2='Paramètres - Admin'!$B$3,TEXT(E13*60,"# 0")&amp;" " &amp; 'Paramètres - Admin'!$B$3,IF($B$2='Paramètres - Admin'!$B$4,TEXT(E13,"# 0,00")&amp;" " &amp; 'Paramètres - Admin'!$B$4,IF($B$2='Paramètres - Admin'!$B$5,TEXT(E13/24,"# 0,00")&amp;" " &amp; 'Paramètres - Admin'!$B$5,IF($B$2='Paramètres - Admin'!$B$6,TEXT((E13/24)/30,"# 0,00")&amp;" " &amp; 'Paramètres - Admin'!$B$6,IF(E13/24&gt;=1,INT(E13/24)&amp;" " &amp;  'Paramètres - Admin'!$D$4 &amp; " " &amp; HOUR(E13/24-INT(E13/24))&amp;" " &amp;  'Paramètres - Admin'!$D$3 &amp; " " &amp; MINUTE(E13/24-INT(E13/24))&amp;" " &amp;  'Paramètres - Admin'!$D$2,HOUR(E13/24-INT(E13/24))&amp;" " &amp;  'Paramètres - Admin'!$D$3 &amp; " " &amp; MINUTE(E13/24-INT(E13/24))&amp;" " &amp;  'Paramètres - Admin'!$D$2))))))</f>
        <v>0,03 jours</v>
      </c>
      <c r="G13" s="991" t="s">
        <v>31</v>
      </c>
      <c r="H13" s="990">
        <f>SUM(H7:H12)</f>
        <v>2</v>
      </c>
      <c r="I13" s="982">
        <f>SUM(I7:I12)</f>
        <v>4</v>
      </c>
      <c r="J13" s="443">
        <f>SUM(J7:J12)</f>
        <v>3950</v>
      </c>
      <c r="K13" s="983">
        <f>SUM(K7:K12)</f>
        <v>2.3533333333333335</v>
      </c>
      <c r="L13" s="984" t="str">
        <f>IF($B$2='Paramètres - Admin'!$B$2,TEXT(K13*60*60,"# 0")&amp;" " &amp; 'Paramètres - Admin'!$B$2,IF($B$2='Paramètres - Admin'!$B$3,TEXT(K13*60,"# 0")&amp;" " &amp; 'Paramètres - Admin'!$B$3,IF($B$2='Paramètres - Admin'!$B$4,TEXT(K13,"# 0,00")&amp;" " &amp; 'Paramètres - Admin'!$B$4,IF($B$2='Paramètres - Admin'!$B$5,TEXT(K13/24,"# 0,00")&amp;" " &amp; 'Paramètres - Admin'!$B$5,IF($B$2='Paramètres - Admin'!$B$6,TEXT((K13/24)/30,"# 0,00")&amp;" " &amp; 'Paramètres - Admin'!$B$6,IF(K13/24&gt;=1,INT(K13/24)&amp;" " &amp;  'Paramètres - Admin'!$D$4 &amp; " " &amp; HOUR(K13/24-INT(K13/24))&amp;" " &amp;  'Paramètres - Admin'!$D$3 &amp; " " &amp; MINUTE(K13/24-INT(K13/24))&amp;" " &amp;  'Paramètres - Admin'!$D$2,HOUR(K13/24-INT(K13/24))&amp;" " &amp;  'Paramètres - Admin'!$D$3 &amp; " " &amp; MINUTE(K13/24-INT(K13/24))&amp;" " &amp;  'Paramètres - Admin'!$D$2))))))</f>
        <v>0,10 jours</v>
      </c>
      <c r="M13" s="576" t="s">
        <v>31</v>
      </c>
      <c r="N13" s="111">
        <f>SUM(N7:N12)</f>
        <v>0</v>
      </c>
      <c r="O13" s="112">
        <f>SUM(O7:O12)</f>
        <v>0</v>
      </c>
      <c r="P13" s="113">
        <f>SUM(P7:P12)</f>
        <v>0</v>
      </c>
      <c r="Q13" s="383">
        <f>SUM(Q7:Q12)</f>
        <v>0</v>
      </c>
      <c r="R13" s="114" t="str">
        <f>IF($B$2='Paramètres - Admin'!$B$2,TEXT(Q13*60*60,"# 0")&amp;" " &amp; 'Paramètres - Admin'!$B$2,IF($B$2='Paramètres - Admin'!$B$3,TEXT(Q13*60,"# 0")&amp;" " &amp; 'Paramètres - Admin'!$B$3,IF($B$2='Paramètres - Admin'!$B$4,TEXT(Q13,"# 0,00")&amp;" " &amp; 'Paramètres - Admin'!$B$4,IF($B$2='Paramètres - Admin'!$B$5,TEXT(Q13/24,"# 0,00")&amp;" " &amp; 'Paramètres - Admin'!$B$5,IF($B$2='Paramètres - Admin'!$B$6,TEXT((Q13/24)/30,"# 0,00")&amp;" " &amp; 'Paramètres - Admin'!$B$6,IF(Q13/24&gt;=1,INT(Q13/24)&amp;" " &amp;  'Paramètres - Admin'!$D$4 &amp; " " &amp; HOUR(Q13/24-INT(Q13/24))&amp;" " &amp;  'Paramètres - Admin'!$D$3 &amp; " " &amp; MINUTE(Q13/24-INT(Q13/24))&amp;" " &amp;  'Paramètres - Admin'!$D$2,HOUR(Q13/24-INT(Q13/24))&amp;" " &amp;  'Paramètres - Admin'!$D$3 &amp; " " &amp; MINUTE(Q13/24-INT(Q13/24))&amp;" " &amp;  'Paramètres - Admin'!$D$2))))))</f>
        <v>0,00 jours</v>
      </c>
      <c r="S13" s="329" t="s">
        <v>31</v>
      </c>
      <c r="T13" s="467">
        <f>SUM(T7:T12)</f>
        <v>0</v>
      </c>
      <c r="U13" s="112">
        <f>SUM(U7:U12)</f>
        <v>0</v>
      </c>
      <c r="V13" s="141">
        <f>SUM(V7:V12)</f>
        <v>0</v>
      </c>
      <c r="W13" s="383">
        <f>SUM(W7:W12)</f>
        <v>0</v>
      </c>
      <c r="X13" s="114" t="str">
        <f>IF($B$2='Paramètres - Admin'!$B$2,TEXT(W13*60*60,"# 0")&amp;" " &amp; 'Paramètres - Admin'!$B$2,IF($B$2='Paramètres - Admin'!$B$3,TEXT(W13*60,"# 0")&amp;" " &amp; 'Paramètres - Admin'!$B$3,IF($B$2='Paramètres - Admin'!$B$4,TEXT(W13,"# 0,00")&amp;" " &amp; 'Paramètres - Admin'!$B$4,IF($B$2='Paramètres - Admin'!$B$5,TEXT(W13/24,"# 0,00")&amp;" " &amp; 'Paramètres - Admin'!$B$5,IF($B$2='Paramètres - Admin'!$B$6,TEXT((W13/24)/30,"# 0,00")&amp;" " &amp; 'Paramètres - Admin'!$B$6,IF(W13/24&gt;=1,INT(W13/24)&amp;" " &amp;  'Paramètres - Admin'!$D$4 &amp; " " &amp; HOUR(W13/24-INT(W13/24))&amp;" " &amp;  'Paramètres - Admin'!$D$3 &amp; " " &amp; MINUTE(W13/24-INT(W13/24))&amp;" " &amp;  'Paramètres - Admin'!$D$2,HOUR(W13/24-INT(W13/24))&amp;" " &amp;  'Paramètres - Admin'!$D$3 &amp; " " &amp; MINUTE(W13/24-INT(W13/24))&amp;" " &amp;  'Paramètres - Admin'!$D$2))))))</f>
        <v>0,00 jours</v>
      </c>
      <c r="Y13" s="880"/>
      <c r="Z13" s="880"/>
    </row>
    <row r="14" spans="1:29" s="153" customFormat="1" ht="15" customHeight="1" thickBot="1" x14ac:dyDescent="0.3">
      <c r="Y14" s="880"/>
      <c r="Z14" s="880"/>
    </row>
    <row r="15" spans="1:29" s="153" customFormat="1" ht="15" customHeight="1" thickBot="1" x14ac:dyDescent="0.3">
      <c r="A15" s="1073" t="s">
        <v>240</v>
      </c>
      <c r="B15" s="1074"/>
      <c r="C15" s="1074"/>
      <c r="D15" s="1074"/>
      <c r="E15" s="1074"/>
      <c r="F15" s="1075"/>
      <c r="G15" s="1073" t="s">
        <v>179</v>
      </c>
      <c r="H15" s="1074"/>
      <c r="I15" s="1074"/>
      <c r="J15" s="1074"/>
      <c r="K15" s="1074"/>
      <c r="L15" s="1075"/>
      <c r="M15" s="1073" t="s">
        <v>226</v>
      </c>
      <c r="N15" s="1074"/>
      <c r="O15" s="1074"/>
      <c r="P15" s="1074"/>
      <c r="Q15" s="1074"/>
      <c r="R15" s="1075"/>
      <c r="S15" s="1073" t="s">
        <v>716</v>
      </c>
      <c r="T15" s="1074"/>
      <c r="U15" s="1074"/>
      <c r="V15" s="1074"/>
      <c r="W15" s="1074"/>
      <c r="X15" s="1075"/>
      <c r="Z15" s="880"/>
    </row>
    <row r="16" spans="1:29" s="153" customFormat="1" ht="15" customHeight="1" thickBot="1" x14ac:dyDescent="0.3">
      <c r="A16" s="274" t="s">
        <v>235</v>
      </c>
      <c r="B16" s="329" t="s">
        <v>362</v>
      </c>
      <c r="C16" s="653" t="s">
        <v>70</v>
      </c>
      <c r="D16" s="653" t="s">
        <v>232</v>
      </c>
      <c r="E16" s="653" t="s">
        <v>233</v>
      </c>
      <c r="F16" s="331" t="s">
        <v>233</v>
      </c>
      <c r="G16" s="274" t="s">
        <v>231</v>
      </c>
      <c r="H16" s="329" t="s">
        <v>362</v>
      </c>
      <c r="I16" s="653" t="s">
        <v>70</v>
      </c>
      <c r="J16" s="653" t="s">
        <v>232</v>
      </c>
      <c r="K16" s="653" t="s">
        <v>233</v>
      </c>
      <c r="L16" s="654" t="s">
        <v>233</v>
      </c>
      <c r="M16" s="274" t="s">
        <v>234</v>
      </c>
      <c r="N16" s="329" t="s">
        <v>362</v>
      </c>
      <c r="O16" s="653" t="s">
        <v>70</v>
      </c>
      <c r="P16" s="653" t="s">
        <v>232</v>
      </c>
      <c r="Q16" s="653" t="s">
        <v>233</v>
      </c>
      <c r="R16" s="654" t="s">
        <v>233</v>
      </c>
      <c r="S16" s="274" t="s">
        <v>234</v>
      </c>
      <c r="T16" s="329" t="s">
        <v>362</v>
      </c>
      <c r="U16" s="653" t="s">
        <v>70</v>
      </c>
      <c r="V16" s="653" t="s">
        <v>232</v>
      </c>
      <c r="W16" s="653" t="s">
        <v>233</v>
      </c>
      <c r="X16" s="654" t="s">
        <v>233</v>
      </c>
      <c r="Z16" s="880"/>
    </row>
    <row r="17" spans="1:29" s="153" customFormat="1" ht="15" customHeight="1" x14ac:dyDescent="0.25">
      <c r="A17" s="395" t="s">
        <v>195</v>
      </c>
      <c r="B17" s="90">
        <f>'À Faire - Détails'!J243</f>
        <v>0</v>
      </c>
      <c r="C17" s="91">
        <f>'À Faire - Détails'!K243</f>
        <v>0</v>
      </c>
      <c r="D17" s="449">
        <f>'À Faire - Détails'!J252</f>
        <v>0</v>
      </c>
      <c r="E17" s="380">
        <f>'À Faire - Détails'!K252</f>
        <v>0</v>
      </c>
      <c r="F17" s="686" t="str">
        <f>IF($B$2='Paramètres - Admin'!$B$2,TEXT(E17*60*60,"# 0")&amp;" " &amp; 'Paramètres - Admin'!$B$2,IF($B$2='Paramètres - Admin'!$B$3,TEXT(E17*60,"# 0")&amp;" " &amp; 'Paramètres - Admin'!$B$3,IF($B$2='Paramètres - Admin'!$B$4,TEXT(E17,"# 0,00")&amp;" " &amp; 'Paramètres - Admin'!$B$4,IF($B$2='Paramètres - Admin'!$B$5,TEXT(E17/24,"# 0,00")&amp;" " &amp; 'Paramètres - Admin'!$B$5,IF($B$2='Paramètres - Admin'!$B$6,TEXT((E17/24)/30,"# 0,00")&amp;" " &amp; 'Paramètres - Admin'!$B$6,IF(E17/24&gt;=1,INT(E17/24)&amp;" " &amp;  'Paramètres - Admin'!$D$4 &amp; " " &amp; HOUR(E17/24-INT(E17/24))&amp;" " &amp;  'Paramètres - Admin'!$D$3 &amp; " " &amp; MINUTE(E17/24-INT(E17/24))&amp;" " &amp;  'Paramètres - Admin'!$D$2,HOUR(E17/24-INT(E17/24))&amp;" " &amp;  'Paramètres - Admin'!$D$3 &amp; " " &amp; MINUTE(E17/24-INT(E17/24))&amp;" " &amp;  'Paramètres - Admin'!$D$2))))))</f>
        <v>0,00 jours</v>
      </c>
      <c r="G17" s="395" t="s">
        <v>206</v>
      </c>
      <c r="H17" s="90">
        <f>'À Faire - Détails'!J101</f>
        <v>0</v>
      </c>
      <c r="I17" s="91">
        <f>'À Faire - Détails'!K101</f>
        <v>0</v>
      </c>
      <c r="J17" s="754">
        <f>'À Faire - Détails'!J114</f>
        <v>0</v>
      </c>
      <c r="K17" s="380">
        <f>'À Faire - Détails'!K114</f>
        <v>0</v>
      </c>
      <c r="L17" s="92" t="str">
        <f>IF($B$2='Paramètres - Admin'!$B$2,TEXT(K17*60*60,"# 0")&amp;" " &amp; 'Paramètres - Admin'!$B$2,IF($B$2='Paramètres - Admin'!$B$3,TEXT(K17*60,"# 0")&amp;" " &amp; 'Paramètres - Admin'!$B$3,IF($B$2='Paramètres - Admin'!$B$4,TEXT(K17,"# 0,00")&amp;" " &amp; 'Paramètres - Admin'!$B$4,IF($B$2='Paramètres - Admin'!$B$5,TEXT(K17/24,"# 0,00")&amp;" " &amp; 'Paramètres - Admin'!$B$5,IF($B$2='Paramètres - Admin'!$B$6,TEXT((K17/24)/30,"# 0,00")&amp;" " &amp; 'Paramètres - Admin'!$B$6,IF(K17/24&gt;=1,INT(K17/24)&amp;" " &amp;  'Paramètres - Admin'!$D$4 &amp; " " &amp; HOUR(K17/24-INT(K17/24))&amp;" " &amp;  'Paramètres - Admin'!$D$3 &amp; " " &amp; MINUTE(K17/24-INT(K17/24))&amp;" " &amp;  'Paramètres - Admin'!$D$2,HOUR(K17/24-INT(K17/24))&amp;" " &amp;  'Paramètres - Admin'!$D$3 &amp; " " &amp; MINUTE(K17/24-INT(K17/24))&amp;" " &amp;  'Paramètres - Admin'!$D$2))))))</f>
        <v>0,00 jours</v>
      </c>
      <c r="M17" s="134" t="s">
        <v>190</v>
      </c>
      <c r="N17" s="135">
        <f>'À Faire - Détails'!J210</f>
        <v>0</v>
      </c>
      <c r="O17" s="91">
        <f>'À Faire - Détails'!K210</f>
        <v>0</v>
      </c>
      <c r="P17" s="449">
        <f>'À Faire - Détails'!J218</f>
        <v>0</v>
      </c>
      <c r="Q17" s="380">
        <f>'À Faire - Détails'!K218</f>
        <v>0</v>
      </c>
      <c r="R17" s="92" t="str">
        <f>IF($B$2='Paramètres - Admin'!$B$2,TEXT(Q17*60*60,"# 0")&amp;" " &amp; 'Paramètres - Admin'!$B$2,IF($B$2='Paramètres - Admin'!$B$3,TEXT(Q17*60,"# 0")&amp;" " &amp; 'Paramètres - Admin'!$B$3,IF($B$2='Paramètres - Admin'!$B$4,TEXT(Q17,"# 0,00")&amp;" " &amp; 'Paramètres - Admin'!$B$4,IF($B$2='Paramètres - Admin'!$B$5,TEXT(Q17/24,"# 0,00")&amp;" " &amp; 'Paramètres - Admin'!$B$5,IF($B$2='Paramètres - Admin'!$B$6,TEXT((Q17/24)/30,"# 0,00")&amp;" " &amp; 'Paramètres - Admin'!$B$6,IF(Q17/24&gt;=1,INT(Q17/24)&amp;" " &amp;  'Paramètres - Admin'!$D$4 &amp; " " &amp; HOUR(Q17/24-INT(Q17/24))&amp;" " &amp;  'Paramètres - Admin'!$D$3 &amp; " " &amp; MINUTE(Q17/24-INT(Q17/24))&amp;" " &amp;  'Paramètres - Admin'!$D$2,HOUR(Q17/24-INT(Q17/24))&amp;" " &amp;  'Paramètres - Admin'!$D$3 &amp; " " &amp; MINUTE(Q17/24-INT(Q17/24))&amp;" " &amp;  'Paramètres - Admin'!$D$2))))))</f>
        <v>0,00 jours</v>
      </c>
      <c r="S17" s="134" t="s">
        <v>712</v>
      </c>
      <c r="T17" s="135">
        <f>'À Faire - Détails'!J300</f>
        <v>0</v>
      </c>
      <c r="U17" s="91">
        <f>'À Faire - Détails'!K300</f>
        <v>0</v>
      </c>
      <c r="V17" s="139">
        <f>'À Faire - Détails'!J306</f>
        <v>0</v>
      </c>
      <c r="W17" s="380">
        <f>'À Faire - Détails'!K306</f>
        <v>0</v>
      </c>
      <c r="X17" s="92" t="str">
        <f>IF($B$2='Paramètres - Admin'!$B$2,TEXT(W17*60*60,"# 0")&amp;" " &amp; 'Paramètres - Admin'!$B$2,IF($B$2='Paramètres - Admin'!$B$3,TEXT(W17*60,"# 0")&amp;" " &amp; 'Paramètres - Admin'!$B$3,IF($B$2='Paramètres - Admin'!$B$4,TEXT(W17,"# 0,00")&amp;" " &amp; 'Paramètres - Admin'!$B$4,IF($B$2='Paramètres - Admin'!$B$5,TEXT(W17/24,"# 0,00")&amp;" " &amp; 'Paramètres - Admin'!$B$5,IF($B$2='Paramètres - Admin'!$B$6,TEXT((W17/24)/30,"# 0,00")&amp;" " &amp; 'Paramètres - Admin'!$B$6,IF(W17/24&gt;=1,INT(W17/24)&amp;" " &amp;  'Paramètres - Admin'!$D$4 &amp; " " &amp; HOUR(W17/24-INT(W17/24))&amp;" " &amp;  'Paramètres - Admin'!$D$3 &amp; " " &amp; MINUTE(W17/24-INT(W17/24))&amp;" " &amp;  'Paramètres - Admin'!$D$2,HOUR(W17/24-INT(W17/24))&amp;" " &amp;  'Paramètres - Admin'!$D$3 &amp; " " &amp; MINUTE(W17/24-INT(W17/24))&amp;" " &amp;  'Paramètres - Admin'!$D$2))))))</f>
        <v>0,00 jours</v>
      </c>
      <c r="Z17" s="880"/>
    </row>
    <row r="18" spans="1:29" s="153" customFormat="1" ht="15" customHeight="1" x14ac:dyDescent="0.25">
      <c r="A18" s="94" t="s">
        <v>50</v>
      </c>
      <c r="B18" s="98">
        <f>'À Faire - Détails'!J254</f>
        <v>0</v>
      </c>
      <c r="C18" s="99">
        <f>'À Faire - Détails'!K254</f>
        <v>0</v>
      </c>
      <c r="D18" s="441">
        <f>'À Faire - Détails'!J263</f>
        <v>0</v>
      </c>
      <c r="E18" s="381">
        <f>'À Faire - Détails'!K263</f>
        <v>0</v>
      </c>
      <c r="F18" s="686" t="str">
        <f>IF($B$2='Paramètres - Admin'!$B$2,TEXT(E18*60*60,"# 0")&amp;" " &amp; 'Paramètres - Admin'!$B$2,IF($B$2='Paramètres - Admin'!$B$3,TEXT(E18*60,"# 0")&amp;" " &amp; 'Paramètres - Admin'!$B$3,IF($B$2='Paramètres - Admin'!$B$4,TEXT(E18,"# 0,00")&amp;" " &amp; 'Paramètres - Admin'!$B$4,IF($B$2='Paramètres - Admin'!$B$5,TEXT(E18/24,"# 0,00")&amp;" " &amp; 'Paramètres - Admin'!$B$5,IF($B$2='Paramètres - Admin'!$B$6,TEXT((E18/24)/30,"# 0,00")&amp;" " &amp; 'Paramètres - Admin'!$B$6,IF(E18/24&gt;=1,INT(E18/24)&amp;" " &amp;  'Paramètres - Admin'!$D$4 &amp; " " &amp; HOUR(E18/24-INT(E18/24))&amp;" " &amp;  'Paramètres - Admin'!$D$3 &amp; " " &amp; MINUTE(E18/24-INT(E18/24))&amp;" " &amp;  'Paramètres - Admin'!$D$2,HOUR(E18/24-INT(E18/24))&amp;" " &amp;  'Paramètres - Admin'!$D$3 &amp; " " &amp; MINUTE(E18/24-INT(E18/24))&amp;" " &amp;  'Paramètres - Admin'!$D$2))))))</f>
        <v>0,00 jours</v>
      </c>
      <c r="G18" s="94" t="s">
        <v>205</v>
      </c>
      <c r="H18" s="98">
        <f>'À Faire - Détails'!J116</f>
        <v>2</v>
      </c>
      <c r="I18" s="99">
        <f>'À Faire - Détails'!K116</f>
        <v>4</v>
      </c>
      <c r="J18" s="622">
        <f>'À Faire - Détails'!J131</f>
        <v>2500</v>
      </c>
      <c r="K18" s="381">
        <f>'À Faire - Détails'!K131</f>
        <v>0.53333333333333333</v>
      </c>
      <c r="L18" s="92" t="str">
        <f>IF($B$2='Paramètres - Admin'!$B$2,TEXT(K18*60*60,"# 0")&amp;" " &amp; 'Paramètres - Admin'!$B$2,IF($B$2='Paramètres - Admin'!$B$3,TEXT(K18*60,"# 0")&amp;" " &amp; 'Paramètres - Admin'!$B$3,IF($B$2='Paramètres - Admin'!$B$4,TEXT(K18,"# 0,00")&amp;" " &amp; 'Paramètres - Admin'!$B$4,IF($B$2='Paramètres - Admin'!$B$5,TEXT(K18/24,"# 0,00")&amp;" " &amp; 'Paramètres - Admin'!$B$5,IF($B$2='Paramètres - Admin'!$B$6,TEXT((K18/24)/30,"# 0,00")&amp;" " &amp; 'Paramètres - Admin'!$B$6,IF(K18/24&gt;=1,INT(K18/24)&amp;" " &amp;  'Paramètres - Admin'!$D$4 &amp; " " &amp; HOUR(K18/24-INT(K18/24))&amp;" " &amp;  'Paramètres - Admin'!$D$3 &amp; " " &amp; MINUTE(K18/24-INT(K18/24))&amp;" " &amp;  'Paramètres - Admin'!$D$2,HOUR(K18/24-INT(K18/24))&amp;" " &amp;  'Paramètres - Admin'!$D$3 &amp; " " &amp; MINUTE(K18/24-INT(K18/24))&amp;" " &amp;  'Paramètres - Admin'!$D$2))))))</f>
        <v>0,02 jours</v>
      </c>
      <c r="M18" s="137" t="s">
        <v>191</v>
      </c>
      <c r="N18" s="138">
        <f>'À Faire - Détails'!J220</f>
        <v>0</v>
      </c>
      <c r="O18" s="99">
        <f>'À Faire - Détails'!K220</f>
        <v>0</v>
      </c>
      <c r="P18" s="441">
        <f>'À Faire - Détails'!J228</f>
        <v>0</v>
      </c>
      <c r="Q18" s="381">
        <f>'À Faire - Détails'!K228</f>
        <v>0</v>
      </c>
      <c r="R18" s="92" t="str">
        <f>IF($B$2='Paramètres - Admin'!$B$2,TEXT(Q18*60*60,"# 0")&amp;" " &amp; 'Paramètres - Admin'!$B$2,IF($B$2='Paramètres - Admin'!$B$3,TEXT(Q18*60,"# 0")&amp;" " &amp; 'Paramètres - Admin'!$B$3,IF($B$2='Paramètres - Admin'!$B$4,TEXT(Q18,"# 0,00")&amp;" " &amp; 'Paramètres - Admin'!$B$4,IF($B$2='Paramètres - Admin'!$B$5,TEXT(Q18/24,"# 0,00")&amp;" " &amp; 'Paramètres - Admin'!$B$5,IF($B$2='Paramètres - Admin'!$B$6,TEXT((Q18/24)/30,"# 0,00")&amp;" " &amp; 'Paramètres - Admin'!$B$6,IF(Q18/24&gt;=1,INT(Q18/24)&amp;" " &amp;  'Paramètres - Admin'!$D$4 &amp; " " &amp; HOUR(Q18/24-INT(Q18/24))&amp;" " &amp;  'Paramètres - Admin'!$D$3 &amp; " " &amp; MINUTE(Q18/24-INT(Q18/24))&amp;" " &amp;  'Paramètres - Admin'!$D$2,HOUR(Q18/24-INT(Q18/24))&amp;" " &amp;  'Paramètres - Admin'!$D$3 &amp; " " &amp; MINUTE(Q18/24-INT(Q18/24))&amp;" " &amp;  'Paramètres - Admin'!$D$2))))))</f>
        <v>0,00 jours</v>
      </c>
      <c r="S18" s="137" t="s">
        <v>713</v>
      </c>
      <c r="T18" s="138">
        <f>'À Faire - Détails'!U300</f>
        <v>0</v>
      </c>
      <c r="U18" s="99">
        <f>'À Faire - Détails'!V300</f>
        <v>0</v>
      </c>
      <c r="V18" s="139">
        <f>'À Faire - Détails'!U306</f>
        <v>0</v>
      </c>
      <c r="W18" s="381">
        <f>'À Faire - Détails'!V306</f>
        <v>0</v>
      </c>
      <c r="X18" s="92" t="str">
        <f>IF($B$2='Paramètres - Admin'!$B$2,TEXT(W18*60*60,"# 0")&amp;" " &amp; 'Paramètres - Admin'!$B$2,IF($B$2='Paramètres - Admin'!$B$3,TEXT(W18*60,"# 0")&amp;" " &amp; 'Paramètres - Admin'!$B$3,IF($B$2='Paramètres - Admin'!$B$4,TEXT(W18,"# 0,00")&amp;" " &amp; 'Paramètres - Admin'!$B$4,IF($B$2='Paramètres - Admin'!$B$5,TEXT(W18/24,"# 0,00")&amp;" " &amp; 'Paramètres - Admin'!$B$5,IF($B$2='Paramètres - Admin'!$B$6,TEXT((W18/24)/30,"# 0,00")&amp;" " &amp; 'Paramètres - Admin'!$B$6,IF(W18/24&gt;=1,INT(W18/24)&amp;" " &amp;  'Paramètres - Admin'!$D$4 &amp; " " &amp; HOUR(W18/24-INT(W18/24))&amp;" " &amp;  'Paramètres - Admin'!$D$3 &amp; " " &amp; MINUTE(W18/24-INT(W18/24))&amp;" " &amp;  'Paramètres - Admin'!$D$2,HOUR(W18/24-INT(W18/24))&amp;" " &amp;  'Paramètres - Admin'!$D$3 &amp; " " &amp; MINUTE(W18/24-INT(W18/24))&amp;" " &amp;  'Paramètres - Admin'!$D$2))))))</f>
        <v>0,00 jours</v>
      </c>
    </row>
    <row r="19" spans="1:29" s="153" customFormat="1" ht="15" customHeight="1" thickBot="1" x14ac:dyDescent="0.3">
      <c r="A19" s="94" t="s">
        <v>189</v>
      </c>
      <c r="B19" s="98">
        <f>'À Faire - Détails'!J265</f>
        <v>0</v>
      </c>
      <c r="C19" s="99">
        <f>'À Faire - Détails'!K265</f>
        <v>0</v>
      </c>
      <c r="D19" s="441">
        <f>'À Faire - Détails'!J273</f>
        <v>0</v>
      </c>
      <c r="E19" s="381">
        <f>'À Faire - Détails'!K273</f>
        <v>0</v>
      </c>
      <c r="F19" s="686" t="str">
        <f>IF($B$2='Paramètres - Admin'!$B$2,TEXT(E19*60*60,"# 0")&amp;" " &amp; 'Paramètres - Admin'!$B$2,IF($B$2='Paramètres - Admin'!$B$3,TEXT(E19*60,"# 0")&amp;" " &amp; 'Paramètres - Admin'!$B$3,IF($B$2='Paramètres - Admin'!$B$4,TEXT(E19,"# 0,00")&amp;" " &amp; 'Paramètres - Admin'!$B$4,IF($B$2='Paramètres - Admin'!$B$5,TEXT(E19/24,"# 0,00")&amp;" " &amp; 'Paramètres - Admin'!$B$5,IF($B$2='Paramètres - Admin'!$B$6,TEXT((E19/24)/30,"# 0,00")&amp;" " &amp; 'Paramètres - Admin'!$B$6,IF(E19/24&gt;=1,INT(E19/24)&amp;" " &amp;  'Paramètres - Admin'!$D$4 &amp; " " &amp; HOUR(E19/24-INT(E19/24))&amp;" " &amp;  'Paramètres - Admin'!$D$3 &amp; " " &amp; MINUTE(E19/24-INT(E19/24))&amp;" " &amp;  'Paramètres - Admin'!$D$2,HOUR(E19/24-INT(E19/24))&amp;" " &amp;  'Paramètres - Admin'!$D$3 &amp; " " &amp; MINUTE(E19/24-INT(E19/24))&amp;" " &amp;  'Paramètres - Admin'!$D$2))))))</f>
        <v>0,00 jours</v>
      </c>
      <c r="G19" s="94" t="s">
        <v>204</v>
      </c>
      <c r="H19" s="98">
        <f>'À Faire - Détails'!J133</f>
        <v>0</v>
      </c>
      <c r="I19" s="99">
        <f>'À Faire - Détails'!K133</f>
        <v>0</v>
      </c>
      <c r="J19" s="622">
        <f>'À Faire - Détails'!J148</f>
        <v>0</v>
      </c>
      <c r="K19" s="381">
        <f>'À Faire - Détails'!K148</f>
        <v>0</v>
      </c>
      <c r="L19" s="92" t="str">
        <f>IF($B$2='Paramètres - Admin'!$B$2,TEXT(K19*60*60,"# 0")&amp;" " &amp; 'Paramètres - Admin'!$B$2,IF($B$2='Paramètres - Admin'!$B$3,TEXT(K19*60,"# 0")&amp;" " &amp; 'Paramètres - Admin'!$B$3,IF($B$2='Paramètres - Admin'!$B$4,TEXT(K19,"# 0,00")&amp;" " &amp; 'Paramètres - Admin'!$B$4,IF($B$2='Paramètres - Admin'!$B$5,TEXT(K19/24,"# 0,00")&amp;" " &amp; 'Paramètres - Admin'!$B$5,IF($B$2='Paramètres - Admin'!$B$6,TEXT((K19/24)/30,"# 0,00")&amp;" " &amp; 'Paramètres - Admin'!$B$6,IF(K19/24&gt;=1,INT(K19/24)&amp;" " &amp;  'Paramètres - Admin'!$D$4 &amp; " " &amp; HOUR(K19/24-INT(K19/24))&amp;" " &amp;  'Paramètres - Admin'!$D$3 &amp; " " &amp; MINUTE(K19/24-INT(K19/24))&amp;" " &amp;  'Paramètres - Admin'!$D$2,HOUR(K19/24-INT(K19/24))&amp;" " &amp;  'Paramètres - Admin'!$D$3 &amp; " " &amp; MINUTE(K19/24-INT(K19/24))&amp;" " &amp;  'Paramètres - Admin'!$D$2))))))</f>
        <v>0,00 jours</v>
      </c>
      <c r="M19" s="137" t="s">
        <v>192</v>
      </c>
      <c r="N19" s="138">
        <f>'À Faire - Détails'!J230</f>
        <v>0</v>
      </c>
      <c r="O19" s="99">
        <f>'À Faire - Détails'!K230</f>
        <v>0</v>
      </c>
      <c r="P19" s="441">
        <f>'À Faire - Détails'!J237</f>
        <v>0</v>
      </c>
      <c r="Q19" s="381">
        <f>'À Faire - Détails'!K237</f>
        <v>0</v>
      </c>
      <c r="R19" s="92" t="str">
        <f>IF($B$2='Paramètres - Admin'!$B$2,TEXT(Q19*60*60,"# 0")&amp;" " &amp; 'Paramètres - Admin'!$B$2,IF($B$2='Paramètres - Admin'!$B$3,TEXT(Q19*60,"# 0")&amp;" " &amp; 'Paramètres - Admin'!$B$3,IF($B$2='Paramètres - Admin'!$B$4,TEXT(Q19,"# 0,00")&amp;" " &amp; 'Paramètres - Admin'!$B$4,IF($B$2='Paramètres - Admin'!$B$5,TEXT(Q19/24,"# 0,00")&amp;" " &amp; 'Paramètres - Admin'!$B$5,IF($B$2='Paramètres - Admin'!$B$6,TEXT((Q19/24)/30,"# 0,00")&amp;" " &amp; 'Paramètres - Admin'!$B$6,IF(Q19/24&gt;=1,INT(Q19/24)&amp;" " &amp;  'Paramètres - Admin'!$D$4 &amp; " " &amp; HOUR(Q19/24-INT(Q19/24))&amp;" " &amp;  'Paramètres - Admin'!$D$3 &amp; " " &amp; MINUTE(Q19/24-INT(Q19/24))&amp;" " &amp;  'Paramètres - Admin'!$D$2,HOUR(Q19/24-INT(Q19/24))&amp;" " &amp;  'Paramètres - Admin'!$D$3 &amp; " " &amp; MINUTE(Q19/24-INT(Q19/24))&amp;" " &amp;  'Paramètres - Admin'!$D$2))))))</f>
        <v>0,00 jours</v>
      </c>
      <c r="S19" s="137" t="s">
        <v>714</v>
      </c>
      <c r="T19" s="138">
        <f>'À Faire - Détails'!J308</f>
        <v>0</v>
      </c>
      <c r="U19" s="99">
        <f>'À Faire - Détails'!K308</f>
        <v>0</v>
      </c>
      <c r="V19" s="140">
        <f>'À Faire - Détails'!J314</f>
        <v>0</v>
      </c>
      <c r="W19" s="381">
        <f>'À Faire - Détails'!K314</f>
        <v>0</v>
      </c>
      <c r="X19" s="92" t="str">
        <f>IF($B$2='Paramètres - Admin'!$B$2,TEXT(W19*60*60,"# 0")&amp;" " &amp; 'Paramètres - Admin'!$B$2,IF($B$2='Paramètres - Admin'!$B$3,TEXT(W19*60,"# 0")&amp;" " &amp; 'Paramètres - Admin'!$B$3,IF($B$2='Paramètres - Admin'!$B$4,TEXT(W19,"# 0,00")&amp;" " &amp; 'Paramètres - Admin'!$B$4,IF($B$2='Paramètres - Admin'!$B$5,TEXT(W19/24,"# 0,00")&amp;" " &amp; 'Paramètres - Admin'!$B$5,IF($B$2='Paramètres - Admin'!$B$6,TEXT((W19/24)/30,"# 0,00")&amp;" " &amp; 'Paramètres - Admin'!$B$6,IF(W19/24&gt;=1,INT(W19/24)&amp;" " &amp;  'Paramètres - Admin'!$D$4 &amp; " " &amp; HOUR(W19/24-INT(W19/24))&amp;" " &amp;  'Paramètres - Admin'!$D$3 &amp; " " &amp; MINUTE(W19/24-INT(W19/24))&amp;" " &amp;  'Paramètres - Admin'!$D$2,HOUR(W19/24-INT(W19/24))&amp;" " &amp;  'Paramètres - Admin'!$D$3 &amp; " " &amp; MINUTE(W19/24-INT(W19/24))&amp;" " &amp;  'Paramètres - Admin'!$D$2))))))</f>
        <v>0,00 jours</v>
      </c>
    </row>
    <row r="20" spans="1:29" s="153" customFormat="1" ht="15" customHeight="1" thickBot="1" x14ac:dyDescent="0.3">
      <c r="A20" s="94" t="s">
        <v>188</v>
      </c>
      <c r="B20" s="98">
        <f>'À Faire - Détails'!J275</f>
        <v>0</v>
      </c>
      <c r="C20" s="99">
        <f>'À Faire - Détails'!K275</f>
        <v>0</v>
      </c>
      <c r="D20" s="441">
        <f>'À Faire - Détails'!J284</f>
        <v>0</v>
      </c>
      <c r="E20" s="381">
        <f>'À Faire - Détails'!K284</f>
        <v>0</v>
      </c>
      <c r="F20" s="686" t="str">
        <f>IF($B$2='Paramètres - Admin'!$B$2,TEXT(E20*60*60,"# 0")&amp;" " &amp; 'Paramètres - Admin'!$B$2,IF($B$2='Paramètres - Admin'!$B$3,TEXT(E20*60,"# 0")&amp;" " &amp; 'Paramètres - Admin'!$B$3,IF($B$2='Paramètres - Admin'!$B$4,TEXT(E20,"# 0,00")&amp;" " &amp; 'Paramètres - Admin'!$B$4,IF($B$2='Paramètres - Admin'!$B$5,TEXT(E20/24,"# 0,00")&amp;" " &amp; 'Paramètres - Admin'!$B$5,IF($B$2='Paramètres - Admin'!$B$6,TEXT((E20/24)/30,"# 0,00")&amp;" " &amp; 'Paramètres - Admin'!$B$6,IF(E20/24&gt;=1,INT(E20/24)&amp;" " &amp;  'Paramètres - Admin'!$D$4 &amp; " " &amp; HOUR(E20/24-INT(E20/24))&amp;" " &amp;  'Paramètres - Admin'!$D$3 &amp; " " &amp; MINUTE(E20/24-INT(E20/24))&amp;" " &amp;  'Paramètres - Admin'!$D$2,HOUR(E20/24-INT(E20/24))&amp;" " &amp;  'Paramètres - Admin'!$D$3 &amp; " " &amp; MINUTE(E20/24-INT(E20/24))&amp;" " &amp;  'Paramètres - Admin'!$D$2))))))</f>
        <v>0,00 jours</v>
      </c>
      <c r="G20" s="94" t="s">
        <v>203</v>
      </c>
      <c r="H20" s="98">
        <f>'À Faire - Détails'!J150</f>
        <v>0</v>
      </c>
      <c r="I20" s="99">
        <f>'À Faire - Détails'!K150</f>
        <v>0</v>
      </c>
      <c r="J20" s="622">
        <f>'À Faire - Détails'!J160</f>
        <v>0</v>
      </c>
      <c r="K20" s="381">
        <f>'À Faire - Détails'!K160</f>
        <v>0</v>
      </c>
      <c r="L20" s="92" t="str">
        <f>IF($B$2='Paramètres - Admin'!$B$2,TEXT(K20*60*60,"# 0")&amp;" " &amp; 'Paramètres - Admin'!$B$2,IF($B$2='Paramètres - Admin'!$B$3,TEXT(K20*60,"# 0")&amp;" " &amp; 'Paramètres - Admin'!$B$3,IF($B$2='Paramètres - Admin'!$B$4,TEXT(K20,"# 0,00")&amp;" " &amp; 'Paramètres - Admin'!$B$4,IF($B$2='Paramètres - Admin'!$B$5,TEXT(K20/24,"# 0,00")&amp;" " &amp; 'Paramètres - Admin'!$B$5,IF($B$2='Paramètres - Admin'!$B$6,TEXT((K20/24)/30,"# 0,00")&amp;" " &amp; 'Paramètres - Admin'!$B$6,IF(K20/24&gt;=1,INT(K20/24)&amp;" " &amp;  'Paramètres - Admin'!$D$4 &amp; " " &amp; HOUR(K20/24-INT(K20/24))&amp;" " &amp;  'Paramètres - Admin'!$D$3 &amp; " " &amp; MINUTE(K20/24-INT(K20/24))&amp;" " &amp;  'Paramètres - Admin'!$D$2,HOUR(K20/24-INT(K20/24))&amp;" " &amp;  'Paramètres - Admin'!$D$3 &amp; " " &amp; MINUTE(K20/24-INT(K20/24))&amp;" " &amp;  'Paramètres - Admin'!$D$2))))))</f>
        <v>0,00 jours</v>
      </c>
      <c r="M20" s="137" t="s">
        <v>193</v>
      </c>
      <c r="N20" s="138">
        <f>'À Faire - Détails'!U210</f>
        <v>0</v>
      </c>
      <c r="O20" s="99">
        <f>'À Faire - Détails'!V210</f>
        <v>0</v>
      </c>
      <c r="P20" s="441">
        <f>'À Faire - Détails'!U215</f>
        <v>0</v>
      </c>
      <c r="Q20" s="381">
        <f>'À Faire - Détails'!V215</f>
        <v>0</v>
      </c>
      <c r="R20" s="92" t="str">
        <f>IF($B$2='Paramètres - Admin'!$B$2,TEXT(Q20*60*60,"# 0")&amp;" " &amp; 'Paramètres - Admin'!$B$2,IF($B$2='Paramètres - Admin'!$B$3,TEXT(Q20*60,"# 0")&amp;" " &amp; 'Paramètres - Admin'!$B$3,IF($B$2='Paramètres - Admin'!$B$4,TEXT(Q20,"# 0,00")&amp;" " &amp; 'Paramètres - Admin'!$B$4,IF($B$2='Paramètres - Admin'!$B$5,TEXT(Q20/24,"# 0,00")&amp;" " &amp; 'Paramètres - Admin'!$B$5,IF($B$2='Paramètres - Admin'!$B$6,TEXT((Q20/24)/30,"# 0,00")&amp;" " &amp; 'Paramètres - Admin'!$B$6,IF(Q20/24&gt;=1,INT(Q20/24)&amp;" " &amp;  'Paramètres - Admin'!$D$4 &amp; " " &amp; HOUR(Q20/24-INT(Q20/24))&amp;" " &amp;  'Paramètres - Admin'!$D$3 &amp; " " &amp; MINUTE(Q20/24-INT(Q20/24))&amp;" " &amp;  'Paramètres - Admin'!$D$2,HOUR(Q20/24-INT(Q20/24))&amp;" " &amp;  'Paramètres - Admin'!$D$3 &amp; " " &amp; MINUTE(Q20/24-INT(Q20/24))&amp;" " &amp;  'Paramètres - Admin'!$D$2))))))</f>
        <v>0,00 jours</v>
      </c>
      <c r="S20" s="274" t="s">
        <v>31</v>
      </c>
      <c r="T20" s="142">
        <f>SUM(T17:T19)</f>
        <v>0</v>
      </c>
      <c r="U20" s="112">
        <f>SUM(U17:U19)</f>
        <v>0</v>
      </c>
      <c r="V20" s="141">
        <f>SUM(V17:V19)</f>
        <v>0</v>
      </c>
      <c r="W20" s="383">
        <f>SUM(W17:W19)</f>
        <v>0</v>
      </c>
      <c r="X20" s="114" t="str">
        <f>IF($B$2='Paramètres - Admin'!$B$2,TEXT(W20*60*60,"# 0")&amp;" " &amp; 'Paramètres - Admin'!$B$2,IF($B$2='Paramètres - Admin'!$B$3,TEXT(W20*60,"# 0")&amp;" " &amp; 'Paramètres - Admin'!$B$3,IF($B$2='Paramètres - Admin'!$B$4,TEXT(W20,"# 0,00")&amp;" " &amp; 'Paramètres - Admin'!$B$4,IF($B$2='Paramètres - Admin'!$B$5,TEXT(W20/24,"# 0,00")&amp;" " &amp; 'Paramètres - Admin'!$B$5,IF($B$2='Paramètres - Admin'!$B$6,TEXT((W20/24)/30,"# 0,00")&amp;" " &amp; 'Paramètres - Admin'!$B$6,IF(W20/24&gt;=1,INT(W20/24)&amp;" " &amp;  'Paramètres - Admin'!$D$4 &amp; " " &amp; HOUR(W20/24-INT(W20/24))&amp;" " &amp;  'Paramètres - Admin'!$D$3 &amp; " " &amp; MINUTE(W20/24-INT(W20/24))&amp;" " &amp;  'Paramètres - Admin'!$D$2,HOUR(W20/24-INT(W20/24))&amp;" " &amp;  'Paramètres - Admin'!$D$3 &amp; " " &amp; MINUTE(W20/24-INT(W20/24))&amp;" " &amp;  'Paramètres - Admin'!$D$2))))))</f>
        <v>0,00 jours</v>
      </c>
      <c r="Y20" s="880"/>
    </row>
    <row r="21" spans="1:29" s="153" customFormat="1" ht="19.5" customHeight="1" thickBot="1" x14ac:dyDescent="0.3">
      <c r="A21" s="94" t="s">
        <v>187</v>
      </c>
      <c r="B21" s="98">
        <f>'À Faire - Détails'!J286</f>
        <v>0</v>
      </c>
      <c r="C21" s="99">
        <f>'À Faire - Détails'!K286</f>
        <v>0</v>
      </c>
      <c r="D21" s="441">
        <f>'À Faire - Détails'!J294</f>
        <v>0</v>
      </c>
      <c r="E21" s="381">
        <f>'À Faire - Détails'!K294</f>
        <v>0</v>
      </c>
      <c r="F21" s="686" t="str">
        <f>IF($B$2='Paramètres - Admin'!$B$2,TEXT(E21*60*60,"# 0")&amp;" " &amp; 'Paramètres - Admin'!$B$2,IF($B$2='Paramètres - Admin'!$B$3,TEXT(E21*60,"# 0")&amp;" " &amp; 'Paramètres - Admin'!$B$3,IF($B$2='Paramètres - Admin'!$B$4,TEXT(E21,"# 0,00")&amp;" " &amp; 'Paramètres - Admin'!$B$4,IF($B$2='Paramètres - Admin'!$B$5,TEXT(E21/24,"# 0,00")&amp;" " &amp; 'Paramètres - Admin'!$B$5,IF($B$2='Paramètres - Admin'!$B$6,TEXT((E21/24)/30,"# 0,00")&amp;" " &amp; 'Paramètres - Admin'!$B$6,IF(E21/24&gt;=1,INT(E21/24)&amp;" " &amp;  'Paramètres - Admin'!$D$4 &amp; " " &amp; HOUR(E21/24-INT(E21/24))&amp;" " &amp;  'Paramètres - Admin'!$D$3 &amp; " " &amp; MINUTE(E21/24-INT(E21/24))&amp;" " &amp;  'Paramètres - Admin'!$D$2,HOUR(E21/24-INT(E21/24))&amp;" " &amp;  'Paramètres - Admin'!$D$3 &amp; " " &amp; MINUTE(E21/24-INT(E21/24))&amp;" " &amp;  'Paramètres - Admin'!$D$2))))))</f>
        <v>0,00 jours</v>
      </c>
      <c r="G21" s="94" t="s">
        <v>202</v>
      </c>
      <c r="H21" s="98">
        <f>'À Faire - Détails'!U101</f>
        <v>0</v>
      </c>
      <c r="I21" s="99">
        <f>'À Faire - Détails'!V101</f>
        <v>0</v>
      </c>
      <c r="J21" s="622">
        <f>'À Faire - Détails'!U111</f>
        <v>0</v>
      </c>
      <c r="K21" s="381">
        <f>'À Faire - Détails'!V111</f>
        <v>0</v>
      </c>
      <c r="L21" s="92" t="str">
        <f>IF($B$2='Paramètres - Admin'!$B$2,TEXT(K21*60*60,"# 0")&amp;" " &amp; 'Paramètres - Admin'!$B$2,IF($B$2='Paramètres - Admin'!$B$3,TEXT(K21*60,"# 0")&amp;" " &amp; 'Paramètres - Admin'!$B$3,IF($B$2='Paramètres - Admin'!$B$4,TEXT(K21,"# 0,00")&amp;" " &amp; 'Paramètres - Admin'!$B$4,IF($B$2='Paramètres - Admin'!$B$5,TEXT(K21/24,"# 0,00")&amp;" " &amp; 'Paramètres - Admin'!$B$5,IF($B$2='Paramètres - Admin'!$B$6,TEXT((K21/24)/30,"# 0,00")&amp;" " &amp; 'Paramètres - Admin'!$B$6,IF(K21/24&gt;=1,INT(K21/24)&amp;" " &amp;  'Paramètres - Admin'!$D$4 &amp; " " &amp; HOUR(K21/24-INT(K21/24))&amp;" " &amp;  'Paramètres - Admin'!$D$3 &amp; " " &amp; MINUTE(K21/24-INT(K21/24))&amp;" " &amp;  'Paramètres - Admin'!$D$2,HOUR(K21/24-INT(K21/24))&amp;" " &amp;  'Paramètres - Admin'!$D$3 &amp; " " &amp; MINUTE(K21/24-INT(K21/24))&amp;" " &amp;  'Paramètres - Admin'!$D$2))))))</f>
        <v>0,00 jours</v>
      </c>
      <c r="M21" s="183" t="s">
        <v>194</v>
      </c>
      <c r="N21" s="184">
        <f>'À Faire - Détails'!U217</f>
        <v>0</v>
      </c>
      <c r="O21" s="124">
        <f>'À Faire - Détails'!V217</f>
        <v>0</v>
      </c>
      <c r="P21" s="450">
        <f>'À Faire - Détails'!U224</f>
        <v>0</v>
      </c>
      <c r="Q21" s="382">
        <f>'À Faire - Détails'!V224</f>
        <v>0</v>
      </c>
      <c r="R21" s="182" t="str">
        <f>IF($B$2='Paramètres - Admin'!$B$2,TEXT(Q21*60*60,"# 0")&amp;" " &amp; 'Paramètres - Admin'!$B$2,IF($B$2='Paramètres - Admin'!$B$3,TEXT(Q21*60,"# 0")&amp;" " &amp; 'Paramètres - Admin'!$B$3,IF($B$2='Paramètres - Admin'!$B$4,TEXT(Q21,"# 0,00")&amp;" " &amp; 'Paramètres - Admin'!$B$4,IF($B$2='Paramètres - Admin'!$B$5,TEXT(Q21/24,"# 0,00")&amp;" " &amp; 'Paramètres - Admin'!$B$5,IF($B$2='Paramètres - Admin'!$B$6,TEXT((Q21/24)/30,"# 0,00")&amp;" " &amp; 'Paramètres - Admin'!$B$6,IF(Q21/24&gt;=1,INT(Q21/24)&amp;" " &amp;  'Paramètres - Admin'!$D$4 &amp; " " &amp; HOUR(Q21/24-INT(Q21/24))&amp;" " &amp;  'Paramètres - Admin'!$D$3 &amp; " " &amp; MINUTE(Q21/24-INT(Q21/24))&amp;" " &amp;  'Paramètres - Admin'!$D$2,HOUR(Q21/24-INT(Q21/24))&amp;" " &amp;  'Paramètres - Admin'!$D$3 &amp; " " &amp; MINUTE(Q21/24-INT(Q21/24))&amp;" " &amp;  'Paramètres - Admin'!$D$2))))))</f>
        <v>0,00 jours</v>
      </c>
      <c r="Y21" s="880"/>
    </row>
    <row r="22" spans="1:29" s="153" customFormat="1" ht="15" customHeight="1" thickBot="1" x14ac:dyDescent="0.3">
      <c r="A22" s="94" t="s">
        <v>186</v>
      </c>
      <c r="B22" s="98">
        <f>'À Faire - Détails'!U243</f>
        <v>0</v>
      </c>
      <c r="C22" s="99">
        <f>'À Faire - Détails'!V243</f>
        <v>0</v>
      </c>
      <c r="D22" s="441">
        <f>'À Faire - Détails'!U251</f>
        <v>0</v>
      </c>
      <c r="E22" s="381">
        <f>'À Faire - Détails'!V251</f>
        <v>0</v>
      </c>
      <c r="F22" s="686" t="str">
        <f>IF($B$2='Paramètres - Admin'!$B$2,TEXT(E22*60*60,"# 0")&amp;" " &amp; 'Paramètres - Admin'!$B$2,IF($B$2='Paramètres - Admin'!$B$3,TEXT(E22*60,"# 0")&amp;" " &amp; 'Paramètres - Admin'!$B$3,IF($B$2='Paramètres - Admin'!$B$4,TEXT(E22,"# 0,00")&amp;" " &amp; 'Paramètres - Admin'!$B$4,IF($B$2='Paramètres - Admin'!$B$5,TEXT(E22/24,"# 0,00")&amp;" " &amp; 'Paramètres - Admin'!$B$5,IF($B$2='Paramètres - Admin'!$B$6,TEXT((E22/24)/30,"# 0,00")&amp;" " &amp; 'Paramètres - Admin'!$B$6,IF(E22/24&gt;=1,INT(E22/24)&amp;" " &amp;  'Paramètres - Admin'!$D$4 &amp; " " &amp; HOUR(E22/24-INT(E22/24))&amp;" " &amp;  'Paramètres - Admin'!$D$3 &amp; " " &amp; MINUTE(E22/24-INT(E22/24))&amp;" " &amp;  'Paramètres - Admin'!$D$2,HOUR(E22/24-INT(E22/24))&amp;" " &amp;  'Paramètres - Admin'!$D$3 &amp; " " &amp; MINUTE(E22/24-INT(E22/24))&amp;" " &amp;  'Paramètres - Admin'!$D$2))))))</f>
        <v>0,00 jours</v>
      </c>
      <c r="G22" s="94" t="s">
        <v>455</v>
      </c>
      <c r="H22" s="98">
        <f>'À Faire - Détails'!U113</f>
        <v>0</v>
      </c>
      <c r="I22" s="99">
        <f>'À Faire - Détails'!V113</f>
        <v>0</v>
      </c>
      <c r="J22" s="622">
        <f>'À Faire - Détails'!U123</f>
        <v>0</v>
      </c>
      <c r="K22" s="381">
        <f>'À Faire - Détails'!V123</f>
        <v>0</v>
      </c>
      <c r="L22" s="92" t="str">
        <f>IF($B$2='Paramètres - Admin'!$B$2,TEXT(K22*60*60,"# 0")&amp;" " &amp; 'Paramètres - Admin'!$B$2,IF($B$2='Paramètres - Admin'!$B$3,TEXT(K22*60,"# 0")&amp;" " &amp; 'Paramètres - Admin'!$B$3,IF($B$2='Paramètres - Admin'!$B$4,TEXT(K22,"# 0,00")&amp;" " &amp; 'Paramètres - Admin'!$B$4,IF($B$2='Paramètres - Admin'!$B$5,TEXT(K22/24,"# 0,00")&amp;" " &amp; 'Paramètres - Admin'!$B$5,IF($B$2='Paramètres - Admin'!$B$6,TEXT((K22/24)/30,"# 0,00")&amp;" " &amp; 'Paramètres - Admin'!$B$6,IF(K22/24&gt;=1,INT(K22/24)&amp;" " &amp;  'Paramètres - Admin'!$D$4 &amp; " " &amp; HOUR(K22/24-INT(K22/24))&amp;" " &amp;  'Paramètres - Admin'!$D$3 &amp; " " &amp; MINUTE(K22/24-INT(K22/24))&amp;" " &amp;  'Paramètres - Admin'!$D$2,HOUR(K22/24-INT(K22/24))&amp;" " &amp;  'Paramètres - Admin'!$D$3 &amp; " " &amp; MINUTE(K22/24-INT(K22/24))&amp;" " &amp;  'Paramètres - Admin'!$D$2))))))</f>
        <v>0,00 jours</v>
      </c>
      <c r="M22" s="274" t="s">
        <v>31</v>
      </c>
      <c r="N22" s="142">
        <f>SUM(N17:N21)</f>
        <v>0</v>
      </c>
      <c r="O22" s="112">
        <f>SUM(O17:O21)</f>
        <v>0</v>
      </c>
      <c r="P22" s="452">
        <f>SUM(P17:P21)</f>
        <v>0</v>
      </c>
      <c r="Q22" s="383">
        <f>SUM(Q17:Q21)</f>
        <v>0</v>
      </c>
      <c r="R22" s="114" t="str">
        <f>IF($B$2='Paramètres - Admin'!$B$2,TEXT(Q22*60*60,"# 0")&amp;" " &amp; 'Paramètres - Admin'!$B$2,IF($B$2='Paramètres - Admin'!$B$3,TEXT(Q22*60,"# 0")&amp;" " &amp; 'Paramètres - Admin'!$B$3,IF($B$2='Paramètres - Admin'!$B$4,TEXT(Q22,"# 0,00")&amp;" " &amp; 'Paramètres - Admin'!$B$4,IF($B$2='Paramètres - Admin'!$B$5,TEXT(Q22/24,"# 0,00")&amp;" " &amp; 'Paramètres - Admin'!$B$5,IF($B$2='Paramètres - Admin'!$B$6,TEXT((Q22/24)/30,"# 0,00")&amp;" " &amp; 'Paramètres - Admin'!$B$6,IF(Q22/24&gt;=1,INT(Q22/24)&amp;" " &amp;  'Paramètres - Admin'!$D$4 &amp; " " &amp; HOUR(Q22/24-INT(Q22/24))&amp;" " &amp;  'Paramètres - Admin'!$D$3 &amp; " " &amp; MINUTE(Q22/24-INT(Q22/24))&amp;" " &amp;  'Paramètres - Admin'!$D$2,HOUR(Q22/24-INT(Q22/24))&amp;" " &amp;  'Paramètres - Admin'!$D$3 &amp; " " &amp; MINUTE(Q22/24-INT(Q22/24))&amp;" " &amp;  'Paramètres - Admin'!$D$2))))))</f>
        <v>0,00 jours</v>
      </c>
    </row>
    <row r="23" spans="1:29" s="153" customFormat="1" ht="15" customHeight="1" thickBot="1" x14ac:dyDescent="0.3">
      <c r="A23" s="97" t="s">
        <v>185</v>
      </c>
      <c r="B23" s="98">
        <f>'À Faire - Détails'!U253</f>
        <v>0</v>
      </c>
      <c r="C23" s="99">
        <f>'À Faire - Détails'!V253</f>
        <v>0</v>
      </c>
      <c r="D23" s="441">
        <f>'À Faire - Détails'!U261</f>
        <v>0</v>
      </c>
      <c r="E23" s="381">
        <f>'À Faire - Détails'!V261</f>
        <v>0</v>
      </c>
      <c r="F23" s="686" t="str">
        <f>IF($B$2='Paramètres - Admin'!$B$2,TEXT(E23*60*60,"# 0")&amp;" " &amp; 'Paramètres - Admin'!$B$2,IF($B$2='Paramètres - Admin'!$B$3,TEXT(E23*60,"# 0")&amp;" " &amp; 'Paramètres - Admin'!$B$3,IF($B$2='Paramètres - Admin'!$B$4,TEXT(E23,"# 0,00")&amp;" " &amp; 'Paramètres - Admin'!$B$4,IF($B$2='Paramètres - Admin'!$B$5,TEXT(E23/24,"# 0,00")&amp;" " &amp; 'Paramètres - Admin'!$B$5,IF($B$2='Paramètres - Admin'!$B$6,TEXT((E23/24)/30,"# 0,00")&amp;" " &amp; 'Paramètres - Admin'!$B$6,IF(E23/24&gt;=1,INT(E23/24)&amp;" " &amp;  'Paramètres - Admin'!$D$4 &amp; " " &amp; HOUR(E23/24-INT(E23/24))&amp;" " &amp;  'Paramètres - Admin'!$D$3 &amp; " " &amp; MINUTE(E23/24-INT(E23/24))&amp;" " &amp;  'Paramètres - Admin'!$D$2,HOUR(E23/24-INT(E23/24))&amp;" " &amp;  'Paramètres - Admin'!$D$3 &amp; " " &amp; MINUTE(E23/24-INT(E23/24))&amp;" " &amp;  'Paramètres - Admin'!$D$2))))))</f>
        <v>0,00 jours</v>
      </c>
      <c r="G23" s="97" t="s">
        <v>201</v>
      </c>
      <c r="H23" s="98">
        <f>'À Faire - Détails'!U125</f>
        <v>0</v>
      </c>
      <c r="I23" s="99">
        <f>'À Faire - Détails'!V125</f>
        <v>0</v>
      </c>
      <c r="J23" s="622">
        <f>'À Faire - Détails'!U135</f>
        <v>0</v>
      </c>
      <c r="K23" s="381">
        <f>'À Faire - Détails'!V135</f>
        <v>0</v>
      </c>
      <c r="L23" s="92" t="str">
        <f>IF($B$2='Paramètres - Admin'!$B$2,TEXT(K23*60*60,"# 0")&amp;" " &amp; 'Paramètres - Admin'!$B$2,IF($B$2='Paramètres - Admin'!$B$3,TEXT(K23*60,"# 0")&amp;" " &amp; 'Paramètres - Admin'!$B$3,IF($B$2='Paramètres - Admin'!$B$4,TEXT(K23,"# 0,00")&amp;" " &amp; 'Paramètres - Admin'!$B$4,IF($B$2='Paramètres - Admin'!$B$5,TEXT(K23/24,"# 0,00")&amp;" " &amp; 'Paramètres - Admin'!$B$5,IF($B$2='Paramètres - Admin'!$B$6,TEXT((K23/24)/30,"# 0,00")&amp;" " &amp; 'Paramètres - Admin'!$B$6,IF(K23/24&gt;=1,INT(K23/24)&amp;" " &amp;  'Paramètres - Admin'!$D$4 &amp; " " &amp; HOUR(K23/24-INT(K23/24))&amp;" " &amp;  'Paramètres - Admin'!$D$3 &amp; " " &amp; MINUTE(K23/24-INT(K23/24))&amp;" " &amp;  'Paramètres - Admin'!$D$2,HOUR(K23/24-INT(K23/24))&amp;" " &amp;  'Paramètres - Admin'!$D$3 &amp; " " &amp; MINUTE(K23/24-INT(K23/24))&amp;" " &amp;  'Paramètres - Admin'!$D$2))))))</f>
        <v>0,00 jours</v>
      </c>
      <c r="M23" s="1073" t="s">
        <v>180</v>
      </c>
      <c r="N23" s="1074"/>
      <c r="O23" s="1074"/>
      <c r="P23" s="1074"/>
      <c r="Q23" s="1074"/>
      <c r="R23" s="1075"/>
      <c r="S23" s="1073" t="s">
        <v>178</v>
      </c>
      <c r="T23" s="1074"/>
      <c r="U23" s="1074"/>
      <c r="V23" s="1074"/>
      <c r="W23" s="1074"/>
      <c r="X23" s="1075"/>
    </row>
    <row r="24" spans="1:29" s="153" customFormat="1" ht="15" customHeight="1" thickBot="1" x14ac:dyDescent="0.3">
      <c r="A24" s="97" t="s">
        <v>184</v>
      </c>
      <c r="B24" s="98">
        <f>'À Faire - Détails'!U263</f>
        <v>0</v>
      </c>
      <c r="C24" s="99">
        <f>'À Faire - Détails'!V263</f>
        <v>0</v>
      </c>
      <c r="D24" s="441">
        <f>'À Faire - Détails'!U269</f>
        <v>0</v>
      </c>
      <c r="E24" s="381">
        <f>'À Faire - Détails'!V269</f>
        <v>0</v>
      </c>
      <c r="F24" s="92" t="str">
        <f>IF($B$2='Paramètres - Admin'!$B$2,TEXT(E24*60*60,"# 0")&amp;" " &amp; 'Paramètres - Admin'!$B$2,IF($B$2='Paramètres - Admin'!$B$3,TEXT(E24*60,"# 0")&amp;" " &amp; 'Paramètres - Admin'!$B$3,IF($B$2='Paramètres - Admin'!$B$4,TEXT(E24,"# 0,00")&amp;" " &amp; 'Paramètres - Admin'!$B$4,IF($B$2='Paramètres - Admin'!$B$5,TEXT(E24/24,"# 0,00")&amp;" " &amp; 'Paramètres - Admin'!$B$5,IF($B$2='Paramètres - Admin'!$B$6,TEXT((E24/24)/30,"# 0,00")&amp;" " &amp; 'Paramètres - Admin'!$B$6,IF(E24/24&gt;=1,INT(E24/24)&amp;" " &amp;  'Paramètres - Admin'!$D$4 &amp; " " &amp; HOUR(E24/24-INT(E24/24))&amp;" " &amp;  'Paramètres - Admin'!$D$3 &amp; " " &amp; MINUTE(E24/24-INT(E24/24))&amp;" " &amp;  'Paramètres - Admin'!$D$2,HOUR(E24/24-INT(E24/24))&amp;" " &amp;  'Paramètres - Admin'!$D$3 &amp; " " &amp; MINUTE(E24/24-INT(E24/24))&amp;" " &amp;  'Paramètres - Admin'!$D$2))))))</f>
        <v>0,00 jours</v>
      </c>
      <c r="G24" s="97" t="s">
        <v>200</v>
      </c>
      <c r="H24" s="98">
        <f>'À Faire - Détails'!U137</f>
        <v>0</v>
      </c>
      <c r="I24" s="99">
        <f>'À Faire - Détails'!V137</f>
        <v>0</v>
      </c>
      <c r="J24" s="622">
        <f>'À Faire - Détails'!U143</f>
        <v>0</v>
      </c>
      <c r="K24" s="381">
        <f>'À Faire - Détails'!V143</f>
        <v>0</v>
      </c>
      <c r="L24" s="92" t="str">
        <f>IF($B$2='Paramètres - Admin'!$B$2,TEXT(K24*60*60,"# 0")&amp;" " &amp; 'Paramètres - Admin'!$B$2,IF($B$2='Paramètres - Admin'!$B$3,TEXT(K24*60,"# 0")&amp;" " &amp; 'Paramètres - Admin'!$B$3,IF($B$2='Paramètres - Admin'!$B$4,TEXT(K24,"# 0,00")&amp;" " &amp; 'Paramètres - Admin'!$B$4,IF($B$2='Paramètres - Admin'!$B$5,TEXT(K24/24,"# 0,00")&amp;" " &amp; 'Paramètres - Admin'!$B$5,IF($B$2='Paramètres - Admin'!$B$6,TEXT((K24/24)/30,"# 0,00")&amp;" " &amp; 'Paramètres - Admin'!$B$6,IF(K24/24&gt;=1,INT(K24/24)&amp;" " &amp;  'Paramètres - Admin'!$D$4 &amp; " " &amp; HOUR(K24/24-INT(K24/24))&amp;" " &amp;  'Paramètres - Admin'!$D$3 &amp; " " &amp; MINUTE(K24/24-INT(K24/24))&amp;" " &amp;  'Paramètres - Admin'!$D$2,HOUR(K24/24-INT(K24/24))&amp;" " &amp;  'Paramètres - Admin'!$D$3 &amp; " " &amp; MINUTE(K24/24-INT(K24/24))&amp;" " &amp;  'Paramètres - Admin'!$D$2))))))</f>
        <v>0,00 jours</v>
      </c>
      <c r="M24" s="274" t="s">
        <v>231</v>
      </c>
      <c r="N24" s="329" t="s">
        <v>362</v>
      </c>
      <c r="O24" s="653" t="s">
        <v>70</v>
      </c>
      <c r="P24" s="653" t="s">
        <v>232</v>
      </c>
      <c r="Q24" s="653" t="s">
        <v>233</v>
      </c>
      <c r="R24" s="654" t="s">
        <v>233</v>
      </c>
      <c r="S24" s="406" t="s">
        <v>178</v>
      </c>
      <c r="T24" s="329" t="s">
        <v>362</v>
      </c>
      <c r="U24" s="653" t="s">
        <v>70</v>
      </c>
      <c r="V24" s="653" t="s">
        <v>232</v>
      </c>
      <c r="W24" s="653" t="s">
        <v>233</v>
      </c>
      <c r="X24" s="654" t="s">
        <v>233</v>
      </c>
    </row>
    <row r="25" spans="1:29" s="153" customFormat="1" ht="15" customHeight="1" x14ac:dyDescent="0.25">
      <c r="A25" s="97" t="s">
        <v>57</v>
      </c>
      <c r="B25" s="98">
        <f>'À Faire - Détails'!U271</f>
        <v>0</v>
      </c>
      <c r="C25" s="99">
        <f>'À Faire - Détails'!V271</f>
        <v>0</v>
      </c>
      <c r="D25" s="441">
        <f>'À Faire - Détails'!U278</f>
        <v>0</v>
      </c>
      <c r="E25" s="381">
        <f>'À Faire - Détails'!V278</f>
        <v>0</v>
      </c>
      <c r="F25" s="92" t="str">
        <f>IF($B$2='Paramètres - Admin'!$B$2,TEXT(E25*60*60,"# 0")&amp;" " &amp; 'Paramètres - Admin'!$B$2,IF($B$2='Paramètres - Admin'!$B$3,TEXT(E25*60,"# 0")&amp;" " &amp; 'Paramètres - Admin'!$B$3,IF($B$2='Paramètres - Admin'!$B$4,TEXT(E25,"# 0,00")&amp;" " &amp; 'Paramètres - Admin'!$B$4,IF($B$2='Paramètres - Admin'!$B$5,TEXT(E25/24,"# 0,00")&amp;" " &amp; 'Paramètres - Admin'!$B$5,IF($B$2='Paramètres - Admin'!$B$6,TEXT((E25/24)/30,"# 0,00")&amp;" " &amp; 'Paramètres - Admin'!$B$6,IF(E25/24&gt;=1,INT(E25/24)&amp;" " &amp;  'Paramètres - Admin'!$D$4 &amp; " " &amp; HOUR(E25/24-INT(E25/24))&amp;" " &amp;  'Paramètres - Admin'!$D$3 &amp; " " &amp; MINUTE(E25/24-INT(E25/24))&amp;" " &amp;  'Paramètres - Admin'!$D$2,HOUR(E25/24-INT(E25/24))&amp;" " &amp;  'Paramètres - Admin'!$D$3 &amp; " " &amp; MINUTE(E25/24-INT(E25/24))&amp;" " &amp;  'Paramètres - Admin'!$D$2))))))</f>
        <v>0,00 jours</v>
      </c>
      <c r="G25" s="97" t="s">
        <v>199</v>
      </c>
      <c r="H25" s="98">
        <f>'À Faire - Détails'!U145</f>
        <v>0</v>
      </c>
      <c r="I25" s="99">
        <f>'À Faire - Détails'!V145</f>
        <v>0</v>
      </c>
      <c r="J25" s="622">
        <f>'À Faire - Détails'!U150</f>
        <v>0</v>
      </c>
      <c r="K25" s="381">
        <f>'À Faire - Détails'!V150</f>
        <v>0</v>
      </c>
      <c r="L25" s="92" t="str">
        <f>IF($B$2='Paramètres - Admin'!$B$2,TEXT(K25*60*60,"# 0")&amp;" " &amp; 'Paramètres - Admin'!$B$2,IF($B$2='Paramètres - Admin'!$B$3,TEXT(K25*60,"# 0")&amp;" " &amp; 'Paramètres - Admin'!$B$3,IF($B$2='Paramètres - Admin'!$B$4,TEXT(K25,"# 0,00")&amp;" " &amp; 'Paramètres - Admin'!$B$4,IF($B$2='Paramètres - Admin'!$B$5,TEXT(K25/24,"# 0,00")&amp;" " &amp; 'Paramètres - Admin'!$B$5,IF($B$2='Paramètres - Admin'!$B$6,TEXT((K25/24)/30,"# 0,00")&amp;" " &amp; 'Paramètres - Admin'!$B$6,IF(K25/24&gt;=1,INT(K25/24)&amp;" " &amp;  'Paramètres - Admin'!$D$4 &amp; " " &amp; HOUR(K25/24-INT(K25/24))&amp;" " &amp;  'Paramètres - Admin'!$D$3 &amp; " " &amp; MINUTE(K25/24-INT(K25/24))&amp;" " &amp;  'Paramètres - Admin'!$D$2,HOUR(K25/24-INT(K25/24))&amp;" " &amp;  'Paramètres - Admin'!$D$3 &amp; " " &amp; MINUTE(K25/24-INT(K25/24))&amp;" " &amp;  'Paramètres - Admin'!$D$2))))))</f>
        <v>0,00 jours</v>
      </c>
      <c r="M25" s="396" t="s">
        <v>198</v>
      </c>
      <c r="N25" s="90">
        <f>'À Faire - Détails'!J165</f>
        <v>0</v>
      </c>
      <c r="O25" s="337">
        <f>'À Faire - Détails'!K165</f>
        <v>0</v>
      </c>
      <c r="P25" s="650">
        <f>'À Faire - Détails'!J173</f>
        <v>0</v>
      </c>
      <c r="Q25" s="380">
        <f>'À Faire - Détails'!K173</f>
        <v>0</v>
      </c>
      <c r="R25" s="92" t="str">
        <f>IF($B$2='Paramètres - Admin'!$B$2,TEXT(Q25*60*60,"# 0")&amp;" " &amp; 'Paramètres - Admin'!$B$2,IF($B$2='Paramètres - Admin'!$B$3,TEXT(Q25*60,"# 0")&amp;" " &amp; 'Paramètres - Admin'!$B$3,IF($B$2='Paramètres - Admin'!$B$4,TEXT(Q25,"# 0,00")&amp;" " &amp; 'Paramètres - Admin'!$B$4,IF($B$2='Paramètres - Admin'!$B$5,TEXT(Q25/24,"# 0,00")&amp;" " &amp; 'Paramètres - Admin'!$B$5,IF($B$2='Paramètres - Admin'!$B$6,TEXT((Q25/24)/30,"# 0,00")&amp;" " &amp; 'Paramètres - Admin'!$B$6,IF(Q25/24&gt;=1,INT(Q25/24)&amp;" " &amp;  'Paramètres - Admin'!$D$4 &amp; " " &amp; HOUR(Q25/24-INT(Q25/24))&amp;" " &amp;  'Paramètres - Admin'!$D$3 &amp; " " &amp; MINUTE(Q25/24-INT(Q25/24))&amp;" " &amp;  'Paramètres - Admin'!$D$2,HOUR(Q25/24-INT(Q25/24))&amp;" " &amp;  'Paramètres - Admin'!$D$3 &amp; " " &amp; MINUTE(Q25/24-INT(Q25/24))&amp;" " &amp;  'Paramètres - Admin'!$D$2))))))</f>
        <v>0,00 jours</v>
      </c>
      <c r="S25" s="395" t="s">
        <v>196</v>
      </c>
      <c r="T25" s="90">
        <f>'À Faire - Détails'!J351</f>
        <v>0</v>
      </c>
      <c r="U25" s="337">
        <f>'À Faire - Détails'!K351</f>
        <v>0</v>
      </c>
      <c r="V25" s="266">
        <f>'À Faire - Détails'!J393</f>
        <v>0</v>
      </c>
      <c r="W25" s="380">
        <f>'À Faire - Détails'!K393</f>
        <v>0</v>
      </c>
      <c r="X25" s="92" t="str">
        <f>IF($B$2='Paramètres - Admin'!$B$2,TEXT(W25*60*60,"# 0")&amp;" " &amp; 'Paramètres - Admin'!$B$2,IF($B$2='Paramètres - Admin'!$B$3,TEXT(W25*60,"# 0")&amp;" " &amp; 'Paramètres - Admin'!$B$3,IF($B$2='Paramètres - Admin'!$B$4,TEXT(W25,"# 0,00")&amp;" " &amp; 'Paramètres - Admin'!$B$4,IF($B$2='Paramètres - Admin'!$B$5,TEXT(W25/24,"# 0,00")&amp;" " &amp; 'Paramètres - Admin'!$B$5,IF($B$2='Paramètres - Admin'!$B$6,TEXT((W25/24)/30,"# 0,00")&amp;" " &amp; 'Paramètres - Admin'!$B$6,IF(W25/24&gt;=1,INT(W25/24)&amp;" " &amp;  'Paramètres - Admin'!$D$4 &amp; " " &amp; HOUR(W25/24-INT(W25/24))&amp;" " &amp;  'Paramètres - Admin'!$D$3 &amp; " " &amp; MINUTE(W25/24-INT(W25/24))&amp;" " &amp;  'Paramètres - Admin'!$D$2,HOUR(W25/24-INT(W25/24))&amp;" " &amp;  'Paramètres - Admin'!$D$3 &amp; " " &amp; MINUTE(W25/24-INT(W25/24))&amp;" " &amp;  'Paramètres - Admin'!$D$2))))))</f>
        <v>0,00 jours</v>
      </c>
    </row>
    <row r="26" spans="1:29" s="153" customFormat="1" ht="15" customHeight="1" thickBot="1" x14ac:dyDescent="0.3">
      <c r="A26" s="126" t="s">
        <v>58</v>
      </c>
      <c r="B26" s="623">
        <f>'À Faire - Détails'!U280</f>
        <v>0</v>
      </c>
      <c r="C26" s="124">
        <f>'À Faire - Détails'!V280</f>
        <v>0</v>
      </c>
      <c r="D26" s="450">
        <f>'À Faire - Détails'!U287</f>
        <v>0</v>
      </c>
      <c r="E26" s="382">
        <f>'À Faire - Détails'!V287</f>
        <v>0</v>
      </c>
      <c r="F26" s="182" t="str">
        <f>IF($B$2='Paramètres - Admin'!$B$2,TEXT(E26*60*60,"# 0")&amp;" " &amp; 'Paramètres - Admin'!$B$2,IF($B$2='Paramètres - Admin'!$B$3,TEXT(E26*60,"# 0")&amp;" " &amp; 'Paramètres - Admin'!$B$3,IF($B$2='Paramètres - Admin'!$B$4,TEXT(E26,"# 0,00")&amp;" " &amp; 'Paramètres - Admin'!$B$4,IF($B$2='Paramètres - Admin'!$B$5,TEXT(E26/24,"# 0,00")&amp;" " &amp; 'Paramètres - Admin'!$B$5,IF($B$2='Paramètres - Admin'!$B$6,TEXT((E26/24)/30,"# 0,00")&amp;" " &amp; 'Paramètres - Admin'!$B$6,IF(E26/24&gt;=1,INT(E26/24)&amp;" " &amp;  'Paramètres - Admin'!$D$4 &amp; " " &amp; HOUR(E26/24-INT(E26/24))&amp;" " &amp;  'Paramètres - Admin'!$D$3 &amp; " " &amp; MINUTE(E26/24-INT(E26/24))&amp;" " &amp;  'Paramètres - Admin'!$D$2,HOUR(E26/24-INT(E26/24))&amp;" " &amp;  'Paramètres - Admin'!$D$3 &amp; " " &amp; MINUTE(E26/24-INT(E26/24))&amp;" " &amp;  'Paramètres - Admin'!$D$2))))))</f>
        <v>0,00 jours</v>
      </c>
      <c r="G26" s="126" t="s">
        <v>647</v>
      </c>
      <c r="H26" s="623">
        <f>'À Faire - Détails'!U152</f>
        <v>0</v>
      </c>
      <c r="I26" s="124">
        <f>'À Faire - Détails'!V152</f>
        <v>0</v>
      </c>
      <c r="J26" s="106">
        <f>'À Faire - Détails'!U160</f>
        <v>0</v>
      </c>
      <c r="K26" s="382">
        <f>'À Faire - Détails'!V160</f>
        <v>0</v>
      </c>
      <c r="L26" s="182" t="str">
        <f>IF($B$2='Paramètres - Admin'!$B$2,TEXT(K26*60*60,"# 0")&amp;" " &amp; 'Paramètres - Admin'!$B$2,IF($B$2='Paramètres - Admin'!$B$3,TEXT(K26*60,"# 0")&amp;" " &amp; 'Paramètres - Admin'!$B$3,IF($B$2='Paramètres - Admin'!$B$4,TEXT(K26,"# 0,00")&amp;" " &amp; 'Paramètres - Admin'!$B$4,IF($B$2='Paramètres - Admin'!$B$5,TEXT(K26/24,"# 0,00")&amp;" " &amp; 'Paramètres - Admin'!$B$5,IF($B$2='Paramètres - Admin'!$B$6,TEXT((K26/24)/30,"# 0,00")&amp;" " &amp; 'Paramètres - Admin'!$B$6,IF(K26/24&gt;=1,INT(K26/24)&amp;" " &amp;  'Paramètres - Admin'!$D$4 &amp; " " &amp; HOUR(K26/24-INT(K26/24))&amp;" " &amp;  'Paramètres - Admin'!$D$3 &amp; " " &amp; MINUTE(K26/24-INT(K26/24))&amp;" " &amp;  'Paramètres - Admin'!$D$2,HOUR(K26/24-INT(K26/24))&amp;" " &amp;  'Paramètres - Admin'!$D$3 &amp; " " &amp; MINUTE(K26/24-INT(K26/24))&amp;" " &amp;  'Paramètres - Admin'!$D$2))))))</f>
        <v>0,00 jours</v>
      </c>
      <c r="M26" s="126" t="s">
        <v>197</v>
      </c>
      <c r="N26" s="623">
        <f>'À Faire - Détails'!U165</f>
        <v>0</v>
      </c>
      <c r="O26" s="624">
        <f>'À Faire - Détails'!V165</f>
        <v>1</v>
      </c>
      <c r="P26" s="106">
        <f>'À Faire - Détails'!U177</f>
        <v>1000</v>
      </c>
      <c r="Q26" s="382">
        <f>'À Faire - Détails'!V177</f>
        <v>8.3333333333333329E-2</v>
      </c>
      <c r="R26" s="182" t="str">
        <f>IF($B$2='Paramètres - Admin'!$B$2,TEXT(Q26*60*60,"# 0")&amp;" " &amp; 'Paramètres - Admin'!$B$2,IF($B$2='Paramètres - Admin'!$B$3,TEXT(Q26*60,"# 0")&amp;" " &amp; 'Paramètres - Admin'!$B$3,IF($B$2='Paramètres - Admin'!$B$4,TEXT(Q26,"# 0,00")&amp;" " &amp; 'Paramètres - Admin'!$B$4,IF($B$2='Paramètres - Admin'!$B$5,TEXT(Q26/24,"# 0,00")&amp;" " &amp; 'Paramètres - Admin'!$B$5,IF($B$2='Paramètres - Admin'!$B$6,TEXT((Q26/24)/30,"# 0,00")&amp;" " &amp; 'Paramètres - Admin'!$B$6,IF(Q26/24&gt;=1,INT(Q26/24)&amp;" " &amp;  'Paramètres - Admin'!$D$4 &amp; " " &amp; HOUR(Q26/24-INT(Q26/24))&amp;" " &amp;  'Paramètres - Admin'!$D$3 &amp; " " &amp; MINUTE(Q26/24-INT(Q26/24))&amp;" " &amp;  'Paramètres - Admin'!$D$2,HOUR(Q26/24-INT(Q26/24))&amp;" " &amp;  'Paramètres - Admin'!$D$3 &amp; " " &amp; MINUTE(Q26/24-INT(Q26/24))&amp;" " &amp;  'Paramètres - Admin'!$D$2))))))</f>
        <v>0,00 jours</v>
      </c>
      <c r="S26" s="103" t="s">
        <v>182</v>
      </c>
      <c r="T26" s="623">
        <f>'À Faire - Détails'!U351</f>
        <v>0</v>
      </c>
      <c r="U26" s="624">
        <f>'À Faire - Détails'!V351</f>
        <v>0</v>
      </c>
      <c r="V26" s="140">
        <f>'À Faire - Détails'!U393</f>
        <v>0</v>
      </c>
      <c r="W26" s="382">
        <f>'À Faire - Détails'!V393</f>
        <v>0</v>
      </c>
      <c r="X26" s="182" t="str">
        <f>IF($B$2='Paramètres - Admin'!$B$2,TEXT(W26*60*60,"# 0")&amp;" " &amp; 'Paramètres - Admin'!$B$2,IF($B$2='Paramètres - Admin'!$B$3,TEXT(W26*60,"# 0")&amp;" " &amp; 'Paramètres - Admin'!$B$3,IF($B$2='Paramètres - Admin'!$B$4,TEXT(W26,"# 0,00")&amp;" " &amp; 'Paramètres - Admin'!$B$4,IF($B$2='Paramètres - Admin'!$B$5,TEXT(W26/24,"# 0,00")&amp;" " &amp; 'Paramètres - Admin'!$B$5,IF($B$2='Paramètres - Admin'!$B$6,TEXT((W26/24)/30,"# 0,00")&amp;" " &amp; 'Paramètres - Admin'!$B$6,IF(W26/24&gt;=1,INT(W26/24)&amp;" " &amp;  'Paramètres - Admin'!$D$4 &amp; " " &amp; HOUR(W26/24-INT(W26/24))&amp;" " &amp;  'Paramètres - Admin'!$D$3 &amp; " " &amp; MINUTE(W26/24-INT(W26/24))&amp;" " &amp;  'Paramètres - Admin'!$D$2,HOUR(W26/24-INT(W26/24))&amp;" " &amp;  'Paramètres - Admin'!$D$3 &amp; " " &amp; MINUTE(W26/24-INT(W26/24))&amp;" " &amp;  'Paramètres - Admin'!$D$2))))))</f>
        <v>0,00 jours</v>
      </c>
    </row>
    <row r="27" spans="1:29" s="153" customFormat="1" ht="15" customHeight="1" thickBot="1" x14ac:dyDescent="0.3">
      <c r="A27" s="576" t="s">
        <v>31</v>
      </c>
      <c r="B27" s="111">
        <f>SUM(B17:B26)</f>
        <v>0</v>
      </c>
      <c r="C27" s="112">
        <f>SUM(C17:C26)</f>
        <v>0</v>
      </c>
      <c r="D27" s="452">
        <f>SUM(D17:D26)</f>
        <v>0</v>
      </c>
      <c r="E27" s="383">
        <f>SUM(E17:E26)</f>
        <v>0</v>
      </c>
      <c r="F27" s="114" t="str">
        <f>IF($B$2='Paramètres - Admin'!$B$2,TEXT(E27*60*60,"# 0")&amp;" " &amp; 'Paramètres - Admin'!$B$2,IF($B$2='Paramètres - Admin'!$B$3,TEXT(E27*60,"# 0")&amp;" " &amp; 'Paramètres - Admin'!$B$3,IF($B$2='Paramètres - Admin'!$B$4,TEXT(E27,"# 0,00")&amp;" " &amp; 'Paramètres - Admin'!$B$4,IF($B$2='Paramètres - Admin'!$B$5,TEXT(E27/24,"# 0,00")&amp;" " &amp; 'Paramètres - Admin'!$B$5,IF($B$2='Paramètres - Admin'!$B$6,TEXT((E27/24)/30,"# 0,00")&amp;" " &amp; 'Paramètres - Admin'!$B$6,IF(E27/24&gt;=1,INT(E27/24)&amp;" " &amp;  'Paramètres - Admin'!$D$4 &amp; " " &amp; HOUR(E27/24-INT(E27/24))&amp;" " &amp;  'Paramètres - Admin'!$D$3 &amp; " " &amp; MINUTE(E27/24-INT(E27/24))&amp;" " &amp;  'Paramètres - Admin'!$D$2,HOUR(E27/24-INT(E27/24))&amp;" " &amp;  'Paramètres - Admin'!$D$3 &amp; " " &amp; MINUTE(E27/24-INT(E27/24))&amp;" " &amp;  'Paramètres - Admin'!$D$2))))))</f>
        <v>0,00 jours</v>
      </c>
      <c r="G27" s="576" t="s">
        <v>31</v>
      </c>
      <c r="H27" s="111">
        <f>SUM(H17:H26)</f>
        <v>2</v>
      </c>
      <c r="I27" s="112">
        <f>SUM(I17:I26)</f>
        <v>4</v>
      </c>
      <c r="J27" s="882">
        <f>SUM(J17:J26)</f>
        <v>2500</v>
      </c>
      <c r="K27" s="383">
        <f>SUM(K17:K26)</f>
        <v>0.53333333333333333</v>
      </c>
      <c r="L27" s="114" t="str">
        <f>IF($B$2='Paramètres - Admin'!$B$2,TEXT(K27*60*60,"# 0")&amp;" " &amp; 'Paramètres - Admin'!$B$2,IF($B$2='Paramètres - Admin'!$B$3,TEXT(K27*60,"# 0")&amp;" " &amp; 'Paramètres - Admin'!$B$3,IF($B$2='Paramètres - Admin'!$B$4,TEXT(K27,"# 0,00")&amp;" " &amp; 'Paramètres - Admin'!$B$4,IF($B$2='Paramètres - Admin'!$B$5,TEXT(K27/24,"# 0,00")&amp;" " &amp; 'Paramètres - Admin'!$B$5,IF($B$2='Paramètres - Admin'!$B$6,TEXT((K27/24)/30,"# 0,00")&amp;" " &amp; 'Paramètres - Admin'!$B$6,IF(K27/24&gt;=1,INT(K27/24)&amp;" " &amp;  'Paramètres - Admin'!$D$4 &amp; " " &amp; HOUR(K27/24-INT(K27/24))&amp;" " &amp;  'Paramètres - Admin'!$D$3 &amp; " " &amp; MINUTE(K27/24-INT(K27/24))&amp;" " &amp;  'Paramètres - Admin'!$D$2,HOUR(K27/24-INT(K27/24))&amp;" " &amp;  'Paramètres - Admin'!$D$3 &amp; " " &amp; MINUTE(K27/24-INT(K27/24))&amp;" " &amp;  'Paramètres - Admin'!$D$2))))))</f>
        <v>0,02 jours</v>
      </c>
      <c r="M27" s="576" t="s">
        <v>31</v>
      </c>
      <c r="N27" s="111">
        <f>SUM(N25:N26)</f>
        <v>0</v>
      </c>
      <c r="O27" s="112">
        <f>SUM(O25:O26)</f>
        <v>1</v>
      </c>
      <c r="P27" s="113">
        <f>SUM(P25:P26)</f>
        <v>1000</v>
      </c>
      <c r="Q27" s="383">
        <f>SUM(Q25:Q26)</f>
        <v>8.3333333333333329E-2</v>
      </c>
      <c r="R27" s="114" t="str">
        <f>IF($B$2='Paramètres - Admin'!$B$2,TEXT(Q27*60*60,"# 0")&amp;" " &amp; 'Paramètres - Admin'!$B$2,IF($B$2='Paramètres - Admin'!$B$3,TEXT(Q27*60,"# 0")&amp;" " &amp; 'Paramètres - Admin'!$B$3,IF($B$2='Paramètres - Admin'!$B$4,TEXT(Q27,"# 0,00")&amp;" " &amp; 'Paramètres - Admin'!$B$4,IF($B$2='Paramètres - Admin'!$B$5,TEXT(Q27/24,"# 0,00")&amp;" " &amp; 'Paramètres - Admin'!$B$5,IF($B$2='Paramètres - Admin'!$B$6,TEXT((Q27/24)/30,"# 0,00")&amp;" " &amp; 'Paramètres - Admin'!$B$6,IF(Q27/24&gt;=1,INT(Q27/24)&amp;" " &amp;  'Paramètres - Admin'!$D$4 &amp; " " &amp; HOUR(Q27/24-INT(Q27/24))&amp;" " &amp;  'Paramètres - Admin'!$D$3 &amp; " " &amp; MINUTE(Q27/24-INT(Q27/24))&amp;" " &amp;  'Paramètres - Admin'!$D$2,HOUR(Q27/24-INT(Q27/24))&amp;" " &amp;  'Paramètres - Admin'!$D$3 &amp; " " &amp; MINUTE(Q27/24-INT(Q27/24))&amp;" " &amp;  'Paramètres - Admin'!$D$2))))))</f>
        <v>0,00 jours</v>
      </c>
      <c r="S27" s="881" t="s">
        <v>31</v>
      </c>
      <c r="T27" s="111">
        <f>SUM(T25:T26)</f>
        <v>0</v>
      </c>
      <c r="U27" s="112">
        <f>SUM(U25:U26)</f>
        <v>0</v>
      </c>
      <c r="V27" s="141">
        <f>SUM(V25:V26)</f>
        <v>0</v>
      </c>
      <c r="W27" s="383">
        <f>SUM(W25:W26)</f>
        <v>0</v>
      </c>
      <c r="X27" s="114" t="str">
        <f>IF($B$2='Paramètres - Admin'!$B$2,TEXT(W27*60*60,"# 0")&amp;" " &amp; 'Paramètres - Admin'!$B$2,IF($B$2='Paramètres - Admin'!$B$3,TEXT(W27*60,"# 0")&amp;" " &amp; 'Paramètres - Admin'!$B$3,IF($B$2='Paramètres - Admin'!$B$4,TEXT(W27,"# 0,00")&amp;" " &amp; 'Paramètres - Admin'!$B$4,IF($B$2='Paramètres - Admin'!$B$5,TEXT(W27/24,"# 0,00")&amp;" " &amp; 'Paramètres - Admin'!$B$5,IF($B$2='Paramètres - Admin'!$B$6,TEXT((W27/24)/30,"# 0,00")&amp;" " &amp; 'Paramètres - Admin'!$B$6,IF(W27/24&gt;=1,INT(W27/24)&amp;" " &amp;  'Paramètres - Admin'!$D$4 &amp; " " &amp; HOUR(W27/24-INT(W27/24))&amp;" " &amp;  'Paramètres - Admin'!$D$3 &amp; " " &amp; MINUTE(W27/24-INT(W27/24))&amp;" " &amp;  'Paramètres - Admin'!$D$2,HOUR(W27/24-INT(W27/24))&amp;" " &amp;  'Paramètres - Admin'!$D$3 &amp; " " &amp; MINUTE(W27/24-INT(W27/24))&amp;" " &amp;  'Paramètres - Admin'!$D$2))))))</f>
        <v>0,00 jours</v>
      </c>
    </row>
    <row r="28" spans="1:29" s="153" customFormat="1" ht="15" customHeight="1" x14ac:dyDescent="0.25">
      <c r="U28" s="156"/>
      <c r="V28" s="156"/>
      <c r="W28" s="156"/>
      <c r="X28" s="156"/>
    </row>
    <row r="29" spans="1:29" s="153" customFormat="1" ht="15" customHeight="1" x14ac:dyDescent="0.25">
      <c r="U29" s="156"/>
      <c r="V29" s="156"/>
      <c r="W29" s="156"/>
      <c r="X29" s="156"/>
    </row>
    <row r="30" spans="1:29" s="153" customFormat="1" ht="15" customHeight="1" x14ac:dyDescent="0.25">
      <c r="M30" s="156"/>
      <c r="N30" s="156"/>
      <c r="O30" s="1070" t="s">
        <v>230</v>
      </c>
      <c r="P30" s="1070"/>
      <c r="Q30" s="1070"/>
      <c r="R30" s="1070"/>
      <c r="S30" s="156"/>
      <c r="T30" s="156"/>
      <c r="U30" s="156"/>
      <c r="V30" s="156"/>
      <c r="W30" s="156"/>
      <c r="X30" s="156"/>
      <c r="Y30" s="880"/>
      <c r="Z30" s="880"/>
      <c r="AA30" s="880"/>
      <c r="AB30" s="880"/>
      <c r="AC30" s="880"/>
    </row>
    <row r="31" spans="1:29" s="153" customFormat="1" ht="15" customHeight="1" x14ac:dyDescent="0.25">
      <c r="M31" s="156"/>
      <c r="O31" s="799"/>
      <c r="P31" s="799"/>
      <c r="Q31" s="799"/>
      <c r="R31" s="799"/>
      <c r="S31" s="156"/>
      <c r="T31" s="156"/>
      <c r="U31" s="156"/>
      <c r="V31" s="156"/>
      <c r="W31" s="156"/>
      <c r="X31" s="156"/>
      <c r="Y31" s="880"/>
      <c r="Z31" s="880"/>
      <c r="AA31" s="880"/>
      <c r="AB31" s="880"/>
      <c r="AC31" s="880"/>
    </row>
    <row r="32" spans="1:29" s="153" customFormat="1" ht="15" customHeight="1" x14ac:dyDescent="0.25">
      <c r="M32" s="156"/>
      <c r="Y32" s="880"/>
      <c r="Z32" s="880"/>
      <c r="AA32" s="880"/>
      <c r="AB32" s="880"/>
      <c r="AC32" s="880"/>
    </row>
    <row r="33" spans="13:32" s="153" customFormat="1" ht="15" customHeight="1" x14ac:dyDescent="0.25">
      <c r="M33" s="156"/>
      <c r="R33" s="156"/>
      <c r="S33" s="152"/>
      <c r="T33" s="152"/>
      <c r="U33" s="152"/>
      <c r="V33" s="152"/>
      <c r="W33" s="152"/>
      <c r="X33" s="152"/>
      <c r="Y33" s="880"/>
      <c r="Z33" s="880"/>
      <c r="AA33" s="880"/>
      <c r="AB33" s="880"/>
      <c r="AC33" s="880"/>
    </row>
    <row r="34" spans="13:32" s="153" customFormat="1" ht="15" customHeight="1" x14ac:dyDescent="0.25">
      <c r="M34" s="156"/>
      <c r="N34" s="156"/>
      <c r="P34" s="156"/>
      <c r="Q34" s="156"/>
      <c r="R34" s="156"/>
      <c r="S34" s="152"/>
      <c r="T34" s="152"/>
      <c r="U34" s="152"/>
      <c r="V34" s="152"/>
      <c r="W34" s="152"/>
      <c r="X34" s="152"/>
      <c r="Y34" s="880"/>
      <c r="Z34" s="880"/>
      <c r="AA34" s="880"/>
      <c r="AB34" s="880"/>
      <c r="AC34" s="880"/>
    </row>
    <row r="41" spans="13:32" ht="15" customHeight="1" x14ac:dyDescent="0.25">
      <c r="M41" s="159"/>
    </row>
    <row r="42" spans="13:32" ht="15" customHeight="1" x14ac:dyDescent="0.25">
      <c r="M42" s="160"/>
      <c r="V42" s="158"/>
      <c r="W42" s="158"/>
      <c r="X42" s="158"/>
    </row>
    <row r="43" spans="13:32" ht="15" customHeight="1" x14ac:dyDescent="0.25">
      <c r="M43" s="161"/>
      <c r="V43" s="158"/>
      <c r="W43" s="158"/>
      <c r="X43" s="158"/>
    </row>
    <row r="45" spans="13:32" ht="15" customHeight="1" x14ac:dyDescent="0.25">
      <c r="M45" s="159"/>
    </row>
    <row r="47" spans="13:32" ht="15" customHeight="1" x14ac:dyDescent="0.25">
      <c r="M47" s="159"/>
      <c r="Y47" s="876"/>
      <c r="Z47" s="876"/>
      <c r="AA47" s="876"/>
      <c r="AB47" s="876"/>
      <c r="AC47" s="876"/>
      <c r="AD47" s="158"/>
      <c r="AE47" s="158"/>
      <c r="AF47" s="158"/>
    </row>
    <row r="48" spans="13:32" ht="15" customHeight="1" x14ac:dyDescent="0.25">
      <c r="M48" s="160"/>
      <c r="Y48" s="876"/>
      <c r="Z48" s="876"/>
      <c r="AA48" s="876"/>
      <c r="AB48" s="876"/>
      <c r="AC48" s="876"/>
      <c r="AD48" s="158"/>
      <c r="AE48" s="158"/>
      <c r="AF48" s="158"/>
    </row>
    <row r="49" spans="25:32" ht="15" customHeight="1" x14ac:dyDescent="0.25">
      <c r="Y49" s="876"/>
      <c r="Z49" s="876"/>
      <c r="AA49" s="876"/>
      <c r="AB49" s="876"/>
      <c r="AC49" s="876"/>
      <c r="AD49" s="158"/>
      <c r="AE49" s="158"/>
      <c r="AF49" s="158"/>
    </row>
    <row r="50" spans="25:32" ht="15" customHeight="1" x14ac:dyDescent="0.25">
      <c r="Y50" s="876"/>
      <c r="Z50" s="876"/>
      <c r="AA50" s="876"/>
      <c r="AB50" s="876"/>
      <c r="AC50" s="876"/>
      <c r="AD50" s="158"/>
      <c r="AE50" s="158"/>
      <c r="AF50" s="158"/>
    </row>
  </sheetData>
  <sheetProtection selectLockedCells="1"/>
  <mergeCells count="28">
    <mergeCell ref="M23:R23"/>
    <mergeCell ref="M2:N2"/>
    <mergeCell ref="M15:R15"/>
    <mergeCell ref="M5:R5"/>
    <mergeCell ref="W1:X1"/>
    <mergeCell ref="S15:X15"/>
    <mergeCell ref="W2:X2"/>
    <mergeCell ref="T1:V1"/>
    <mergeCell ref="T2:V2"/>
    <mergeCell ref="Q1:S1"/>
    <mergeCell ref="Q2:S2"/>
    <mergeCell ref="S5:X5"/>
    <mergeCell ref="O30:R30"/>
    <mergeCell ref="O2:P2"/>
    <mergeCell ref="O1:P1"/>
    <mergeCell ref="A15:F15"/>
    <mergeCell ref="H1:J1"/>
    <mergeCell ref="H2:J2"/>
    <mergeCell ref="B2:C2"/>
    <mergeCell ref="B1:C1"/>
    <mergeCell ref="K1:L1"/>
    <mergeCell ref="K2:L2"/>
    <mergeCell ref="M1:N1"/>
    <mergeCell ref="A3:X4"/>
    <mergeCell ref="S23:X23"/>
    <mergeCell ref="A5:F5"/>
    <mergeCell ref="G5:L5"/>
    <mergeCell ref="G15:L15"/>
  </mergeCells>
  <dataValidations disablePrompts="1" count="2">
    <dataValidation type="list" allowBlank="1" showInputMessage="1" showErrorMessage="1" sqref="B2">
      <formula1>TimeDisplay</formula1>
    </dataValidation>
    <dataValidation type="list" showErrorMessage="1" sqref="D2:F2">
      <formula1>"Oui,Non"</formula1>
    </dataValidation>
  </dataValidations>
  <pageMargins left="0.70866141732283472" right="0.70866141732283472" top="0.74803149606299213" bottom="0.74803149606299213" header="0.31496062992125984" footer="0.31496062992125984"/>
  <pageSetup paperSize="9" scale="52" fitToHeight="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00B0F0"/>
    <pageSetUpPr fitToPage="1"/>
  </sheetPr>
  <dimension ref="A1:CF420"/>
  <sheetViews>
    <sheetView showGridLines="0" zoomScaleNormal="100" workbookViewId="0">
      <pane ySplit="2" topLeftCell="A285" activePane="bottomLeft" state="frozen"/>
      <selection activeCell="A3" sqref="A3:H6"/>
      <selection pane="bottomLeft" activeCell="F302" sqref="F302"/>
    </sheetView>
  </sheetViews>
  <sheetFormatPr baseColWidth="10" defaultColWidth="11.42578125" defaultRowHeight="15" customHeight="1" x14ac:dyDescent="0.25"/>
  <cols>
    <col min="1" max="6" width="6.7109375" style="153" customWidth="1"/>
    <col min="7" max="7" width="6.7109375" style="152" customWidth="1"/>
    <col min="8" max="9" width="8.7109375" style="152" customWidth="1"/>
    <col min="10" max="11" width="10.7109375" style="152" customWidth="1"/>
    <col min="12" max="18" width="6.7109375" style="152" customWidth="1"/>
    <col min="19" max="20" width="8.7109375" style="152" customWidth="1"/>
    <col min="21" max="22" width="11.28515625" style="152" customWidth="1"/>
    <col min="23" max="23" width="10.7109375" style="152" customWidth="1"/>
    <col min="24" max="16384" width="11.42578125" style="152"/>
  </cols>
  <sheetData>
    <row r="1" spans="1:22" ht="15" customHeight="1" x14ac:dyDescent="0.25">
      <c r="A1" s="1111" t="s">
        <v>291</v>
      </c>
      <c r="B1" s="1112"/>
      <c r="C1" s="1126" t="s">
        <v>237</v>
      </c>
      <c r="D1" s="1127"/>
      <c r="E1" s="1128"/>
      <c r="F1" s="1129" t="s">
        <v>241</v>
      </c>
      <c r="G1" s="1130"/>
      <c r="H1" s="1131"/>
      <c r="I1" s="1135" t="s">
        <v>260</v>
      </c>
      <c r="J1" s="1136"/>
      <c r="K1" s="1132" t="s">
        <v>244</v>
      </c>
      <c r="L1" s="1137"/>
      <c r="M1" s="1138"/>
      <c r="N1" s="1141" t="str">
        <f>'À Faire - Récapitulatif'!Q1</f>
        <v>Bâtiments : 0,15 jours</v>
      </c>
      <c r="O1" s="1142"/>
      <c r="P1" s="1142"/>
      <c r="Q1" s="1143"/>
      <c r="R1" s="1132" t="s">
        <v>358</v>
      </c>
      <c r="S1" s="1133"/>
      <c r="T1" s="1134"/>
      <c r="U1" s="1139" t="s">
        <v>255</v>
      </c>
      <c r="V1" s="1140"/>
    </row>
    <row r="2" spans="1:22" ht="15" customHeight="1" thickBot="1" x14ac:dyDescent="0.3">
      <c r="A2" s="1109">
        <f>Paramètres!$BI$2</f>
        <v>1</v>
      </c>
      <c r="B2" s="1110"/>
      <c r="C2" s="1113" t="str">
        <f>'À Faire - Récapitulatif'!H2</f>
        <v>4 250</v>
      </c>
      <c r="D2" s="1114"/>
      <c r="E2" s="1115"/>
      <c r="F2" s="1116" t="str">
        <f>'À Faire - Récapitulatif'!K2</f>
        <v>4 700</v>
      </c>
      <c r="G2" s="1117"/>
      <c r="H2" s="1118"/>
      <c r="I2" s="1119" t="str">
        <f>'À Faire - Récapitulatif'!M2</f>
        <v>0</v>
      </c>
      <c r="J2" s="1120"/>
      <c r="K2" s="1121" t="str">
        <f>'À Faire - Récapitulatif'!O2</f>
        <v>0,15 jours</v>
      </c>
      <c r="L2" s="1122"/>
      <c r="M2" s="1123"/>
      <c r="N2" s="1144" t="str">
        <f>'À Faire - Récapitulatif'!Q2</f>
        <v>Héros : 0,00 jours</v>
      </c>
      <c r="O2" s="1145"/>
      <c r="P2" s="1145"/>
      <c r="Q2" s="1146"/>
      <c r="R2" s="1121" t="str">
        <f>'À Faire - Récapitulatif'!T2</f>
        <v>0,15 jours</v>
      </c>
      <c r="S2" s="1122"/>
      <c r="T2" s="1123"/>
      <c r="U2" s="1124" t="str">
        <f>'À Faire - Récapitulatif'!W2</f>
        <v>0,00 jours</v>
      </c>
      <c r="V2" s="1125"/>
    </row>
    <row r="3" spans="1:22" ht="20.100000000000001" customHeight="1" thickBot="1" x14ac:dyDescent="0.3">
      <c r="A3" s="1094" t="s">
        <v>448</v>
      </c>
      <c r="B3" s="1095"/>
      <c r="C3" s="1095"/>
      <c r="D3" s="1095"/>
      <c r="E3" s="1095"/>
      <c r="F3" s="1095"/>
      <c r="G3" s="1095"/>
      <c r="H3" s="1095"/>
      <c r="I3" s="1095"/>
      <c r="J3" s="1095"/>
      <c r="K3" s="1095"/>
      <c r="L3" s="1095"/>
      <c r="M3" s="1095"/>
      <c r="N3" s="1095"/>
      <c r="O3" s="1095"/>
      <c r="P3" s="1095"/>
      <c r="Q3" s="1095"/>
      <c r="R3" s="1095"/>
      <c r="S3" s="1095"/>
      <c r="T3" s="1095"/>
      <c r="U3" s="1095"/>
      <c r="V3" s="1096"/>
    </row>
    <row r="4" spans="1:22" ht="15" customHeight="1" thickBot="1" x14ac:dyDescent="0.3">
      <c r="A4" s="1156" t="s">
        <v>247</v>
      </c>
      <c r="B4" s="1157"/>
      <c r="C4" s="1157"/>
      <c r="D4" s="1157"/>
      <c r="E4" s="1157"/>
      <c r="F4" s="1157"/>
      <c r="G4" s="1157"/>
      <c r="H4" s="1157"/>
      <c r="I4" s="1157"/>
      <c r="J4" s="1157"/>
      <c r="K4" s="1158"/>
      <c r="L4" s="1153" t="s">
        <v>246</v>
      </c>
      <c r="M4" s="1154"/>
      <c r="N4" s="1154"/>
      <c r="O4" s="1154"/>
      <c r="P4" s="1154"/>
      <c r="Q4" s="1154"/>
      <c r="R4" s="1154"/>
      <c r="S4" s="1154"/>
      <c r="T4" s="1154"/>
      <c r="U4" s="1154"/>
      <c r="V4" s="1155"/>
    </row>
    <row r="5" spans="1:22" ht="15" customHeight="1" x14ac:dyDescent="0.25">
      <c r="A5" s="1100" t="s">
        <v>176</v>
      </c>
      <c r="B5" s="1101"/>
      <c r="C5" s="1102"/>
      <c r="D5" s="85" t="s">
        <v>38</v>
      </c>
      <c r="E5" s="86" t="s">
        <v>39</v>
      </c>
      <c r="F5" s="255"/>
      <c r="G5" s="88"/>
      <c r="H5" s="89"/>
      <c r="I5" s="615" t="s">
        <v>256</v>
      </c>
      <c r="J5" s="619" t="s">
        <v>362</v>
      </c>
      <c r="K5" s="616" t="s">
        <v>257</v>
      </c>
      <c r="L5" s="1100" t="s">
        <v>210</v>
      </c>
      <c r="M5" s="1101"/>
      <c r="N5" s="1102"/>
      <c r="O5" s="85" t="s">
        <v>38</v>
      </c>
      <c r="P5" s="86" t="s">
        <v>39</v>
      </c>
      <c r="Q5" s="87"/>
      <c r="R5" s="88"/>
      <c r="S5" s="89"/>
      <c r="T5" s="615" t="s">
        <v>256</v>
      </c>
      <c r="U5" s="619" t="s">
        <v>362</v>
      </c>
      <c r="V5" s="616" t="s">
        <v>257</v>
      </c>
    </row>
    <row r="6" spans="1:22" ht="15" customHeight="1" thickBot="1" x14ac:dyDescent="0.3">
      <c r="A6" s="1150"/>
      <c r="B6" s="1151"/>
      <c r="C6" s="1152"/>
      <c r="D6" s="623">
        <f>VLOOKUP($A$2,AVAILABLE_Buildings_Resource[#All],MATCH(A5,AVAILABLE_Buildings_Resource[#Headers],0))</f>
        <v>1</v>
      </c>
      <c r="E6" s="466">
        <f>VLOOKUP($A$2,AVAILABLE_Buildings_Resource[#All],MATCH(A5,AVAILABLE_Buildings_Resource[#Headers],0)+1)</f>
        <v>2</v>
      </c>
      <c r="F6" s="256"/>
      <c r="G6" s="231"/>
      <c r="H6" s="232"/>
      <c r="I6" s="104">
        <f>IF(SUM(B8:B19)&gt;D6,"Error",SUM(B8:B19))</f>
        <v>0</v>
      </c>
      <c r="J6" s="105">
        <f>IF(I$6="Error","Error",D6-I6)</f>
        <v>1</v>
      </c>
      <c r="K6" s="233">
        <f>IF(I$6="Error","Error",SUM(F8:F19))</f>
        <v>2</v>
      </c>
      <c r="L6" s="1103"/>
      <c r="M6" s="1104"/>
      <c r="N6" s="1105"/>
      <c r="O6" s="95">
        <f>VLOOKUP($A$2,AVAILABLE_Buildings_Resource[#All],MATCH(L5,AVAILABLE_Buildings_Resource[#Headers],0))</f>
        <v>1</v>
      </c>
      <c r="P6" s="96">
        <f>VLOOKUP($A$2,AVAILABLE_Buildings_Resource[#All],MATCH(L5,AVAILABLE_Buildings_Resource[#Headers],0)+1)</f>
        <v>2</v>
      </c>
      <c r="Q6" s="230"/>
      <c r="R6" s="231"/>
      <c r="S6" s="232"/>
      <c r="T6" s="104">
        <f>IF(SUM(M8:M19)&gt;O6,"Error",SUM(M8:M19))</f>
        <v>0</v>
      </c>
      <c r="U6" s="105">
        <f>IF(T$6="Error","Error",O6-T6)</f>
        <v>1</v>
      </c>
      <c r="V6" s="233">
        <f>IF(T$6="Error","Error",SUM(Q8:Q19))</f>
        <v>2</v>
      </c>
    </row>
    <row r="7" spans="1:22" ht="15" customHeight="1" thickBot="1" x14ac:dyDescent="0.3">
      <c r="A7" s="752" t="s">
        <v>30</v>
      </c>
      <c r="B7" s="218" t="s">
        <v>29</v>
      </c>
      <c r="C7" s="753"/>
      <c r="D7" s="707"/>
      <c r="E7" s="707"/>
      <c r="F7" s="751" t="s">
        <v>29</v>
      </c>
      <c r="G7" s="751" t="s">
        <v>30</v>
      </c>
      <c r="H7" s="619" t="s">
        <v>258</v>
      </c>
      <c r="I7" s="619" t="s">
        <v>259</v>
      </c>
      <c r="J7" s="619" t="s">
        <v>232</v>
      </c>
      <c r="K7" s="616" t="s">
        <v>233</v>
      </c>
      <c r="L7" s="235" t="s">
        <v>30</v>
      </c>
      <c r="M7" s="400" t="s">
        <v>29</v>
      </c>
      <c r="N7" s="551"/>
      <c r="O7" s="626"/>
      <c r="P7" s="110"/>
      <c r="Q7" s="651" t="s">
        <v>29</v>
      </c>
      <c r="R7" s="652" t="s">
        <v>30</v>
      </c>
      <c r="S7" s="653" t="s">
        <v>258</v>
      </c>
      <c r="T7" s="653" t="s">
        <v>259</v>
      </c>
      <c r="U7" s="653" t="s">
        <v>232</v>
      </c>
      <c r="V7" s="654" t="s">
        <v>233</v>
      </c>
    </row>
    <row r="8" spans="1:22" ht="15" customHeight="1" x14ac:dyDescent="0.25">
      <c r="A8" s="636">
        <v>1</v>
      </c>
      <c r="B8" s="123" t="str">
        <f>IF(Paramètres!B6=0,"",Paramètres!B6)</f>
        <v/>
      </c>
      <c r="C8" s="691">
        <f>IF(C7&lt;&gt;0,C7+IF(AND(B7&lt;&gt;"",A7&lt;E$6),B7,0),IF(AND(B7&lt;&gt;"",A7&lt;E$6),B7,0))</f>
        <v>0</v>
      </c>
      <c r="D8" s="630"/>
      <c r="E8" s="630"/>
      <c r="F8" s="709">
        <f>IF(G8&lt;&gt;"/",IF(I$6="Error","Error",$J$6+C8),"/")</f>
        <v>1</v>
      </c>
      <c r="G8" s="120">
        <f>IF(I$6="Error","Error",IF(AND($E$6&lt;&gt;"/",$E$6&gt;'Paramètres - Admin'!$A2),'Paramètres - Admin'!$A3,"/"))</f>
        <v>1</v>
      </c>
      <c r="H8" s="441">
        <f>IF(G8&lt;&gt;"/",VLOOKUP(G8,COSTS_Gold_Mine[#All],2),"/")</f>
        <v>150</v>
      </c>
      <c r="I8" s="101">
        <f>IF(G8&lt;&gt;"/",VLOOKUP(G8,COSTS_Gold_Mine[#All],3),"/")</f>
        <v>1.6666666666666666E-2</v>
      </c>
      <c r="J8" s="441">
        <f>IF(I$6="Error","Error",IF(H8&lt;&gt;"/",F8*H8,0))</f>
        <v>150</v>
      </c>
      <c r="K8" s="629">
        <f>IF(I$6="Error","Error",IF(I8&lt;&gt;"/",F8*I8,0))</f>
        <v>1.6666666666666666E-2</v>
      </c>
      <c r="L8" s="238">
        <v>1</v>
      </c>
      <c r="M8" s="116" t="str">
        <f>IF(Paramètres!C6=0,"",Paramètres!C6)</f>
        <v/>
      </c>
      <c r="N8" s="711">
        <f>IF(N7&lt;&gt;0,N7+IF(AND(M7&lt;&gt;"",L7&lt;P$6),M7,0),IF(AND(M7&lt;&gt;"",L7&lt;P$6),M7,0))</f>
        <v>0</v>
      </c>
      <c r="O8" s="707"/>
      <c r="P8" s="707"/>
      <c r="Q8" s="708">
        <f>IF(R8&lt;&gt;"/",IF(T$6="Error","Error",$U$6+N8),"/")</f>
        <v>1</v>
      </c>
      <c r="R8" s="548">
        <f>IF(T$6="Error","Error",IF(AND($P$6&lt;&gt;"/",$P$6&gt;'Paramètres - Admin'!$A2),'Paramètres - Admin'!$A3,"/"))</f>
        <v>1</v>
      </c>
      <c r="S8" s="93">
        <f>IF(R8&lt;&gt;"/",VLOOKUP(R8,COSTS_Elixir_Collector[#All],2),"/")</f>
        <v>150</v>
      </c>
      <c r="T8" s="549">
        <f>IF(R8&lt;&gt;"/",VLOOKUP(R8,COSTS_Elixir_Collector[#All],3),"/")</f>
        <v>1.6666666666666666E-2</v>
      </c>
      <c r="U8" s="93">
        <f>IF(T$6="Error","Error",IF(S8&lt;&gt;"/",Q8*S8,0))</f>
        <v>150</v>
      </c>
      <c r="V8" s="550">
        <f>IF(T$6="Error","Error",IF(T8&lt;&gt;"/",Q8*T8,0))</f>
        <v>1.6666666666666666E-2</v>
      </c>
    </row>
    <row r="9" spans="1:22" ht="15" customHeight="1" x14ac:dyDescent="0.25">
      <c r="A9" s="636">
        <v>2</v>
      </c>
      <c r="B9" s="123" t="str">
        <f>IF(Paramètres!B7=0,"",Paramètres!B7)</f>
        <v/>
      </c>
      <c r="C9" s="691">
        <f t="shared" ref="C9:C18" si="0">IF(C8&lt;&gt;0,C8+IF(AND(B8&lt;&gt;"",A8&lt;E$6),B8,0),IF(AND(B8&lt;&gt;"",A8&lt;E$6),B8,0))</f>
        <v>0</v>
      </c>
      <c r="D9" s="630"/>
      <c r="E9" s="630"/>
      <c r="F9" s="709">
        <f t="shared" ref="F9:F18" si="1">IF(G9&lt;&gt;"/",IF(I$6="Error","Error",$J$6+C9),"/")</f>
        <v>1</v>
      </c>
      <c r="G9" s="120">
        <f>IF(I$6="Error","Error",IF(AND($E$6&lt;&gt;"/",$E$6&gt;'Paramètres - Admin'!$A3),'Paramètres - Admin'!$A4,"/"))</f>
        <v>2</v>
      </c>
      <c r="H9" s="441">
        <f>IF(G9&lt;&gt;"/",VLOOKUP(G9,COSTS_Gold_Mine[#All],2),"/")</f>
        <v>300</v>
      </c>
      <c r="I9" s="101">
        <f>IF(G9&lt;&gt;"/",VLOOKUP(G9,COSTS_Gold_Mine[#All],3),"/")</f>
        <v>8.3333333333333329E-2</v>
      </c>
      <c r="J9" s="441">
        <f t="shared" ref="J9:J18" si="2">IF(I$6="Error","Error",IF(H9&lt;&gt;"/",F9*H9,0))</f>
        <v>300</v>
      </c>
      <c r="K9" s="629">
        <f t="shared" ref="K9:K18" si="3">IF(I$6="Error","Error",IF(I9&lt;&gt;"/",F9*I9,0))</f>
        <v>8.3333333333333329E-2</v>
      </c>
      <c r="L9" s="143">
        <v>2</v>
      </c>
      <c r="M9" s="123" t="str">
        <f>IF(Paramètres!C7=0,"",Paramètres!C7)</f>
        <v/>
      </c>
      <c r="N9" s="691">
        <f t="shared" ref="N9:N17" si="4">IF(N8&lt;&gt;0,N8+IF(AND(M8&lt;&gt;"",L8&lt;P$6),M8,0),IF(AND(M8&lt;&gt;"",L8&lt;P$6),M8,0))</f>
        <v>0</v>
      </c>
      <c r="O9" s="630"/>
      <c r="P9" s="630"/>
      <c r="Q9" s="709">
        <f t="shared" ref="Q9:Q17" si="5">IF(R9&lt;&gt;"/",IF(T$6="Error","Error",$U$6+N9),"/")</f>
        <v>1</v>
      </c>
      <c r="R9" s="120">
        <f>IF(T$6="Error","Error",IF(AND($P$6&lt;&gt;"/",$P$6&gt;'Paramètres - Admin'!$A3),'Paramètres - Admin'!$A4,"/"))</f>
        <v>2</v>
      </c>
      <c r="S9" s="622">
        <f>IF(R9&lt;&gt;"/",VLOOKUP(R9,COSTS_Elixir_Collector[#All],2),"/")</f>
        <v>300</v>
      </c>
      <c r="T9" s="101">
        <f>IF(R9&lt;&gt;"/",VLOOKUP(R9,COSTS_Elixir_Collector[#All],3),"/")</f>
        <v>8.3333333333333329E-2</v>
      </c>
      <c r="U9" s="622">
        <f t="shared" ref="U9:U17" si="6">IF(T$6="Error","Error",IF(S9&lt;&gt;"/",Q9*S9,0))</f>
        <v>300</v>
      </c>
      <c r="V9" s="629">
        <f t="shared" ref="V9:V17" si="7">IF(T$6="Error","Error",IF(T9&lt;&gt;"/",Q9*T9,0))</f>
        <v>8.3333333333333329E-2</v>
      </c>
    </row>
    <row r="10" spans="1:22" ht="15" customHeight="1" x14ac:dyDescent="0.25">
      <c r="A10" s="636">
        <v>3</v>
      </c>
      <c r="B10" s="123" t="str">
        <f>IF(Paramètres!B8=0,"",Paramètres!B8)</f>
        <v/>
      </c>
      <c r="C10" s="691">
        <f t="shared" si="0"/>
        <v>0</v>
      </c>
      <c r="D10" s="630"/>
      <c r="E10" s="630"/>
      <c r="F10" s="709" t="str">
        <f t="shared" si="1"/>
        <v>/</v>
      </c>
      <c r="G10" s="120" t="str">
        <f>IF(I$6="Error","Error",IF(AND($E$6&lt;&gt;"/",$E$6&gt;'Paramètres - Admin'!$A4),'Paramètres - Admin'!$A5,"/"))</f>
        <v>/</v>
      </c>
      <c r="H10" s="441" t="str">
        <f>IF(G10&lt;&gt;"/",VLOOKUP(G10,COSTS_Gold_Mine[#All],2),"/")</f>
        <v>/</v>
      </c>
      <c r="I10" s="101" t="str">
        <f>IF(G10&lt;&gt;"/",VLOOKUP(G10,COSTS_Gold_Mine[#All],3),"/")</f>
        <v>/</v>
      </c>
      <c r="J10" s="441">
        <f t="shared" si="2"/>
        <v>0</v>
      </c>
      <c r="K10" s="629">
        <f t="shared" si="3"/>
        <v>0</v>
      </c>
      <c r="L10" s="143">
        <v>3</v>
      </c>
      <c r="M10" s="123" t="str">
        <f>IF(Paramètres!C8=0,"",Paramètres!C8)</f>
        <v/>
      </c>
      <c r="N10" s="691">
        <f t="shared" si="4"/>
        <v>0</v>
      </c>
      <c r="O10" s="630"/>
      <c r="P10" s="630"/>
      <c r="Q10" s="709" t="str">
        <f t="shared" si="5"/>
        <v>/</v>
      </c>
      <c r="R10" s="120" t="str">
        <f>IF(T$6="Error","Error",IF(AND($P$6&lt;&gt;"/",$P$6&gt;'Paramètres - Admin'!$A4),'Paramètres - Admin'!$A5,"/"))</f>
        <v>/</v>
      </c>
      <c r="S10" s="622" t="str">
        <f>IF(R10&lt;&gt;"/",VLOOKUP(R10,COSTS_Elixir_Collector[#All],2),"/")</f>
        <v>/</v>
      </c>
      <c r="T10" s="101" t="str">
        <f>IF(R10&lt;&gt;"/",VLOOKUP(R10,COSTS_Elixir_Collector[#All],3),"/")</f>
        <v>/</v>
      </c>
      <c r="U10" s="622">
        <f t="shared" si="6"/>
        <v>0</v>
      </c>
      <c r="V10" s="629">
        <f t="shared" si="7"/>
        <v>0</v>
      </c>
    </row>
    <row r="11" spans="1:22" ht="15" customHeight="1" x14ac:dyDescent="0.25">
      <c r="A11" s="636">
        <v>4</v>
      </c>
      <c r="B11" s="123" t="str">
        <f>IF(Paramètres!B9=0,"",Paramètres!B9)</f>
        <v/>
      </c>
      <c r="C11" s="691">
        <f t="shared" si="0"/>
        <v>0</v>
      </c>
      <c r="D11" s="630"/>
      <c r="E11" s="630"/>
      <c r="F11" s="709" t="str">
        <f t="shared" si="1"/>
        <v>/</v>
      </c>
      <c r="G11" s="120" t="str">
        <f>IF(I$6="Error","Error",IF(AND($E$6&lt;&gt;"/",$E$6&gt;'Paramètres - Admin'!$A5),'Paramètres - Admin'!$A6,"/"))</f>
        <v>/</v>
      </c>
      <c r="H11" s="441" t="str">
        <f>IF(G11&lt;&gt;"/",VLOOKUP(G11,COSTS_Gold_Mine[#All],2),"/")</f>
        <v>/</v>
      </c>
      <c r="I11" s="101" t="str">
        <f>IF(G11&lt;&gt;"/",VLOOKUP(G11,COSTS_Gold_Mine[#All],3),"/")</f>
        <v>/</v>
      </c>
      <c r="J11" s="441">
        <f t="shared" si="2"/>
        <v>0</v>
      </c>
      <c r="K11" s="629">
        <f t="shared" si="3"/>
        <v>0</v>
      </c>
      <c r="L11" s="143">
        <v>4</v>
      </c>
      <c r="M11" s="123" t="str">
        <f>IF(Paramètres!C9=0,"",Paramètres!C9)</f>
        <v/>
      </c>
      <c r="N11" s="691">
        <f t="shared" si="4"/>
        <v>0</v>
      </c>
      <c r="O11" s="630"/>
      <c r="P11" s="630"/>
      <c r="Q11" s="709" t="str">
        <f t="shared" si="5"/>
        <v>/</v>
      </c>
      <c r="R11" s="120" t="str">
        <f>IF(T$6="Error","Error",IF(AND($P$6&lt;&gt;"/",$P$6&gt;'Paramètres - Admin'!$A5),'Paramètres - Admin'!$A6,"/"))</f>
        <v>/</v>
      </c>
      <c r="S11" s="622" t="str">
        <f>IF(R11&lt;&gt;"/",VLOOKUP(R11,COSTS_Elixir_Collector[#All],2),"/")</f>
        <v>/</v>
      </c>
      <c r="T11" s="101" t="str">
        <f>IF(R11&lt;&gt;"/",VLOOKUP(R11,COSTS_Elixir_Collector[#All],3),"/")</f>
        <v>/</v>
      </c>
      <c r="U11" s="622">
        <f t="shared" si="6"/>
        <v>0</v>
      </c>
      <c r="V11" s="629">
        <f t="shared" si="7"/>
        <v>0</v>
      </c>
    </row>
    <row r="12" spans="1:22" ht="15" customHeight="1" x14ac:dyDescent="0.25">
      <c r="A12" s="636">
        <v>5</v>
      </c>
      <c r="B12" s="123" t="str">
        <f>IF(Paramètres!B10=0,"",Paramètres!B10)</f>
        <v/>
      </c>
      <c r="C12" s="691">
        <f t="shared" si="0"/>
        <v>0</v>
      </c>
      <c r="D12" s="630"/>
      <c r="E12" s="630"/>
      <c r="F12" s="709" t="str">
        <f t="shared" si="1"/>
        <v>/</v>
      </c>
      <c r="G12" s="120" t="str">
        <f>IF(I$6="Error","Error",IF(AND($E$6&lt;&gt;"/",$E$6&gt;'Paramètres - Admin'!$A6),'Paramètres - Admin'!$A7,"/"))</f>
        <v>/</v>
      </c>
      <c r="H12" s="441" t="str">
        <f>IF(G12&lt;&gt;"/",VLOOKUP(G12,COSTS_Gold_Mine[#All],2),"/")</f>
        <v>/</v>
      </c>
      <c r="I12" s="101" t="str">
        <f>IF(G12&lt;&gt;"/",VLOOKUP(G12,COSTS_Gold_Mine[#All],3),"/")</f>
        <v>/</v>
      </c>
      <c r="J12" s="441">
        <f t="shared" si="2"/>
        <v>0</v>
      </c>
      <c r="K12" s="629">
        <f t="shared" si="3"/>
        <v>0</v>
      </c>
      <c r="L12" s="143">
        <v>5</v>
      </c>
      <c r="M12" s="123" t="str">
        <f>IF(Paramètres!C10=0,"",Paramètres!C10)</f>
        <v/>
      </c>
      <c r="N12" s="691">
        <f t="shared" si="4"/>
        <v>0</v>
      </c>
      <c r="O12" s="630"/>
      <c r="P12" s="630"/>
      <c r="Q12" s="709" t="str">
        <f t="shared" si="5"/>
        <v>/</v>
      </c>
      <c r="R12" s="120" t="str">
        <f>IF(T$6="Error","Error",IF(AND($P$6&lt;&gt;"/",$P$6&gt;'Paramètres - Admin'!$A6),'Paramètres - Admin'!$A7,"/"))</f>
        <v>/</v>
      </c>
      <c r="S12" s="622" t="str">
        <f>IF(R12&lt;&gt;"/",VLOOKUP(R12,COSTS_Elixir_Collector[#All],2),"/")</f>
        <v>/</v>
      </c>
      <c r="T12" s="101" t="str">
        <f>IF(R12&lt;&gt;"/",VLOOKUP(R12,COSTS_Elixir_Collector[#All],3),"/")</f>
        <v>/</v>
      </c>
      <c r="U12" s="622">
        <f t="shared" si="6"/>
        <v>0</v>
      </c>
      <c r="V12" s="629">
        <f t="shared" si="7"/>
        <v>0</v>
      </c>
    </row>
    <row r="13" spans="1:22" ht="15" customHeight="1" x14ac:dyDescent="0.25">
      <c r="A13" s="636">
        <v>6</v>
      </c>
      <c r="B13" s="123" t="str">
        <f>IF(Paramètres!B11=0,"",Paramètres!B11)</f>
        <v/>
      </c>
      <c r="C13" s="691">
        <f t="shared" si="0"/>
        <v>0</v>
      </c>
      <c r="D13" s="630"/>
      <c r="E13" s="630"/>
      <c r="F13" s="709" t="str">
        <f t="shared" si="1"/>
        <v>/</v>
      </c>
      <c r="G13" s="120" t="str">
        <f>IF(I$6="Error","Error",IF(AND($E$6&lt;&gt;"/",$E$6&gt;'Paramètres - Admin'!$A7),'Paramètres - Admin'!$A8,"/"))</f>
        <v>/</v>
      </c>
      <c r="H13" s="441" t="str">
        <f>IF(G13&lt;&gt;"/",VLOOKUP(G13,COSTS_Gold_Mine[#All],2),"/")</f>
        <v>/</v>
      </c>
      <c r="I13" s="101" t="str">
        <f>IF(G13&lt;&gt;"/",VLOOKUP(G13,COSTS_Gold_Mine[#All],3),"/")</f>
        <v>/</v>
      </c>
      <c r="J13" s="441">
        <f t="shared" si="2"/>
        <v>0</v>
      </c>
      <c r="K13" s="629">
        <f t="shared" si="3"/>
        <v>0</v>
      </c>
      <c r="L13" s="143">
        <v>6</v>
      </c>
      <c r="M13" s="123" t="str">
        <f>IF(Paramètres!C11=0,"",Paramètres!C11)</f>
        <v/>
      </c>
      <c r="N13" s="691">
        <f t="shared" si="4"/>
        <v>0</v>
      </c>
      <c r="O13" s="630"/>
      <c r="P13" s="630"/>
      <c r="Q13" s="709" t="str">
        <f t="shared" si="5"/>
        <v>/</v>
      </c>
      <c r="R13" s="120" t="str">
        <f>IF(T$6="Error","Error",IF(AND($P$6&lt;&gt;"/",$P$6&gt;'Paramètres - Admin'!$A7),'Paramètres - Admin'!$A8,"/"))</f>
        <v>/</v>
      </c>
      <c r="S13" s="622" t="str">
        <f>IF(R13&lt;&gt;"/",VLOOKUP(R13,COSTS_Elixir_Collector[#All],2),"/")</f>
        <v>/</v>
      </c>
      <c r="T13" s="101" t="str">
        <f>IF(R13&lt;&gt;"/",VLOOKUP(R13,COSTS_Elixir_Collector[#All],3),"/")</f>
        <v>/</v>
      </c>
      <c r="U13" s="622">
        <f t="shared" si="6"/>
        <v>0</v>
      </c>
      <c r="V13" s="629">
        <f t="shared" si="7"/>
        <v>0</v>
      </c>
    </row>
    <row r="14" spans="1:22" ht="15" customHeight="1" x14ac:dyDescent="0.25">
      <c r="A14" s="636">
        <v>7</v>
      </c>
      <c r="B14" s="123" t="str">
        <f>IF(Paramètres!B12=0,"",Paramètres!B12)</f>
        <v/>
      </c>
      <c r="C14" s="691">
        <f t="shared" si="0"/>
        <v>0</v>
      </c>
      <c r="D14" s="630"/>
      <c r="E14" s="630"/>
      <c r="F14" s="709" t="str">
        <f t="shared" si="1"/>
        <v>/</v>
      </c>
      <c r="G14" s="120" t="str">
        <f>IF(I$6="Error","Error",IF(AND($E$6&lt;&gt;"/",$E$6&gt;'Paramètres - Admin'!$A8),'Paramètres - Admin'!$A9,"/"))</f>
        <v>/</v>
      </c>
      <c r="H14" s="441" t="str">
        <f>IF(G14&lt;&gt;"/",VLOOKUP(G14,COSTS_Gold_Mine[#All],2),"/")</f>
        <v>/</v>
      </c>
      <c r="I14" s="101" t="str">
        <f>IF(G14&lt;&gt;"/",VLOOKUP(G14,COSTS_Gold_Mine[#All],3),"/")</f>
        <v>/</v>
      </c>
      <c r="J14" s="441">
        <f t="shared" si="2"/>
        <v>0</v>
      </c>
      <c r="K14" s="629">
        <f t="shared" si="3"/>
        <v>0</v>
      </c>
      <c r="L14" s="143">
        <v>7</v>
      </c>
      <c r="M14" s="123" t="str">
        <f>IF(Paramètres!C12=0,"",Paramètres!C12)</f>
        <v/>
      </c>
      <c r="N14" s="691">
        <f t="shared" si="4"/>
        <v>0</v>
      </c>
      <c r="O14" s="630"/>
      <c r="P14" s="630"/>
      <c r="Q14" s="709" t="str">
        <f t="shared" si="5"/>
        <v>/</v>
      </c>
      <c r="R14" s="120" t="str">
        <f>IF(T$6="Error","Error",IF(AND($P$6&lt;&gt;"/",$P$6&gt;'Paramètres - Admin'!$A8),'Paramètres - Admin'!$A9,"/"))</f>
        <v>/</v>
      </c>
      <c r="S14" s="622" t="str">
        <f>IF(R14&lt;&gt;"/",VLOOKUP(R14,COSTS_Elixir_Collector[#All],2),"/")</f>
        <v>/</v>
      </c>
      <c r="T14" s="101" t="str">
        <f>IF(R14&lt;&gt;"/",VLOOKUP(R14,COSTS_Elixir_Collector[#All],3),"/")</f>
        <v>/</v>
      </c>
      <c r="U14" s="622">
        <f t="shared" si="6"/>
        <v>0</v>
      </c>
      <c r="V14" s="629">
        <f t="shared" si="7"/>
        <v>0</v>
      </c>
    </row>
    <row r="15" spans="1:22" ht="15" customHeight="1" x14ac:dyDescent="0.25">
      <c r="A15" s="636">
        <v>8</v>
      </c>
      <c r="B15" s="123" t="str">
        <f>IF(Paramètres!B13=0,"",Paramètres!B13)</f>
        <v/>
      </c>
      <c r="C15" s="691">
        <f t="shared" si="0"/>
        <v>0</v>
      </c>
      <c r="D15" s="630"/>
      <c r="E15" s="630"/>
      <c r="F15" s="709" t="str">
        <f t="shared" si="1"/>
        <v>/</v>
      </c>
      <c r="G15" s="120" t="str">
        <f>IF(I$6="Error","Error",IF(AND($E$6&lt;&gt;"/",$E$6&gt;'Paramètres - Admin'!$A9),'Paramètres - Admin'!$A10,"/"))</f>
        <v>/</v>
      </c>
      <c r="H15" s="441" t="str">
        <f>IF(G15&lt;&gt;"/",VLOOKUP(G15,COSTS_Gold_Mine[#All],2),"/")</f>
        <v>/</v>
      </c>
      <c r="I15" s="101" t="str">
        <f>IF(G15&lt;&gt;"/",VLOOKUP(G15,COSTS_Gold_Mine[#All],3),"/")</f>
        <v>/</v>
      </c>
      <c r="J15" s="441">
        <f t="shared" si="2"/>
        <v>0</v>
      </c>
      <c r="K15" s="629">
        <f t="shared" si="3"/>
        <v>0</v>
      </c>
      <c r="L15" s="143">
        <v>8</v>
      </c>
      <c r="M15" s="123" t="str">
        <f>IF(Paramètres!C13=0,"",Paramètres!C13)</f>
        <v/>
      </c>
      <c r="N15" s="691">
        <f t="shared" si="4"/>
        <v>0</v>
      </c>
      <c r="O15" s="630"/>
      <c r="P15" s="630"/>
      <c r="Q15" s="709" t="str">
        <f t="shared" si="5"/>
        <v>/</v>
      </c>
      <c r="R15" s="120" t="str">
        <f>IF(T$6="Error","Error",IF(AND($P$6&lt;&gt;"/",$P$6&gt;'Paramètres - Admin'!$A9),'Paramètres - Admin'!$A10,"/"))</f>
        <v>/</v>
      </c>
      <c r="S15" s="622" t="str">
        <f>IF(R15&lt;&gt;"/",VLOOKUP(R15,COSTS_Elixir_Collector[#All],2),"/")</f>
        <v>/</v>
      </c>
      <c r="T15" s="101" t="str">
        <f>IF(R15&lt;&gt;"/",VLOOKUP(R15,COSTS_Elixir_Collector[#All],3),"/")</f>
        <v>/</v>
      </c>
      <c r="U15" s="622">
        <f t="shared" si="6"/>
        <v>0</v>
      </c>
      <c r="V15" s="629">
        <f t="shared" si="7"/>
        <v>0</v>
      </c>
    </row>
    <row r="16" spans="1:22" ht="15" customHeight="1" x14ac:dyDescent="0.25">
      <c r="A16" s="636">
        <v>9</v>
      </c>
      <c r="B16" s="123" t="str">
        <f>IF(Paramètres!B14=0,"",Paramètres!B14)</f>
        <v/>
      </c>
      <c r="C16" s="691">
        <f t="shared" si="0"/>
        <v>0</v>
      </c>
      <c r="D16" s="630"/>
      <c r="E16" s="630"/>
      <c r="F16" s="709" t="str">
        <f t="shared" si="1"/>
        <v>/</v>
      </c>
      <c r="G16" s="120" t="str">
        <f>IF(I$6="Error","Error",IF(AND($E$6&lt;&gt;"/",$E$6&gt;'Paramètres - Admin'!$A10),'Paramètres - Admin'!$A11,"/"))</f>
        <v>/</v>
      </c>
      <c r="H16" s="441" t="str">
        <f>IF(G16&lt;&gt;"/",VLOOKUP(G16,COSTS_Gold_Mine[#All],2),"/")</f>
        <v>/</v>
      </c>
      <c r="I16" s="101" t="str">
        <f>IF(G16&lt;&gt;"/",VLOOKUP(G16,COSTS_Gold_Mine[#All],3),"/")</f>
        <v>/</v>
      </c>
      <c r="J16" s="441">
        <f t="shared" si="2"/>
        <v>0</v>
      </c>
      <c r="K16" s="629">
        <f t="shared" si="3"/>
        <v>0</v>
      </c>
      <c r="L16" s="143">
        <v>9</v>
      </c>
      <c r="M16" s="123" t="str">
        <f>IF(Paramètres!C14=0,"",Paramètres!C14)</f>
        <v/>
      </c>
      <c r="N16" s="691">
        <f t="shared" si="4"/>
        <v>0</v>
      </c>
      <c r="O16" s="630"/>
      <c r="P16" s="630"/>
      <c r="Q16" s="709" t="str">
        <f t="shared" si="5"/>
        <v>/</v>
      </c>
      <c r="R16" s="120" t="str">
        <f>IF(T$6="Error","Error",IF(AND($P$6&lt;&gt;"/",$P$6&gt;'Paramètres - Admin'!$A10),'Paramètres - Admin'!$A11,"/"))</f>
        <v>/</v>
      </c>
      <c r="S16" s="622" t="str">
        <f>IF(R16&lt;&gt;"/",VLOOKUP(R16,COSTS_Elixir_Collector[#All],2),"/")</f>
        <v>/</v>
      </c>
      <c r="T16" s="101" t="str">
        <f>IF(R16&lt;&gt;"/",VLOOKUP(R16,COSTS_Elixir_Collector[#All],3),"/")</f>
        <v>/</v>
      </c>
      <c r="U16" s="622">
        <f t="shared" si="6"/>
        <v>0</v>
      </c>
      <c r="V16" s="629">
        <f t="shared" si="7"/>
        <v>0</v>
      </c>
    </row>
    <row r="17" spans="1:23" ht="15" customHeight="1" x14ac:dyDescent="0.25">
      <c r="A17" s="636">
        <v>10</v>
      </c>
      <c r="B17" s="123" t="str">
        <f>IF(Paramètres!B15=0,"",Paramètres!B15)</f>
        <v/>
      </c>
      <c r="C17" s="691">
        <f t="shared" si="0"/>
        <v>0</v>
      </c>
      <c r="D17" s="630"/>
      <c r="E17" s="630"/>
      <c r="F17" s="709" t="str">
        <f t="shared" si="1"/>
        <v>/</v>
      </c>
      <c r="G17" s="120" t="str">
        <f>IF(I$6="Error","Error",IF(AND($E$6&lt;&gt;"/",$E$6&gt;'Paramètres - Admin'!$A11),'Paramètres - Admin'!$A12,"/"))</f>
        <v>/</v>
      </c>
      <c r="H17" s="441" t="str">
        <f>IF(G17&lt;&gt;"/",VLOOKUP(G17,COSTS_Gold_Mine[#All],2),"/")</f>
        <v>/</v>
      </c>
      <c r="I17" s="101" t="str">
        <f>IF(G17&lt;&gt;"/",VLOOKUP(G17,COSTS_Gold_Mine[#All],3),"/")</f>
        <v>/</v>
      </c>
      <c r="J17" s="441">
        <f t="shared" si="2"/>
        <v>0</v>
      </c>
      <c r="K17" s="629">
        <f t="shared" si="3"/>
        <v>0</v>
      </c>
      <c r="L17" s="143">
        <v>10</v>
      </c>
      <c r="M17" s="123" t="str">
        <f>IF(Paramètres!C15=0,"",Paramètres!C15)</f>
        <v/>
      </c>
      <c r="N17" s="691">
        <f t="shared" si="4"/>
        <v>0</v>
      </c>
      <c r="O17" s="630"/>
      <c r="P17" s="630"/>
      <c r="Q17" s="709" t="str">
        <f t="shared" si="5"/>
        <v>/</v>
      </c>
      <c r="R17" s="120" t="str">
        <f>IF(T$6="Error","Error",IF(AND($P$6&lt;&gt;"/",$P$6&gt;'Paramètres - Admin'!$A11),'Paramètres - Admin'!$A12,"/"))</f>
        <v>/</v>
      </c>
      <c r="S17" s="622" t="str">
        <f>IF(R17&lt;&gt;"/",VLOOKUP(R17,COSTS_Elixir_Collector[#All],2),"/")</f>
        <v>/</v>
      </c>
      <c r="T17" s="101" t="str">
        <f>IF(R17&lt;&gt;"/",VLOOKUP(R17,COSTS_Elixir_Collector[#All],3),"/")</f>
        <v>/</v>
      </c>
      <c r="U17" s="622">
        <f t="shared" si="6"/>
        <v>0</v>
      </c>
      <c r="V17" s="629">
        <f t="shared" si="7"/>
        <v>0</v>
      </c>
    </row>
    <row r="18" spans="1:23" ht="15" customHeight="1" x14ac:dyDescent="0.25">
      <c r="A18" s="636">
        <v>11</v>
      </c>
      <c r="B18" s="123" t="str">
        <f>IF(Paramètres!B16=0,"",Paramètres!B16)</f>
        <v/>
      </c>
      <c r="C18" s="691">
        <f t="shared" si="0"/>
        <v>0</v>
      </c>
      <c r="D18" s="630"/>
      <c r="E18" s="630"/>
      <c r="F18" s="709" t="str">
        <f t="shared" si="1"/>
        <v>/</v>
      </c>
      <c r="G18" s="120" t="str">
        <f>IF(I$6="Error","Error",IF(AND($E$6&lt;&gt;"/",$E$6&gt;'Paramètres - Admin'!$A12),'Paramètres - Admin'!$A13,"/"))</f>
        <v>/</v>
      </c>
      <c r="H18" s="441" t="str">
        <f>IF(G18&lt;&gt;"/",VLOOKUP(G18,COSTS_Gold_Mine[#All],2),"/")</f>
        <v>/</v>
      </c>
      <c r="I18" s="101" t="str">
        <f>IF(G18&lt;&gt;"/",VLOOKUP(G18,COSTS_Gold_Mine[#All],3),"/")</f>
        <v>/</v>
      </c>
      <c r="J18" s="441">
        <f t="shared" si="2"/>
        <v>0</v>
      </c>
      <c r="K18" s="629">
        <f t="shared" si="3"/>
        <v>0</v>
      </c>
      <c r="L18" s="143">
        <v>11</v>
      </c>
      <c r="M18" s="123" t="str">
        <f>IF(Paramètres!C16=0,"",Paramètres!C16)</f>
        <v/>
      </c>
      <c r="N18" s="691">
        <f>IF(N17&lt;&gt;0,N17+IF(AND(M17&lt;&gt;"",L17&lt;P$6),M17,0),IF(AND(M17&lt;&gt;"",L17&lt;P$6),M17,0))</f>
        <v>0</v>
      </c>
      <c r="O18" s="630"/>
      <c r="P18" s="630"/>
      <c r="Q18" s="709" t="str">
        <f>IF(R18&lt;&gt;"/",IF(T$6="Error","Error",$U$6+N18),"/")</f>
        <v>/</v>
      </c>
      <c r="R18" s="120" t="str">
        <f>IF(T$6="Error","Error",IF(AND($P$6&lt;&gt;"/",$P$6&gt;'Paramètres - Admin'!$A12),'Paramètres - Admin'!$A13,"/"))</f>
        <v>/</v>
      </c>
      <c r="S18" s="622" t="str">
        <f>IF(R18&lt;&gt;"/",VLOOKUP(R18,COSTS_Elixir_Collector[#All],2),"/")</f>
        <v>/</v>
      </c>
      <c r="T18" s="101" t="str">
        <f>IF(R18&lt;&gt;"/",VLOOKUP(R18,COSTS_Elixir_Collector[#All],3),"/")</f>
        <v>/</v>
      </c>
      <c r="U18" s="622">
        <f>IF(T$6="Error","Error",IF(S18&lt;&gt;"/",Q18*S18,0))</f>
        <v>0</v>
      </c>
      <c r="V18" s="629">
        <f>IF(T$6="Error","Error",IF(T18&lt;&gt;"/",Q18*T18,0))</f>
        <v>0</v>
      </c>
    </row>
    <row r="19" spans="1:23" ht="15" customHeight="1" thickBot="1" x14ac:dyDescent="0.3">
      <c r="A19" s="150">
        <v>12</v>
      </c>
      <c r="B19" s="128" t="str">
        <f>IF(Paramètres!B17=0,"",Paramètres!B17)</f>
        <v/>
      </c>
      <c r="C19" s="692">
        <f>IF(C18&lt;&gt;0,C18+IF(AND(B18&lt;&gt;"",A18&lt;E$6),B18,0),IF(AND(B18&lt;&gt;"",A18&lt;E$6),B18,0))</f>
        <v>0</v>
      </c>
      <c r="D19" s="129"/>
      <c r="E19" s="129"/>
      <c r="F19" s="710" t="str">
        <f>IF(G19&lt;&gt;"/",IF(I$6="Error","Error",$J$6+C19),"/")</f>
        <v>/</v>
      </c>
      <c r="G19" s="130" t="str">
        <f>IF(I$6="Error","Error",IF(AND($E$6&lt;&gt;"/",$E$6&gt;'Paramètres - Admin'!$A13),'Paramètres - Admin'!$A14,"/"))</f>
        <v>/</v>
      </c>
      <c r="H19" s="442" t="str">
        <f>IF(G19&lt;&gt;"/",VLOOKUP(G19,COSTS_Gold_Mine[#All],2),"/")</f>
        <v>/</v>
      </c>
      <c r="I19" s="127" t="str">
        <f>IF(G19&lt;&gt;"/",VLOOKUP(G19,COSTS_Gold_Mine[#All],3),"/")</f>
        <v>/</v>
      </c>
      <c r="J19" s="442">
        <f>IF(I$6="Error","Error",IF(H19&lt;&gt;"/",F19*H19,0))</f>
        <v>0</v>
      </c>
      <c r="K19" s="131">
        <f>IF(I$6="Error","Error",IF(I19&lt;&gt;"/",F19*I19,0))</f>
        <v>0</v>
      </c>
      <c r="L19" s="750">
        <v>12</v>
      </c>
      <c r="M19" s="128" t="str">
        <f>IF(Paramètres!C17=0,"",Paramètres!C17)</f>
        <v/>
      </c>
      <c r="N19" s="692">
        <f>IF(N18&lt;&gt;0,N18+IF(AND(M18&lt;&gt;"",L18&lt;P$6),M18,0),IF(AND(M18&lt;&gt;"",L18&lt;P$6),M18,0))</f>
        <v>0</v>
      </c>
      <c r="O19" s="129"/>
      <c r="P19" s="129"/>
      <c r="Q19" s="710" t="str">
        <f>IF(R19&lt;&gt;"/",IF(T$6="Error","Error",$U$6+N19),"/")</f>
        <v>/</v>
      </c>
      <c r="R19" s="130" t="str">
        <f>IF(T$6="Error","Error",IF(AND($P$6&lt;&gt;"/",$P$6&gt;'Paramètres - Admin'!$A13),'Paramètres - Admin'!$A14,"/"))</f>
        <v>/</v>
      </c>
      <c r="S19" s="133" t="str">
        <f>IF(R19&lt;&gt;"/",VLOOKUP(R19,COSTS_Elixir_Collector[#All],2),"/")</f>
        <v>/</v>
      </c>
      <c r="T19" s="127" t="str">
        <f>IF(R19&lt;&gt;"/",VLOOKUP(R19,COSTS_Elixir_Collector[#All],3),"/")</f>
        <v>/</v>
      </c>
      <c r="U19" s="133">
        <f>IF(T$6="Error","Error",IF(S19&lt;&gt;"/",Q19*S19,0))</f>
        <v>0</v>
      </c>
      <c r="V19" s="131">
        <f>IF(T$6="Error","Error",IF(T19&lt;&gt;"/",Q19*T19,0))</f>
        <v>0</v>
      </c>
    </row>
    <row r="20" spans="1:23" ht="15" customHeight="1" thickBot="1" x14ac:dyDescent="0.3">
      <c r="A20" s="1147"/>
      <c r="B20" s="1107"/>
      <c r="C20" s="1107"/>
      <c r="D20" s="1107"/>
      <c r="E20" s="1107"/>
      <c r="F20" s="1107"/>
      <c r="G20" s="1107"/>
      <c r="H20" s="1108"/>
      <c r="I20" s="614" t="s">
        <v>31</v>
      </c>
      <c r="J20" s="443">
        <f>IF(I$6="Error","Error",SUM(J8:J19))</f>
        <v>450</v>
      </c>
      <c r="K20" s="655">
        <f>IF(I$6="Error","Error",SUM(K8:K19))</f>
        <v>9.9999999999999992E-2</v>
      </c>
      <c r="L20" s="1147"/>
      <c r="M20" s="1107"/>
      <c r="N20" s="1107"/>
      <c r="O20" s="1107"/>
      <c r="P20" s="1107"/>
      <c r="Q20" s="1107"/>
      <c r="R20" s="1107"/>
      <c r="S20" s="1108"/>
      <c r="T20" s="614" t="s">
        <v>31</v>
      </c>
      <c r="U20" s="269">
        <f>IF(T$6="Error","Error",SUM(U8:U19))</f>
        <v>450</v>
      </c>
      <c r="V20" s="655">
        <f>IF(T$6="Error","Error",SUM(V8:V19))</f>
        <v>9.9999999999999992E-2</v>
      </c>
      <c r="W20" s="158"/>
    </row>
    <row r="21" spans="1:23" ht="15" customHeight="1" x14ac:dyDescent="0.25">
      <c r="A21" s="1100" t="s">
        <v>211</v>
      </c>
      <c r="B21" s="1101"/>
      <c r="C21" s="1102"/>
      <c r="D21" s="85" t="s">
        <v>38</v>
      </c>
      <c r="E21" s="86" t="s">
        <v>39</v>
      </c>
      <c r="F21" s="255"/>
      <c r="G21" s="88"/>
      <c r="H21" s="89"/>
      <c r="I21" s="615" t="s">
        <v>256</v>
      </c>
      <c r="J21" s="619" t="s">
        <v>362</v>
      </c>
      <c r="K21" s="616" t="s">
        <v>257</v>
      </c>
      <c r="L21" s="1100" t="s">
        <v>453</v>
      </c>
      <c r="M21" s="1101"/>
      <c r="N21" s="1102"/>
      <c r="O21" s="85" t="s">
        <v>38</v>
      </c>
      <c r="P21" s="86" t="s">
        <v>39</v>
      </c>
      <c r="Q21" s="255"/>
      <c r="R21" s="88"/>
      <c r="S21" s="89"/>
      <c r="T21" s="615" t="s">
        <v>256</v>
      </c>
      <c r="U21" s="619" t="s">
        <v>362</v>
      </c>
      <c r="V21" s="616" t="s">
        <v>257</v>
      </c>
      <c r="W21" s="158"/>
    </row>
    <row r="22" spans="1:23" ht="15" customHeight="1" thickBot="1" x14ac:dyDescent="0.3">
      <c r="A22" s="1103"/>
      <c r="B22" s="1104"/>
      <c r="C22" s="1105"/>
      <c r="D22" s="95">
        <f>VLOOKUP($A$2,AVAILABLE_Buildings_Resource[#All],MATCH(A21,AVAILABLE_Buildings_Resource[#Headers],0))</f>
        <v>0</v>
      </c>
      <c r="E22" s="96">
        <f>VLOOKUP($A$2,AVAILABLE_Buildings_Resource[#All],MATCH(A21,AVAILABLE_Buildings_Resource[#Headers],0)+1)</f>
        <v>0</v>
      </c>
      <c r="F22" s="256"/>
      <c r="G22" s="231"/>
      <c r="H22" s="232"/>
      <c r="I22" s="104">
        <f>IF(SUM(B24:B29)&gt;D22,"Error",SUM(B24:B29))</f>
        <v>0</v>
      </c>
      <c r="J22" s="105">
        <f>IF(I$22="Error","Error",D22-I22)</f>
        <v>0</v>
      </c>
      <c r="K22" s="233">
        <f>IF(I$22="Error","Error",SUM(F24:F29))</f>
        <v>0</v>
      </c>
      <c r="L22" s="1103"/>
      <c r="M22" s="1104"/>
      <c r="N22" s="1105"/>
      <c r="O22" s="95">
        <f>VLOOKUP($A$2,AVAILABLE_Buildings_Resource[#All],MATCH(L21,AVAILABLE_Buildings_Resource[#Headers],0))</f>
        <v>1</v>
      </c>
      <c r="P22" s="96">
        <f>VLOOKUP($A$2,AVAILABLE_Buildings_Resource[#All],MATCH(L21,AVAILABLE_Buildings_Resource[#Headers],0)+1)</f>
        <v>1</v>
      </c>
      <c r="Q22" s="256"/>
      <c r="R22" s="231"/>
      <c r="S22" s="232"/>
      <c r="T22" s="95">
        <f>IF(SUM(M24:M34)&gt;O22,"Error",SUM(M24:M34))</f>
        <v>0</v>
      </c>
      <c r="U22" s="264">
        <f>IF(T$22="Error","Error",O22-T22)</f>
        <v>1</v>
      </c>
      <c r="V22" s="265">
        <f>IF(T$22="Error","Error",SUM(Q24:Q34))</f>
        <v>1</v>
      </c>
      <c r="W22" s="158"/>
    </row>
    <row r="23" spans="1:23" ht="15" customHeight="1" thickBot="1" x14ac:dyDescent="0.3">
      <c r="A23" s="625" t="s">
        <v>30</v>
      </c>
      <c r="B23" s="394" t="s">
        <v>29</v>
      </c>
      <c r="C23" s="551"/>
      <c r="D23" s="257"/>
      <c r="E23" s="258"/>
      <c r="F23" s="262" t="s">
        <v>29</v>
      </c>
      <c r="G23" s="263" t="s">
        <v>30</v>
      </c>
      <c r="H23" s="653" t="s">
        <v>258</v>
      </c>
      <c r="I23" s="653" t="s">
        <v>259</v>
      </c>
      <c r="J23" s="653" t="s">
        <v>232</v>
      </c>
      <c r="K23" s="654" t="s">
        <v>233</v>
      </c>
      <c r="L23" s="625" t="s">
        <v>30</v>
      </c>
      <c r="M23" s="394" t="s">
        <v>29</v>
      </c>
      <c r="N23" s="551"/>
      <c r="O23" s="257"/>
      <c r="P23" s="258"/>
      <c r="Q23" s="262" t="s">
        <v>29</v>
      </c>
      <c r="R23" s="263" t="s">
        <v>30</v>
      </c>
      <c r="S23" s="653" t="s">
        <v>258</v>
      </c>
      <c r="T23" s="653" t="s">
        <v>259</v>
      </c>
      <c r="U23" s="653" t="s">
        <v>232</v>
      </c>
      <c r="V23" s="654" t="s">
        <v>233</v>
      </c>
      <c r="W23" s="158"/>
    </row>
    <row r="24" spans="1:23" ht="15" customHeight="1" thickBot="1" x14ac:dyDescent="0.3">
      <c r="A24" s="122">
        <v>1</v>
      </c>
      <c r="B24" s="116" t="str">
        <f>IF(Paramètres!D6=0,"",Paramètres!D6)</f>
        <v/>
      </c>
      <c r="C24" s="711">
        <f>IF(C23&lt;&gt;0,C23+IF(AND(B23&lt;&gt;"",A23&lt;E$22),B23,0),IF(AND(B23&lt;&gt;"",A23&lt;E$22),B23,0))</f>
        <v>0</v>
      </c>
      <c r="D24" s="707"/>
      <c r="E24" s="707"/>
      <c r="F24" s="708" t="str">
        <f t="shared" ref="F24:F29" si="8">IF(G24&lt;&gt;"/",IF(I$22="Error","Error",$J$22+C24),"/")</f>
        <v>/</v>
      </c>
      <c r="G24" s="548" t="str">
        <f>IF(I$22="Error","Error",IF(AND($E$22&lt;&gt;"/",$E$22&gt;'Paramètres - Admin'!$A2),'Paramètres - Admin'!$A3,"/"))</f>
        <v>/</v>
      </c>
      <c r="H24" s="440" t="str">
        <f>IF(G24&lt;&gt;"/",VLOOKUP(G24,COSTS_Dark_Elixir_Drill[#All],2),"/")</f>
        <v>/</v>
      </c>
      <c r="I24" s="549" t="str">
        <f>IF(G24&lt;&gt;"/",VLOOKUP(G24,COSTS_Dark_Elixir_Drill[#All],3),"/")</f>
        <v>/</v>
      </c>
      <c r="J24" s="440">
        <f t="shared" ref="J24:J29" si="9">IF(I$22="Error","Error",IF(H24&lt;&gt;"/",F24*H24,0))</f>
        <v>0</v>
      </c>
      <c r="K24" s="550">
        <f t="shared" ref="K24:K29" si="10">IF(I$22="Error","Error",IF(I24&lt;&gt;"/",F24*I24,0))</f>
        <v>0</v>
      </c>
      <c r="L24" s="122">
        <v>1</v>
      </c>
      <c r="M24" s="116" t="str">
        <f>IF(Paramètres!F6=0,"",Paramètres!F6)</f>
        <v/>
      </c>
      <c r="N24" s="711">
        <f>IF(N23&lt;&gt;0,N23+IF(AND(M23&lt;&gt;"",L23&lt;P$22),M23,0),IF(AND(M23&lt;&gt;"",L23&lt;P$22),M23,0))</f>
        <v>0</v>
      </c>
      <c r="O24" s="707"/>
      <c r="P24" s="707"/>
      <c r="Q24" s="708">
        <f t="shared" ref="Q24:Q34" si="11">IF(R24&lt;&gt;"/",IF(T$22="Error","Error",$U$22+N24),"/")</f>
        <v>1</v>
      </c>
      <c r="R24" s="548">
        <f>IF(T$22="Error","Error",IF(AND($P$22&lt;&gt;"/",$P$22&gt;'Paramètres - Admin'!$A2),'Paramètres - Admin'!$A3,"/"))</f>
        <v>1</v>
      </c>
      <c r="S24" s="93">
        <f>IF(R24&lt;&gt;"/",VLOOKUP(R24,COSTS_Elixir_Storage[#All],2),"/")</f>
        <v>300</v>
      </c>
      <c r="T24" s="549">
        <f>IF(R24&lt;&gt;"/",VLOOKUP(R24,COSTS_Elixir_Storage[#All],3),"/")</f>
        <v>0.25</v>
      </c>
      <c r="U24" s="93">
        <f t="shared" ref="U24:U34" si="12">IF(T$22="Error","Error",IF(S24&lt;&gt;"/",Q24*S24,0))</f>
        <v>300</v>
      </c>
      <c r="V24" s="550">
        <f t="shared" ref="V24:V34" si="13">IF(T$22="Error","Error",IF(T24&lt;&gt;"/",Q24*T24,0))</f>
        <v>0.25</v>
      </c>
    </row>
    <row r="25" spans="1:23" ht="15" customHeight="1" thickBot="1" x14ac:dyDescent="0.3">
      <c r="A25" s="700">
        <v>2</v>
      </c>
      <c r="B25" s="123" t="str">
        <f>IF(Paramètres!D7=0,"",Paramètres!D7)</f>
        <v/>
      </c>
      <c r="C25" s="711">
        <f t="shared" ref="C25:C29" si="14">IF(C24&lt;&gt;0,C24+IF(AND(B24&lt;&gt;"",A24&lt;E$22),B24,0),IF(AND(B24&lt;&gt;"",A24&lt;E$22),B24,0))</f>
        <v>0</v>
      </c>
      <c r="D25" s="630"/>
      <c r="E25" s="630"/>
      <c r="F25" s="709" t="str">
        <f t="shared" si="8"/>
        <v>/</v>
      </c>
      <c r="G25" s="120" t="str">
        <f>IF(I$22="Error","Error",IF(AND($E$22&lt;&gt;"/",$E$22&gt;'Paramètres - Admin'!$A3),'Paramètres - Admin'!$A4,"/"))</f>
        <v>/</v>
      </c>
      <c r="H25" s="441" t="str">
        <f>IF(G25&lt;&gt;"/",VLOOKUP(G25,COSTS_Dark_Elixir_Drill[#All],2),"/")</f>
        <v>/</v>
      </c>
      <c r="I25" s="101" t="str">
        <f>IF(G25&lt;&gt;"/",VLOOKUP(G25,COSTS_Dark_Elixir_Drill[#All],3),"/")</f>
        <v>/</v>
      </c>
      <c r="J25" s="441">
        <f t="shared" si="9"/>
        <v>0</v>
      </c>
      <c r="K25" s="629">
        <f t="shared" si="10"/>
        <v>0</v>
      </c>
      <c r="L25" s="700">
        <v>2</v>
      </c>
      <c r="M25" s="123" t="str">
        <f>IF(Paramètres!F7=0,"",Paramètres!F7)</f>
        <v/>
      </c>
      <c r="N25" s="711">
        <f t="shared" ref="N25:N34" si="15">IF(N24&lt;&gt;0,N24+IF(AND(M24&lt;&gt;"",L24&lt;P$22),M24,0),IF(AND(M24&lt;&gt;"",L24&lt;P$22),M24,0))</f>
        <v>0</v>
      </c>
      <c r="O25" s="630"/>
      <c r="P25" s="630"/>
      <c r="Q25" s="709" t="str">
        <f t="shared" si="11"/>
        <v>/</v>
      </c>
      <c r="R25" s="120" t="str">
        <f>IF(T$22="Error","Error",IF(AND($P$22&lt;&gt;"/",$P$22&gt;'Paramètres - Admin'!$A3),'Paramètres - Admin'!$A4,"/"))</f>
        <v>/</v>
      </c>
      <c r="S25" s="622" t="str">
        <f>IF(R25&lt;&gt;"/",VLOOKUP(R25,COSTS_Elixir_Storage[#All],2),"/")</f>
        <v>/</v>
      </c>
      <c r="T25" s="101" t="str">
        <f>IF(R25&lt;&gt;"/",VLOOKUP(R25,COSTS_Elixir_Storage[#All],3),"/")</f>
        <v>/</v>
      </c>
      <c r="U25" s="622">
        <f t="shared" si="12"/>
        <v>0</v>
      </c>
      <c r="V25" s="629">
        <f t="shared" si="13"/>
        <v>0</v>
      </c>
    </row>
    <row r="26" spans="1:23" ht="15" customHeight="1" thickBot="1" x14ac:dyDescent="0.3">
      <c r="A26" s="700">
        <v>3</v>
      </c>
      <c r="B26" s="123" t="str">
        <f>IF(Paramètres!D8=0,"",Paramètres!D8)</f>
        <v/>
      </c>
      <c r="C26" s="711">
        <f t="shared" si="14"/>
        <v>0</v>
      </c>
      <c r="D26" s="630"/>
      <c r="E26" s="630"/>
      <c r="F26" s="709" t="str">
        <f t="shared" si="8"/>
        <v>/</v>
      </c>
      <c r="G26" s="120" t="str">
        <f>IF(I$22="Error","Error",IF(AND($E$22&lt;&gt;"/",$E$22&gt;'Paramètres - Admin'!$A4),'Paramètres - Admin'!$A5,"/"))</f>
        <v>/</v>
      </c>
      <c r="H26" s="441" t="str">
        <f>IF(G26&lt;&gt;"/",VLOOKUP(G26,COSTS_Dark_Elixir_Drill[#All],2),"/")</f>
        <v>/</v>
      </c>
      <c r="I26" s="101" t="str">
        <f>IF(G26&lt;&gt;"/",VLOOKUP(G26,COSTS_Dark_Elixir_Drill[#All],3),"/")</f>
        <v>/</v>
      </c>
      <c r="J26" s="441">
        <f t="shared" si="9"/>
        <v>0</v>
      </c>
      <c r="K26" s="629">
        <f t="shared" si="10"/>
        <v>0</v>
      </c>
      <c r="L26" s="700">
        <v>3</v>
      </c>
      <c r="M26" s="123" t="str">
        <f>IF(Paramètres!F8=0,"",Paramètres!F8)</f>
        <v/>
      </c>
      <c r="N26" s="711">
        <f t="shared" si="15"/>
        <v>0</v>
      </c>
      <c r="O26" s="630"/>
      <c r="P26" s="630"/>
      <c r="Q26" s="709" t="str">
        <f t="shared" si="11"/>
        <v>/</v>
      </c>
      <c r="R26" s="120" t="str">
        <f>IF(T$22="Error","Error",IF(AND($P$22&lt;&gt;"/",$P$22&gt;'Paramètres - Admin'!$A4),'Paramètres - Admin'!$A5,"/"))</f>
        <v>/</v>
      </c>
      <c r="S26" s="622" t="str">
        <f>IF(R26&lt;&gt;"/",VLOOKUP(R26,COSTS_Elixir_Storage[#All],2),"/")</f>
        <v>/</v>
      </c>
      <c r="T26" s="101" t="str">
        <f>IF(R26&lt;&gt;"/",VLOOKUP(R26,COSTS_Elixir_Storage[#All],3),"/")</f>
        <v>/</v>
      </c>
      <c r="U26" s="622">
        <f t="shared" si="12"/>
        <v>0</v>
      </c>
      <c r="V26" s="629">
        <f t="shared" si="13"/>
        <v>0</v>
      </c>
    </row>
    <row r="27" spans="1:23" ht="15" customHeight="1" thickBot="1" x14ac:dyDescent="0.3">
      <c r="A27" s="700">
        <v>4</v>
      </c>
      <c r="B27" s="123" t="str">
        <f>IF(Paramètres!D9=0,"",Paramètres!D9)</f>
        <v/>
      </c>
      <c r="C27" s="711">
        <f t="shared" si="14"/>
        <v>0</v>
      </c>
      <c r="D27" s="630"/>
      <c r="E27" s="630"/>
      <c r="F27" s="709" t="str">
        <f t="shared" si="8"/>
        <v>/</v>
      </c>
      <c r="G27" s="120" t="str">
        <f>IF(I$22="Error","Error",IF(AND($E$22&lt;&gt;"/",$E$22&gt;'Paramètres - Admin'!$A5),'Paramètres - Admin'!$A6,"/"))</f>
        <v>/</v>
      </c>
      <c r="H27" s="441" t="str">
        <f>IF(G27&lt;&gt;"/",VLOOKUP(G27,COSTS_Dark_Elixir_Drill[#All],2),"/")</f>
        <v>/</v>
      </c>
      <c r="I27" s="101" t="str">
        <f>IF(G27&lt;&gt;"/",VLOOKUP(G27,COSTS_Dark_Elixir_Drill[#All],3),"/")</f>
        <v>/</v>
      </c>
      <c r="J27" s="441">
        <f t="shared" si="9"/>
        <v>0</v>
      </c>
      <c r="K27" s="629">
        <f t="shared" si="10"/>
        <v>0</v>
      </c>
      <c r="L27" s="700">
        <v>4</v>
      </c>
      <c r="M27" s="123" t="str">
        <f>IF(Paramètres!F9=0,"",Paramètres!F9)</f>
        <v/>
      </c>
      <c r="N27" s="711">
        <f t="shared" si="15"/>
        <v>0</v>
      </c>
      <c r="O27" s="630"/>
      <c r="P27" s="630"/>
      <c r="Q27" s="709" t="str">
        <f t="shared" si="11"/>
        <v>/</v>
      </c>
      <c r="R27" s="120" t="str">
        <f>IF(T$22="Error","Error",IF(AND($P$22&lt;&gt;"/",$P$22&gt;'Paramètres - Admin'!$A5),'Paramètres - Admin'!$A6,"/"))</f>
        <v>/</v>
      </c>
      <c r="S27" s="622" t="str">
        <f>IF(R27&lt;&gt;"/",VLOOKUP(R27,COSTS_Elixir_Storage[#All],2),"/")</f>
        <v>/</v>
      </c>
      <c r="T27" s="101" t="str">
        <f>IF(R27&lt;&gt;"/",VLOOKUP(R27,COSTS_Elixir_Storage[#All],3),"/")</f>
        <v>/</v>
      </c>
      <c r="U27" s="622">
        <f t="shared" si="12"/>
        <v>0</v>
      </c>
      <c r="V27" s="629">
        <f t="shared" si="13"/>
        <v>0</v>
      </c>
    </row>
    <row r="28" spans="1:23" ht="15" customHeight="1" thickBot="1" x14ac:dyDescent="0.3">
      <c r="A28" s="700">
        <v>5</v>
      </c>
      <c r="B28" s="123" t="str">
        <f>IF(Paramètres!D10=0,"",Paramètres!D10)</f>
        <v/>
      </c>
      <c r="C28" s="711">
        <f t="shared" si="14"/>
        <v>0</v>
      </c>
      <c r="D28" s="630"/>
      <c r="E28" s="630"/>
      <c r="F28" s="709" t="str">
        <f t="shared" si="8"/>
        <v>/</v>
      </c>
      <c r="G28" s="120" t="str">
        <f>IF(I$22="Error","Error",IF(AND($E$22&lt;&gt;"/",$E$22&gt;'Paramètres - Admin'!$A6),'Paramètres - Admin'!$A7,"/"))</f>
        <v>/</v>
      </c>
      <c r="H28" s="441" t="str">
        <f>IF(G28&lt;&gt;"/",VLOOKUP(G28,COSTS_Dark_Elixir_Drill[#All],2),"/")</f>
        <v>/</v>
      </c>
      <c r="I28" s="101" t="str">
        <f>IF(G28&lt;&gt;"/",VLOOKUP(G28,COSTS_Dark_Elixir_Drill[#All],3),"/")</f>
        <v>/</v>
      </c>
      <c r="J28" s="441">
        <f t="shared" si="9"/>
        <v>0</v>
      </c>
      <c r="K28" s="629">
        <f t="shared" si="10"/>
        <v>0</v>
      </c>
      <c r="L28" s="700">
        <v>5</v>
      </c>
      <c r="M28" s="123" t="str">
        <f>IF(Paramètres!F10=0,"",Paramètres!F10)</f>
        <v/>
      </c>
      <c r="N28" s="711">
        <f t="shared" si="15"/>
        <v>0</v>
      </c>
      <c r="O28" s="630"/>
      <c r="P28" s="630"/>
      <c r="Q28" s="709" t="str">
        <f t="shared" si="11"/>
        <v>/</v>
      </c>
      <c r="R28" s="120" t="str">
        <f>IF(T$22="Error","Error",IF(AND($P$22&lt;&gt;"/",$P$22&gt;'Paramètres - Admin'!$A6),'Paramètres - Admin'!$A7,"/"))</f>
        <v>/</v>
      </c>
      <c r="S28" s="622" t="str">
        <f>IF(R28&lt;&gt;"/",VLOOKUP(R28,COSTS_Elixir_Storage[#All],2),"/")</f>
        <v>/</v>
      </c>
      <c r="T28" s="101" t="str">
        <f>IF(R28&lt;&gt;"/",VLOOKUP(R28,COSTS_Elixir_Storage[#All],3),"/")</f>
        <v>/</v>
      </c>
      <c r="U28" s="622">
        <f t="shared" si="12"/>
        <v>0</v>
      </c>
      <c r="V28" s="629">
        <f t="shared" si="13"/>
        <v>0</v>
      </c>
    </row>
    <row r="29" spans="1:23" ht="15" customHeight="1" thickBot="1" x14ac:dyDescent="0.3">
      <c r="A29" s="701">
        <v>6</v>
      </c>
      <c r="B29" s="128" t="str">
        <f>IF(Paramètres!D11=0,"",Paramètres!D11)</f>
        <v/>
      </c>
      <c r="C29" s="711">
        <f t="shared" si="14"/>
        <v>0</v>
      </c>
      <c r="D29" s="129"/>
      <c r="E29" s="129"/>
      <c r="F29" s="710" t="str">
        <f t="shared" si="8"/>
        <v>/</v>
      </c>
      <c r="G29" s="130" t="str">
        <f>IF(I$22="Error","Error",IF(AND($E$22&lt;&gt;"/",$E$22&gt;'Paramètres - Admin'!$A7),'Paramètres - Admin'!$A8,"/"))</f>
        <v>/</v>
      </c>
      <c r="H29" s="442" t="str">
        <f>IF(G29&lt;&gt;"/",VLOOKUP(G29,COSTS_Dark_Elixir_Drill[#All],2),"/")</f>
        <v>/</v>
      </c>
      <c r="I29" s="722" t="str">
        <f>IF(G29&lt;&gt;"/",VLOOKUP(G29,COSTS_Dark_Elixir_Drill[#All],3),"/")</f>
        <v>/</v>
      </c>
      <c r="J29" s="450">
        <f t="shared" si="9"/>
        <v>0</v>
      </c>
      <c r="K29" s="723">
        <f t="shared" si="10"/>
        <v>0</v>
      </c>
      <c r="L29" s="700">
        <v>6</v>
      </c>
      <c r="M29" s="123" t="str">
        <f>IF(Paramètres!F11=0,"",Paramètres!F11)</f>
        <v/>
      </c>
      <c r="N29" s="711">
        <f t="shared" si="15"/>
        <v>0</v>
      </c>
      <c r="O29" s="630"/>
      <c r="P29" s="630"/>
      <c r="Q29" s="709" t="str">
        <f t="shared" si="11"/>
        <v>/</v>
      </c>
      <c r="R29" s="120" t="str">
        <f>IF(T$22="Error","Error",IF(AND($P$22&lt;&gt;"/",$P$22&gt;'Paramètres - Admin'!$A7),'Paramètres - Admin'!$A8,"/"))</f>
        <v>/</v>
      </c>
      <c r="S29" s="622" t="str">
        <f>IF(R29&lt;&gt;"/",VLOOKUP(R29,COSTS_Elixir_Storage[#All],2),"/")</f>
        <v>/</v>
      </c>
      <c r="T29" s="101" t="str">
        <f>IF(R29&lt;&gt;"/",VLOOKUP(R29,COSTS_Elixir_Storage[#All],3),"/")</f>
        <v>/</v>
      </c>
      <c r="U29" s="622">
        <f t="shared" si="12"/>
        <v>0</v>
      </c>
      <c r="V29" s="629">
        <f t="shared" si="13"/>
        <v>0</v>
      </c>
    </row>
    <row r="30" spans="1:23" ht="15" customHeight="1" thickBot="1" x14ac:dyDescent="0.3">
      <c r="A30" s="1106"/>
      <c r="B30" s="1107"/>
      <c r="C30" s="1107"/>
      <c r="D30" s="1107"/>
      <c r="E30" s="1107"/>
      <c r="F30" s="1107"/>
      <c r="G30" s="1107"/>
      <c r="H30" s="1108"/>
      <c r="I30" s="329" t="s">
        <v>31</v>
      </c>
      <c r="J30" s="452">
        <f>IF(I$22="Error","Error",SUM(J24:J29))</f>
        <v>0</v>
      </c>
      <c r="K30" s="727">
        <f>IF(I$22="Error","Error",SUM(K24:K29))</f>
        <v>0</v>
      </c>
      <c r="L30" s="700">
        <v>7</v>
      </c>
      <c r="M30" s="123" t="str">
        <f>IF(Paramètres!F12=0,"",Paramètres!F12)</f>
        <v/>
      </c>
      <c r="N30" s="711">
        <f t="shared" si="15"/>
        <v>0</v>
      </c>
      <c r="O30" s="630"/>
      <c r="P30" s="630"/>
      <c r="Q30" s="709" t="str">
        <f t="shared" si="11"/>
        <v>/</v>
      </c>
      <c r="R30" s="120" t="str">
        <f>IF(T$22="Error","Error",IF(AND($P$22&lt;&gt;"/",$P$22&gt;'Paramètres - Admin'!$A8),'Paramètres - Admin'!$A9,"/"))</f>
        <v>/</v>
      </c>
      <c r="S30" s="622" t="str">
        <f>IF(R30&lt;&gt;"/",VLOOKUP(R30,COSTS_Elixir_Storage[#All],2),"/")</f>
        <v>/</v>
      </c>
      <c r="T30" s="101" t="str">
        <f>IF(R30&lt;&gt;"/",VLOOKUP(R30,COSTS_Elixir_Storage[#All],3),"/")</f>
        <v>/</v>
      </c>
      <c r="U30" s="622">
        <f t="shared" si="12"/>
        <v>0</v>
      </c>
      <c r="V30" s="629">
        <f t="shared" si="13"/>
        <v>0</v>
      </c>
    </row>
    <row r="31" spans="1:23" ht="15" customHeight="1" thickBot="1" x14ac:dyDescent="0.3">
      <c r="A31" s="1100" t="s">
        <v>212</v>
      </c>
      <c r="B31" s="1101"/>
      <c r="C31" s="1102"/>
      <c r="D31" s="85" t="s">
        <v>38</v>
      </c>
      <c r="E31" s="86" t="s">
        <v>39</v>
      </c>
      <c r="F31" s="255"/>
      <c r="G31" s="88"/>
      <c r="H31" s="89"/>
      <c r="I31" s="615" t="s">
        <v>256</v>
      </c>
      <c r="J31" s="619" t="s">
        <v>362</v>
      </c>
      <c r="K31" s="616" t="s">
        <v>257</v>
      </c>
      <c r="L31" s="700">
        <v>8</v>
      </c>
      <c r="M31" s="123" t="str">
        <f>IF(Paramètres!F13=0,"",Paramètres!F13)</f>
        <v/>
      </c>
      <c r="N31" s="711">
        <f t="shared" si="15"/>
        <v>0</v>
      </c>
      <c r="O31" s="630"/>
      <c r="P31" s="630"/>
      <c r="Q31" s="709" t="str">
        <f t="shared" si="11"/>
        <v>/</v>
      </c>
      <c r="R31" s="120" t="str">
        <f>IF(T$22="Error","Error",IF(AND($P$22&lt;&gt;"/",$P$22&gt;'Paramètres - Admin'!$A9),'Paramètres - Admin'!$A10,"/"))</f>
        <v>/</v>
      </c>
      <c r="S31" s="622" t="str">
        <f>IF(R31&lt;&gt;"/",VLOOKUP(R31,COSTS_Elixir_Storage[#All],2),"/")</f>
        <v>/</v>
      </c>
      <c r="T31" s="101" t="str">
        <f>IF(R31&lt;&gt;"/",VLOOKUP(R31,COSTS_Elixir_Storage[#All],3),"/")</f>
        <v>/</v>
      </c>
      <c r="U31" s="622">
        <f t="shared" si="12"/>
        <v>0</v>
      </c>
      <c r="V31" s="629">
        <f t="shared" si="13"/>
        <v>0</v>
      </c>
    </row>
    <row r="32" spans="1:23" ht="15" customHeight="1" thickBot="1" x14ac:dyDescent="0.3">
      <c r="A32" s="1103"/>
      <c r="B32" s="1104"/>
      <c r="C32" s="1105"/>
      <c r="D32" s="95">
        <f>VLOOKUP($A$2,AVAILABLE_Buildings_Resource[#All],MATCH(A31,AVAILABLE_Buildings_Resource[#Headers],0))</f>
        <v>1</v>
      </c>
      <c r="E32" s="96">
        <f>VLOOKUP($A$2,AVAILABLE_Buildings_Resource[#All],MATCH(A31,AVAILABLE_Buildings_Resource[#Headers],0)+1)</f>
        <v>1</v>
      </c>
      <c r="F32" s="256"/>
      <c r="G32" s="231"/>
      <c r="H32" s="232"/>
      <c r="I32" s="104">
        <f>IF(SUM(B34:B44)&gt;D32,"Error",SUM(B34:B44))</f>
        <v>0</v>
      </c>
      <c r="J32" s="105">
        <f>IF(I$32="Error","Error",D32-I32)</f>
        <v>1</v>
      </c>
      <c r="K32" s="233">
        <f>IF(I$32="Error","Error",SUM(F34:F44))</f>
        <v>1</v>
      </c>
      <c r="L32" s="700">
        <v>9</v>
      </c>
      <c r="M32" s="123" t="str">
        <f>IF(Paramètres!F14=0,"",Paramètres!F14)</f>
        <v/>
      </c>
      <c r="N32" s="711">
        <f t="shared" si="15"/>
        <v>0</v>
      </c>
      <c r="O32" s="630"/>
      <c r="P32" s="630"/>
      <c r="Q32" s="709" t="str">
        <f t="shared" si="11"/>
        <v>/</v>
      </c>
      <c r="R32" s="120" t="str">
        <f>IF(T$22="Error","Error",IF(AND($P$22&lt;&gt;"/",$P$22&gt;'Paramètres - Admin'!$A10),'Paramètres - Admin'!$A11,"/"))</f>
        <v>/</v>
      </c>
      <c r="S32" s="622" t="str">
        <f>IF(R32&lt;&gt;"/",VLOOKUP(R32,COSTS_Elixir_Storage[#All],2),"/")</f>
        <v>/</v>
      </c>
      <c r="T32" s="101" t="str">
        <f>IF(R32&lt;&gt;"/",VLOOKUP(R32,COSTS_Elixir_Storage[#All],3),"/")</f>
        <v>/</v>
      </c>
      <c r="U32" s="622">
        <f t="shared" si="12"/>
        <v>0</v>
      </c>
      <c r="V32" s="629">
        <f t="shared" si="13"/>
        <v>0</v>
      </c>
    </row>
    <row r="33" spans="1:22" ht="15" customHeight="1" thickBot="1" x14ac:dyDescent="0.3">
      <c r="A33" s="625" t="s">
        <v>30</v>
      </c>
      <c r="B33" s="394" t="s">
        <v>29</v>
      </c>
      <c r="C33" s="551"/>
      <c r="D33" s="257"/>
      <c r="E33" s="258"/>
      <c r="F33" s="262" t="s">
        <v>29</v>
      </c>
      <c r="G33" s="263" t="s">
        <v>30</v>
      </c>
      <c r="H33" s="653" t="s">
        <v>258</v>
      </c>
      <c r="I33" s="653" t="s">
        <v>259</v>
      </c>
      <c r="J33" s="653" t="s">
        <v>232</v>
      </c>
      <c r="K33" s="654" t="s">
        <v>233</v>
      </c>
      <c r="L33" s="700">
        <v>10</v>
      </c>
      <c r="M33" s="123" t="str">
        <f>IF(Paramètres!F15=0,"",Paramètres!F15)</f>
        <v/>
      </c>
      <c r="N33" s="711">
        <f t="shared" si="15"/>
        <v>0</v>
      </c>
      <c r="O33" s="630"/>
      <c r="P33" s="630"/>
      <c r="Q33" s="709" t="str">
        <f t="shared" si="11"/>
        <v>/</v>
      </c>
      <c r="R33" s="120" t="str">
        <f>IF(T$22="Error","Error",IF(AND($P$22&lt;&gt;"/",$P$22&gt;'Paramètres - Admin'!$A11),'Paramètres - Admin'!$A12,"/"))</f>
        <v>/</v>
      </c>
      <c r="S33" s="622" t="str">
        <f>IF(R33&lt;&gt;"/",VLOOKUP(R33,COSTS_Elixir_Storage[#All],2),"/")</f>
        <v>/</v>
      </c>
      <c r="T33" s="101" t="str">
        <f>IF(R33&lt;&gt;"/",VLOOKUP(R33,COSTS_Elixir_Storage[#All],3),"/")</f>
        <v>/</v>
      </c>
      <c r="U33" s="622">
        <f t="shared" si="12"/>
        <v>0</v>
      </c>
      <c r="V33" s="629">
        <f t="shared" si="13"/>
        <v>0</v>
      </c>
    </row>
    <row r="34" spans="1:22" ht="15" customHeight="1" thickBot="1" x14ac:dyDescent="0.3">
      <c r="A34" s="122">
        <v>1</v>
      </c>
      <c r="B34" s="116" t="str">
        <f>IF(Paramètres!E6=0,"",Paramètres!E6)</f>
        <v/>
      </c>
      <c r="C34" s="711">
        <f>IF(C33&lt;&gt;0,C33+IF(AND(B33&lt;&gt;"",A33&lt;E$32),B33,0),IF(AND(B33&lt;&gt;"",A33&lt;E$32),B33,0))</f>
        <v>0</v>
      </c>
      <c r="D34" s="707"/>
      <c r="E34" s="707"/>
      <c r="F34" s="708">
        <f t="shared" ref="F34:F44" si="16">IF(G34&lt;&gt;"/",IF(I$32="Error","Error",$J$32+C34),"/")</f>
        <v>1</v>
      </c>
      <c r="G34" s="548">
        <f>IF(I$32="Error","Error",IF(AND($E$32&lt;&gt;"/",$E$32&gt;'Paramètres - Admin'!$A2),'Paramètres - Admin'!$A3,"/"))</f>
        <v>1</v>
      </c>
      <c r="H34" s="440">
        <f>IF(G34&lt;&gt;"/",VLOOKUP(G34,COSTS_Gold_Storage[#All],2),"/")</f>
        <v>300</v>
      </c>
      <c r="I34" s="549">
        <f>IF(G34&lt;&gt;"/",VLOOKUP(G34,COSTS_Gold_Storage[#All],3),"/")</f>
        <v>0.25</v>
      </c>
      <c r="J34" s="440">
        <f t="shared" ref="J34:J44" si="17">IF(I$32="Error","Error",IF(H34&lt;&gt;"/",F34*H34,0))</f>
        <v>300</v>
      </c>
      <c r="K34" s="550">
        <f t="shared" ref="K34:K44" si="18">IF(I$32="Error","Error",IF(I34&lt;&gt;"/",F34*I34,0))</f>
        <v>0.25</v>
      </c>
      <c r="L34" s="701">
        <v>11</v>
      </c>
      <c r="M34" s="128" t="str">
        <f>IF(Paramètres!F16=0,"",Paramètres!F16)</f>
        <v/>
      </c>
      <c r="N34" s="711">
        <f t="shared" si="15"/>
        <v>0</v>
      </c>
      <c r="O34" s="129"/>
      <c r="P34" s="129"/>
      <c r="Q34" s="710" t="str">
        <f t="shared" si="11"/>
        <v>/</v>
      </c>
      <c r="R34" s="130" t="str">
        <f>IF(T$22="Error","Error",IF(AND($P$22&lt;&gt;"/",$P$22&gt;'Paramètres - Admin'!$A12),'Paramètres - Admin'!$A13,"/"))</f>
        <v>/</v>
      </c>
      <c r="S34" s="133" t="str">
        <f>IF(R34&lt;&gt;"/",VLOOKUP(R34,COSTS_Elixir_Storage[#All],2),"/")</f>
        <v>/</v>
      </c>
      <c r="T34" s="722" t="str">
        <f>IF(R34&lt;&gt;"/",VLOOKUP(R34,COSTS_Elixir_Storage[#All],3),"/")</f>
        <v>/</v>
      </c>
      <c r="U34" s="106">
        <f t="shared" si="12"/>
        <v>0</v>
      </c>
      <c r="V34" s="723">
        <f t="shared" si="13"/>
        <v>0</v>
      </c>
    </row>
    <row r="35" spans="1:22" ht="15" customHeight="1" thickBot="1" x14ac:dyDescent="0.3">
      <c r="A35" s="700">
        <v>2</v>
      </c>
      <c r="B35" s="123" t="str">
        <f>IF(Paramètres!E7=0,"",Paramètres!E7)</f>
        <v/>
      </c>
      <c r="C35" s="711">
        <f t="shared" ref="C35:C44" si="19">IF(C34&lt;&gt;0,C34+IF(AND(B34&lt;&gt;"",A34&lt;E$32),B34,0),IF(AND(B34&lt;&gt;"",A34&lt;E$32),B34,0))</f>
        <v>0</v>
      </c>
      <c r="D35" s="630"/>
      <c r="E35" s="630"/>
      <c r="F35" s="709" t="str">
        <f t="shared" si="16"/>
        <v>/</v>
      </c>
      <c r="G35" s="120" t="str">
        <f>IF(I$32="Error","Error",IF(AND($E$32&lt;&gt;"/",$E$32&gt;'Paramètres - Admin'!$A3),'Paramètres - Admin'!$A4,"/"))</f>
        <v>/</v>
      </c>
      <c r="H35" s="441" t="str">
        <f>IF(G35&lt;&gt;"/",VLOOKUP(G35,COSTS_Gold_Storage[#All],2),"/")</f>
        <v>/</v>
      </c>
      <c r="I35" s="101" t="str">
        <f>IF(G35&lt;&gt;"/",VLOOKUP(G35,COSTS_Gold_Storage[#All],3),"/")</f>
        <v>/</v>
      </c>
      <c r="J35" s="441">
        <f t="shared" si="17"/>
        <v>0</v>
      </c>
      <c r="K35" s="629">
        <f t="shared" si="18"/>
        <v>0</v>
      </c>
      <c r="L35" s="1106"/>
      <c r="M35" s="1107"/>
      <c r="N35" s="1107"/>
      <c r="O35" s="1107"/>
      <c r="P35" s="1107"/>
      <c r="Q35" s="1107"/>
      <c r="R35" s="1107"/>
      <c r="S35" s="1108"/>
      <c r="T35" s="329" t="s">
        <v>31</v>
      </c>
      <c r="U35" s="113">
        <f>IF(T$22="Error","Error",SUM(U24:U34))</f>
        <v>300</v>
      </c>
      <c r="V35" s="727">
        <f>IF(T$22="Error","Error",SUM(V24:V34))</f>
        <v>0.25</v>
      </c>
    </row>
    <row r="36" spans="1:22" ht="15" customHeight="1" thickBot="1" x14ac:dyDescent="0.3">
      <c r="A36" s="700">
        <v>3</v>
      </c>
      <c r="B36" s="123" t="str">
        <f>IF(Paramètres!E8=0,"",Paramètres!E8)</f>
        <v/>
      </c>
      <c r="C36" s="711">
        <f t="shared" si="19"/>
        <v>0</v>
      </c>
      <c r="D36" s="630"/>
      <c r="E36" s="630"/>
      <c r="F36" s="709" t="str">
        <f t="shared" si="16"/>
        <v>/</v>
      </c>
      <c r="G36" s="120" t="str">
        <f>IF(I$32="Error","Error",IF(AND($E$32&lt;&gt;"/",$E$32&gt;'Paramètres - Admin'!$A4),'Paramètres - Admin'!$A5,"/"))</f>
        <v>/</v>
      </c>
      <c r="H36" s="441" t="str">
        <f>IF(G36&lt;&gt;"/",VLOOKUP(G36,COSTS_Gold_Storage[#All],2),"/")</f>
        <v>/</v>
      </c>
      <c r="I36" s="101" t="str">
        <f>IF(G36&lt;&gt;"/",VLOOKUP(G36,COSTS_Gold_Storage[#All],3),"/")</f>
        <v>/</v>
      </c>
      <c r="J36" s="441">
        <f t="shared" si="17"/>
        <v>0</v>
      </c>
      <c r="K36" s="629">
        <f t="shared" si="18"/>
        <v>0</v>
      </c>
    </row>
    <row r="37" spans="1:22" ht="15" customHeight="1" thickBot="1" x14ac:dyDescent="0.3">
      <c r="A37" s="700">
        <v>4</v>
      </c>
      <c r="B37" s="123" t="str">
        <f>IF(Paramètres!E9=0,"",Paramètres!E9)</f>
        <v/>
      </c>
      <c r="C37" s="711">
        <f t="shared" si="19"/>
        <v>0</v>
      </c>
      <c r="D37" s="630"/>
      <c r="E37" s="630"/>
      <c r="F37" s="709" t="str">
        <f t="shared" si="16"/>
        <v>/</v>
      </c>
      <c r="G37" s="120" t="str">
        <f>IF(I$32="Error","Error",IF(AND($E$32&lt;&gt;"/",$E$32&gt;'Paramètres - Admin'!$A5),'Paramètres - Admin'!$A6,"/"))</f>
        <v>/</v>
      </c>
      <c r="H37" s="441" t="str">
        <f>IF(G37&lt;&gt;"/",VLOOKUP(G37,COSTS_Gold_Storage[#All],2),"/")</f>
        <v>/</v>
      </c>
      <c r="I37" s="101" t="str">
        <f>IF(G37&lt;&gt;"/",VLOOKUP(G37,COSTS_Gold_Storage[#All],3),"/")</f>
        <v>/</v>
      </c>
      <c r="J37" s="441">
        <f t="shared" si="17"/>
        <v>0</v>
      </c>
      <c r="K37" s="629">
        <f t="shared" si="18"/>
        <v>0</v>
      </c>
    </row>
    <row r="38" spans="1:22" ht="15" customHeight="1" thickBot="1" x14ac:dyDescent="0.3">
      <c r="A38" s="700">
        <v>5</v>
      </c>
      <c r="B38" s="123" t="str">
        <f>IF(Paramètres!E10=0,"",Paramètres!E10)</f>
        <v/>
      </c>
      <c r="C38" s="711">
        <f t="shared" si="19"/>
        <v>0</v>
      </c>
      <c r="D38" s="630"/>
      <c r="E38" s="630"/>
      <c r="F38" s="709" t="str">
        <f t="shared" si="16"/>
        <v>/</v>
      </c>
      <c r="G38" s="120" t="str">
        <f>IF(I$32="Error","Error",IF(AND($E$32&lt;&gt;"/",$E$32&gt;'Paramètres - Admin'!$A6),'Paramètres - Admin'!$A7,"/"))</f>
        <v>/</v>
      </c>
      <c r="H38" s="441" t="str">
        <f>IF(G38&lt;&gt;"/",VLOOKUP(G38,COSTS_Gold_Storage[#All],2),"/")</f>
        <v>/</v>
      </c>
      <c r="I38" s="101" t="str">
        <f>IF(G38&lt;&gt;"/",VLOOKUP(G38,COSTS_Gold_Storage[#All],3),"/")</f>
        <v>/</v>
      </c>
      <c r="J38" s="441">
        <f t="shared" si="17"/>
        <v>0</v>
      </c>
      <c r="K38" s="629">
        <f t="shared" si="18"/>
        <v>0</v>
      </c>
    </row>
    <row r="39" spans="1:22" ht="15" customHeight="1" thickBot="1" x14ac:dyDescent="0.3">
      <c r="A39" s="700">
        <v>6</v>
      </c>
      <c r="B39" s="123" t="str">
        <f>IF(Paramètres!E11=0,"",Paramètres!E11)</f>
        <v/>
      </c>
      <c r="C39" s="711">
        <f t="shared" si="19"/>
        <v>0</v>
      </c>
      <c r="D39" s="630"/>
      <c r="E39" s="630"/>
      <c r="F39" s="709" t="str">
        <f t="shared" si="16"/>
        <v>/</v>
      </c>
      <c r="G39" s="120" t="str">
        <f>IF(I$32="Error","Error",IF(AND($E$32&lt;&gt;"/",$E$32&gt;'Paramètres - Admin'!$A7),'Paramètres - Admin'!$A8,"/"))</f>
        <v>/</v>
      </c>
      <c r="H39" s="441" t="str">
        <f>IF(G39&lt;&gt;"/",VLOOKUP(G39,COSTS_Gold_Storage[#All],2),"/")</f>
        <v>/</v>
      </c>
      <c r="I39" s="101" t="str">
        <f>IF(G39&lt;&gt;"/",VLOOKUP(G39,COSTS_Gold_Storage[#All],3),"/")</f>
        <v>/</v>
      </c>
      <c r="J39" s="441">
        <f t="shared" si="17"/>
        <v>0</v>
      </c>
      <c r="K39" s="629">
        <f t="shared" si="18"/>
        <v>0</v>
      </c>
    </row>
    <row r="40" spans="1:22" ht="15" customHeight="1" thickBot="1" x14ac:dyDescent="0.3">
      <c r="A40" s="700">
        <v>7</v>
      </c>
      <c r="B40" s="123" t="str">
        <f>IF(Paramètres!E12=0,"",Paramètres!E12)</f>
        <v/>
      </c>
      <c r="C40" s="711">
        <f t="shared" si="19"/>
        <v>0</v>
      </c>
      <c r="D40" s="630"/>
      <c r="E40" s="630"/>
      <c r="F40" s="709" t="str">
        <f t="shared" si="16"/>
        <v>/</v>
      </c>
      <c r="G40" s="120" t="str">
        <f>IF(I$32="Error","Error",IF(AND($E$32&lt;&gt;"/",$E$32&gt;'Paramètres - Admin'!$A8),'Paramètres - Admin'!$A9,"/"))</f>
        <v>/</v>
      </c>
      <c r="H40" s="441" t="str">
        <f>IF(G40&lt;&gt;"/",VLOOKUP(G40,COSTS_Gold_Storage[#All],2),"/")</f>
        <v>/</v>
      </c>
      <c r="I40" s="101" t="str">
        <f>IF(G40&lt;&gt;"/",VLOOKUP(G40,COSTS_Gold_Storage[#All],3),"/")</f>
        <v>/</v>
      </c>
      <c r="J40" s="441">
        <f t="shared" si="17"/>
        <v>0</v>
      </c>
      <c r="K40" s="629">
        <f t="shared" si="18"/>
        <v>0</v>
      </c>
    </row>
    <row r="41" spans="1:22" ht="15" customHeight="1" thickBot="1" x14ac:dyDescent="0.3">
      <c r="A41" s="700">
        <v>8</v>
      </c>
      <c r="B41" s="123" t="str">
        <f>IF(Paramètres!E13=0,"",Paramètres!E13)</f>
        <v/>
      </c>
      <c r="C41" s="711">
        <f t="shared" si="19"/>
        <v>0</v>
      </c>
      <c r="D41" s="630"/>
      <c r="E41" s="630"/>
      <c r="F41" s="709" t="str">
        <f t="shared" si="16"/>
        <v>/</v>
      </c>
      <c r="G41" s="120" t="str">
        <f>IF(I$32="Error","Error",IF(AND($E$32&lt;&gt;"/",$E$32&gt;'Paramètres - Admin'!$A9),'Paramètres - Admin'!$A10,"/"))</f>
        <v>/</v>
      </c>
      <c r="H41" s="441" t="str">
        <f>IF(G41&lt;&gt;"/",VLOOKUP(G41,COSTS_Gold_Storage[#All],2),"/")</f>
        <v>/</v>
      </c>
      <c r="I41" s="101" t="str">
        <f>IF(G41&lt;&gt;"/",VLOOKUP(G41,COSTS_Gold_Storage[#All],3),"/")</f>
        <v>/</v>
      </c>
      <c r="J41" s="441">
        <f t="shared" si="17"/>
        <v>0</v>
      </c>
      <c r="K41" s="629">
        <f t="shared" si="18"/>
        <v>0</v>
      </c>
    </row>
    <row r="42" spans="1:22" ht="15" customHeight="1" thickBot="1" x14ac:dyDescent="0.3">
      <c r="A42" s="700">
        <v>9</v>
      </c>
      <c r="B42" s="123" t="str">
        <f>IF(Paramètres!E14=0,"",Paramètres!E14)</f>
        <v/>
      </c>
      <c r="C42" s="711">
        <f t="shared" si="19"/>
        <v>0</v>
      </c>
      <c r="D42" s="630"/>
      <c r="E42" s="630"/>
      <c r="F42" s="709" t="str">
        <f t="shared" si="16"/>
        <v>/</v>
      </c>
      <c r="G42" s="120" t="str">
        <f>IF(I$32="Error","Error",IF(AND($E$32&lt;&gt;"/",$E$32&gt;'Paramètres - Admin'!$A10),'Paramètres - Admin'!$A11,"/"))</f>
        <v>/</v>
      </c>
      <c r="H42" s="441" t="str">
        <f>IF(G42&lt;&gt;"/",VLOOKUP(G42,COSTS_Gold_Storage[#All],2),"/")</f>
        <v>/</v>
      </c>
      <c r="I42" s="101" t="str">
        <f>IF(G42&lt;&gt;"/",VLOOKUP(G42,COSTS_Gold_Storage[#All],3),"/")</f>
        <v>/</v>
      </c>
      <c r="J42" s="441">
        <f t="shared" si="17"/>
        <v>0</v>
      </c>
      <c r="K42" s="629">
        <f t="shared" si="18"/>
        <v>0</v>
      </c>
    </row>
    <row r="43" spans="1:22" ht="15" customHeight="1" thickBot="1" x14ac:dyDescent="0.3">
      <c r="A43" s="700">
        <v>10</v>
      </c>
      <c r="B43" s="123" t="str">
        <f>IF(Paramètres!E15=0,"",Paramètres!E15)</f>
        <v/>
      </c>
      <c r="C43" s="711">
        <f t="shared" si="19"/>
        <v>0</v>
      </c>
      <c r="D43" s="630"/>
      <c r="E43" s="630"/>
      <c r="F43" s="709" t="str">
        <f t="shared" si="16"/>
        <v>/</v>
      </c>
      <c r="G43" s="120" t="str">
        <f>IF(I$32="Error","Error",IF(AND($E$32&lt;&gt;"/",$E$32&gt;'Paramètres - Admin'!$A11),'Paramètres - Admin'!$A12,"/"))</f>
        <v>/</v>
      </c>
      <c r="H43" s="441" t="str">
        <f>IF(G43&lt;&gt;"/",VLOOKUP(G43,COSTS_Gold_Storage[#All],2),"/")</f>
        <v>/</v>
      </c>
      <c r="I43" s="101" t="str">
        <f>IF(G43&lt;&gt;"/",VLOOKUP(G43,COSTS_Gold_Storage[#All],3),"/")</f>
        <v>/</v>
      </c>
      <c r="J43" s="441">
        <f t="shared" si="17"/>
        <v>0</v>
      </c>
      <c r="K43" s="629">
        <f t="shared" si="18"/>
        <v>0</v>
      </c>
    </row>
    <row r="44" spans="1:22" ht="15" customHeight="1" thickBot="1" x14ac:dyDescent="0.3">
      <c r="A44" s="701">
        <v>11</v>
      </c>
      <c r="B44" s="128" t="str">
        <f>IF(Paramètres!E16=0,"",Paramètres!E16)</f>
        <v/>
      </c>
      <c r="C44" s="711">
        <f t="shared" si="19"/>
        <v>0</v>
      </c>
      <c r="D44" s="129"/>
      <c r="E44" s="129"/>
      <c r="F44" s="710" t="str">
        <f t="shared" si="16"/>
        <v>/</v>
      </c>
      <c r="G44" s="130" t="str">
        <f>IF(I$32="Error","Error",IF(AND($E$32&lt;&gt;"/",$E$32&gt;'Paramètres - Admin'!$A12),'Paramètres - Admin'!$A13,"/"))</f>
        <v>/</v>
      </c>
      <c r="H44" s="442" t="str">
        <f>IF(G44&lt;&gt;"/",VLOOKUP(G44,COSTS_Gold_Storage[#All],2),"/")</f>
        <v>/</v>
      </c>
      <c r="I44" s="722" t="str">
        <f>IF(G44&lt;&gt;"/",VLOOKUP(G44,COSTS_Gold_Storage[#All],3),"/")</f>
        <v>/</v>
      </c>
      <c r="J44" s="450">
        <f t="shared" si="17"/>
        <v>0</v>
      </c>
      <c r="K44" s="723">
        <f t="shared" si="18"/>
        <v>0</v>
      </c>
    </row>
    <row r="45" spans="1:22" ht="15" customHeight="1" thickBot="1" x14ac:dyDescent="0.3">
      <c r="A45" s="1106"/>
      <c r="B45" s="1107"/>
      <c r="C45" s="1107"/>
      <c r="D45" s="1107"/>
      <c r="E45" s="1107"/>
      <c r="F45" s="1107"/>
      <c r="G45" s="1107"/>
      <c r="H45" s="1108"/>
      <c r="I45" s="329" t="s">
        <v>31</v>
      </c>
      <c r="J45" s="452">
        <f>IF(I$32="Error","Error",SUM(J34:J44))</f>
        <v>300</v>
      </c>
      <c r="K45" s="727">
        <f>IF(I$32="Error","Error",SUM(K34:K44))</f>
        <v>0.25</v>
      </c>
    </row>
    <row r="46" spans="1:22" ht="15" customHeight="1" x14ac:dyDescent="0.25">
      <c r="A46" s="1100" t="s">
        <v>452</v>
      </c>
      <c r="B46" s="1101"/>
      <c r="C46" s="1102"/>
      <c r="D46" s="85" t="s">
        <v>38</v>
      </c>
      <c r="E46" s="86" t="s">
        <v>39</v>
      </c>
      <c r="F46" s="255"/>
      <c r="G46" s="88"/>
      <c r="H46" s="89"/>
      <c r="I46" s="615" t="s">
        <v>256</v>
      </c>
      <c r="J46" s="619" t="s">
        <v>362</v>
      </c>
      <c r="K46" s="616" t="s">
        <v>257</v>
      </c>
    </row>
    <row r="47" spans="1:22" ht="15" customHeight="1" thickBot="1" x14ac:dyDescent="0.3">
      <c r="A47" s="1103"/>
      <c r="B47" s="1104"/>
      <c r="C47" s="1105"/>
      <c r="D47" s="95">
        <f>VLOOKUP($A$2,AVAILABLE_Buildings_Resource[#All],MATCH(A46,AVAILABLE_Buildings_Resource[#Headers],0))</f>
        <v>0</v>
      </c>
      <c r="E47" s="96">
        <f>VLOOKUP($A$2,AVAILABLE_Buildings_Resource[#All],MATCH(A46,AVAILABLE_Buildings_Resource[#Headers],0)+1)</f>
        <v>0</v>
      </c>
      <c r="F47" s="256"/>
      <c r="G47" s="231"/>
      <c r="H47" s="232"/>
      <c r="I47" s="104">
        <f>IF(SUM(B49:B54)&gt;D47,"Error",SUM(B49:B54))</f>
        <v>0</v>
      </c>
      <c r="J47" s="105">
        <f>IF(I$47="Error","Error",D47-I47)</f>
        <v>0</v>
      </c>
      <c r="K47" s="233">
        <f>IF(I$47="Error","Error",SUM(F49:F54))</f>
        <v>0</v>
      </c>
    </row>
    <row r="48" spans="1:22" ht="15" customHeight="1" thickBot="1" x14ac:dyDescent="0.3">
      <c r="A48" s="625" t="s">
        <v>30</v>
      </c>
      <c r="B48" s="394" t="s">
        <v>29</v>
      </c>
      <c r="C48" s="551"/>
      <c r="D48" s="257"/>
      <c r="E48" s="258"/>
      <c r="F48" s="262" t="s">
        <v>29</v>
      </c>
      <c r="G48" s="263" t="s">
        <v>30</v>
      </c>
      <c r="H48" s="653" t="s">
        <v>258</v>
      </c>
      <c r="I48" s="653" t="s">
        <v>259</v>
      </c>
      <c r="J48" s="653" t="s">
        <v>232</v>
      </c>
      <c r="K48" s="654" t="s">
        <v>233</v>
      </c>
    </row>
    <row r="49" spans="1:22" ht="15" customHeight="1" thickBot="1" x14ac:dyDescent="0.3">
      <c r="A49" s="122">
        <v>1</v>
      </c>
      <c r="B49" s="116" t="str">
        <f>IF(Paramètres!G6=0,"",Paramètres!G6)</f>
        <v/>
      </c>
      <c r="C49" s="711">
        <f>IF(C48&lt;&gt;0,C48+IF(AND(B48&lt;&gt;"",A48&lt;E$47),B48,0),IF(AND(B48&lt;&gt;"",A48&lt;E$47),B48,0))</f>
        <v>0</v>
      </c>
      <c r="D49" s="707"/>
      <c r="E49" s="707"/>
      <c r="F49" s="708" t="str">
        <f t="shared" ref="F49:F54" si="20">IF(G49&lt;&gt;"/",IF(I$47="Error","Error",$J$47+C49),"/")</f>
        <v>/</v>
      </c>
      <c r="G49" s="548" t="str">
        <f>IF(I$47="Error","Error",IF(AND($E$47&lt;&gt;"/",$E$47&gt;'Paramètres - Admin'!$A2),'Paramètres - Admin'!$A3,"/"))</f>
        <v>/</v>
      </c>
      <c r="H49" s="440" t="str">
        <f>IF(G49&lt;&gt;"/",VLOOKUP(G49,COSTS_Dark_Elixir_Storage[#All],2),"/")</f>
        <v>/</v>
      </c>
      <c r="I49" s="549" t="str">
        <f>IF(G49&lt;&gt;"/",VLOOKUP(G49,COSTS_Dark_Elixir_Storage[#All],3),"/")</f>
        <v>/</v>
      </c>
      <c r="J49" s="440">
        <f t="shared" ref="J49:J54" si="21">IF(I$47="Error","Error",IF(H49&lt;&gt;"/",F49*H49,0))</f>
        <v>0</v>
      </c>
      <c r="K49" s="550">
        <f t="shared" ref="K49:K54" si="22">IF(I$47="Error","Error",IF(I49&lt;&gt;"/",F49*I49,0))</f>
        <v>0</v>
      </c>
    </row>
    <row r="50" spans="1:22" ht="15" customHeight="1" thickBot="1" x14ac:dyDescent="0.3">
      <c r="A50" s="700">
        <v>2</v>
      </c>
      <c r="B50" s="123" t="str">
        <f>IF(Paramètres!G7=0,"",Paramètres!G7)</f>
        <v/>
      </c>
      <c r="C50" s="711">
        <f t="shared" ref="C50:C54" si="23">IF(C49&lt;&gt;0,C49+IF(AND(B49&lt;&gt;"",A49&lt;E$47),B49,0),IF(AND(B49&lt;&gt;"",A49&lt;E$47),B49,0))</f>
        <v>0</v>
      </c>
      <c r="D50" s="630"/>
      <c r="E50" s="630"/>
      <c r="F50" s="709" t="str">
        <f t="shared" si="20"/>
        <v>/</v>
      </c>
      <c r="G50" s="120" t="str">
        <f>IF(I$47="Error","Error",IF(AND($E$47&lt;&gt;"/",$E$47&gt;'Paramètres - Admin'!$A3),'Paramètres - Admin'!$A4,"/"))</f>
        <v>/</v>
      </c>
      <c r="H50" s="441" t="str">
        <f>IF(G50&lt;&gt;"/",VLOOKUP(G50,COSTS_Dark_Elixir_Storage[#All],2),"/")</f>
        <v>/</v>
      </c>
      <c r="I50" s="101" t="str">
        <f>IF(G50&lt;&gt;"/",VLOOKUP(G50,COSTS_Dark_Elixir_Storage[#All],3),"/")</f>
        <v>/</v>
      </c>
      <c r="J50" s="441">
        <f t="shared" si="21"/>
        <v>0</v>
      </c>
      <c r="K50" s="629">
        <f t="shared" si="22"/>
        <v>0</v>
      </c>
    </row>
    <row r="51" spans="1:22" ht="15" customHeight="1" thickBot="1" x14ac:dyDescent="0.3">
      <c r="A51" s="700">
        <v>3</v>
      </c>
      <c r="B51" s="123" t="str">
        <f>IF(Paramètres!G8=0,"",Paramètres!G8)</f>
        <v/>
      </c>
      <c r="C51" s="711">
        <f t="shared" si="23"/>
        <v>0</v>
      </c>
      <c r="D51" s="630"/>
      <c r="E51" s="630"/>
      <c r="F51" s="709" t="str">
        <f t="shared" si="20"/>
        <v>/</v>
      </c>
      <c r="G51" s="120" t="str">
        <f>IF(I$47="Error","Error",IF(AND($E$47&lt;&gt;"/",$E$47&gt;'Paramètres - Admin'!$A4),'Paramètres - Admin'!$A5,"/"))</f>
        <v>/</v>
      </c>
      <c r="H51" s="441" t="str">
        <f>IF(G51&lt;&gt;"/",VLOOKUP(G51,COSTS_Dark_Elixir_Storage[#All],2),"/")</f>
        <v>/</v>
      </c>
      <c r="I51" s="101" t="str">
        <f>IF(G51&lt;&gt;"/",VLOOKUP(G51,COSTS_Dark_Elixir_Storage[#All],3),"/")</f>
        <v>/</v>
      </c>
      <c r="J51" s="441">
        <f t="shared" si="21"/>
        <v>0</v>
      </c>
      <c r="K51" s="629">
        <f t="shared" si="22"/>
        <v>0</v>
      </c>
    </row>
    <row r="52" spans="1:22" ht="15" customHeight="1" thickBot="1" x14ac:dyDescent="0.3">
      <c r="A52" s="700">
        <v>4</v>
      </c>
      <c r="B52" s="123" t="str">
        <f>IF(Paramètres!G9=0,"",Paramètres!G9)</f>
        <v/>
      </c>
      <c r="C52" s="711">
        <f t="shared" si="23"/>
        <v>0</v>
      </c>
      <c r="D52" s="630"/>
      <c r="E52" s="630"/>
      <c r="F52" s="709" t="str">
        <f t="shared" si="20"/>
        <v>/</v>
      </c>
      <c r="G52" s="120" t="str">
        <f>IF(I$47="Error","Error",IF(AND($E$47&lt;&gt;"/",$E$47&gt;'Paramètres - Admin'!$A5),'Paramètres - Admin'!$A6,"/"))</f>
        <v>/</v>
      </c>
      <c r="H52" s="441" t="str">
        <f>IF(G52&lt;&gt;"/",VLOOKUP(G52,COSTS_Dark_Elixir_Storage[#All],2),"/")</f>
        <v>/</v>
      </c>
      <c r="I52" s="101" t="str">
        <f>IF(G52&lt;&gt;"/",VLOOKUP(G52,COSTS_Dark_Elixir_Storage[#All],3),"/")</f>
        <v>/</v>
      </c>
      <c r="J52" s="441">
        <f t="shared" si="21"/>
        <v>0</v>
      </c>
      <c r="K52" s="629">
        <f t="shared" si="22"/>
        <v>0</v>
      </c>
    </row>
    <row r="53" spans="1:22" ht="15" customHeight="1" thickBot="1" x14ac:dyDescent="0.3">
      <c r="A53" s="700">
        <v>5</v>
      </c>
      <c r="B53" s="123" t="str">
        <f>IF(Paramètres!G10=0,"",Paramètres!G10)</f>
        <v/>
      </c>
      <c r="C53" s="711">
        <f t="shared" si="23"/>
        <v>0</v>
      </c>
      <c r="D53" s="630"/>
      <c r="E53" s="630"/>
      <c r="F53" s="709" t="str">
        <f t="shared" si="20"/>
        <v>/</v>
      </c>
      <c r="G53" s="120" t="str">
        <f>IF(I$47="Error","Error",IF(AND($E$47&lt;&gt;"/",$E$47&gt;'Paramètres - Admin'!$A6),'Paramètres - Admin'!$A7,"/"))</f>
        <v>/</v>
      </c>
      <c r="H53" s="441" t="str">
        <f>IF(G53&lt;&gt;"/",VLOOKUP(G53,COSTS_Dark_Elixir_Storage[#All],2),"/")</f>
        <v>/</v>
      </c>
      <c r="I53" s="101" t="str">
        <f>IF(G53&lt;&gt;"/",VLOOKUP(G53,COSTS_Dark_Elixir_Storage[#All],3),"/")</f>
        <v>/</v>
      </c>
      <c r="J53" s="441">
        <f t="shared" si="21"/>
        <v>0</v>
      </c>
      <c r="K53" s="629">
        <f t="shared" si="22"/>
        <v>0</v>
      </c>
    </row>
    <row r="54" spans="1:22" ht="15" customHeight="1" thickBot="1" x14ac:dyDescent="0.3">
      <c r="A54" s="701">
        <v>6</v>
      </c>
      <c r="B54" s="128" t="str">
        <f>IF(Paramètres!G11=0,"",Paramètres!G11)</f>
        <v/>
      </c>
      <c r="C54" s="711">
        <f t="shared" si="23"/>
        <v>0</v>
      </c>
      <c r="D54" s="129"/>
      <c r="E54" s="129"/>
      <c r="F54" s="710" t="str">
        <f t="shared" si="20"/>
        <v>/</v>
      </c>
      <c r="G54" s="130" t="str">
        <f>IF(I$47="Error","Error",IF(AND($E$47&lt;&gt;"/",$E$47&gt;'Paramètres - Admin'!$A7),'Paramètres - Admin'!$A8,"/"))</f>
        <v>/</v>
      </c>
      <c r="H54" s="442" t="str">
        <f>IF(G54&lt;&gt;"/",VLOOKUP(G54,COSTS_Dark_Elixir_Storage[#All],2),"/")</f>
        <v>/</v>
      </c>
      <c r="I54" s="722" t="str">
        <f>IF(G54&lt;&gt;"/",VLOOKUP(G54,COSTS_Dark_Elixir_Storage[#All],3),"/")</f>
        <v>/</v>
      </c>
      <c r="J54" s="450">
        <f t="shared" si="21"/>
        <v>0</v>
      </c>
      <c r="K54" s="723">
        <f t="shared" si="22"/>
        <v>0</v>
      </c>
    </row>
    <row r="55" spans="1:22" ht="15" customHeight="1" thickBot="1" x14ac:dyDescent="0.3">
      <c r="A55" s="1106"/>
      <c r="B55" s="1107"/>
      <c r="C55" s="1107"/>
      <c r="D55" s="1107"/>
      <c r="E55" s="1107"/>
      <c r="F55" s="1107"/>
      <c r="G55" s="1107"/>
      <c r="H55" s="1108"/>
      <c r="I55" s="329" t="s">
        <v>31</v>
      </c>
      <c r="J55" s="452">
        <f>IF(I$47="Error","Error",SUM(J49:J54))</f>
        <v>0</v>
      </c>
      <c r="K55" s="727">
        <f>IF(I$47="Error","Error",SUM(K49:K54))</f>
        <v>0</v>
      </c>
    </row>
    <row r="56" spans="1:22" s="637" customFormat="1" ht="15" customHeight="1" x14ac:dyDescent="0.25">
      <c r="A56" s="153"/>
      <c r="B56" s="153"/>
      <c r="C56" s="153"/>
      <c r="D56" s="153"/>
      <c r="E56" s="153"/>
      <c r="F56" s="153"/>
    </row>
    <row r="57" spans="1:22" ht="15" customHeight="1" thickBot="1" x14ac:dyDescent="0.3"/>
    <row r="58" spans="1:22" ht="20.100000000000001" customHeight="1" thickBot="1" x14ac:dyDescent="0.3">
      <c r="A58" s="1094" t="s">
        <v>181</v>
      </c>
      <c r="B58" s="1095"/>
      <c r="C58" s="1095"/>
      <c r="D58" s="1095"/>
      <c r="E58" s="1095"/>
      <c r="F58" s="1095"/>
      <c r="G58" s="1095"/>
      <c r="H58" s="1095"/>
      <c r="I58" s="1095"/>
      <c r="J58" s="1095"/>
      <c r="K58" s="1095"/>
      <c r="L58" s="1095"/>
      <c r="M58" s="1095"/>
      <c r="N58" s="1095"/>
      <c r="O58" s="1095"/>
      <c r="P58" s="1095"/>
      <c r="Q58" s="1095"/>
      <c r="R58" s="1095"/>
      <c r="S58" s="1095"/>
      <c r="T58" s="1095"/>
      <c r="U58" s="1095"/>
      <c r="V58" s="1096"/>
    </row>
    <row r="59" spans="1:22" ht="15" customHeight="1" thickBot="1" x14ac:dyDescent="0.3">
      <c r="A59" s="1156" t="s">
        <v>247</v>
      </c>
      <c r="B59" s="1157"/>
      <c r="C59" s="1157"/>
      <c r="D59" s="1157"/>
      <c r="E59" s="1157"/>
      <c r="F59" s="1157"/>
      <c r="G59" s="1157"/>
      <c r="H59" s="1157"/>
      <c r="I59" s="1157"/>
      <c r="J59" s="1157"/>
      <c r="K59" s="1157"/>
      <c r="L59" s="1157"/>
      <c r="M59" s="1157"/>
      <c r="N59" s="1157"/>
      <c r="O59" s="1157"/>
      <c r="P59" s="1157"/>
      <c r="Q59" s="1157"/>
      <c r="R59" s="1157"/>
      <c r="S59" s="1157"/>
      <c r="T59" s="1157"/>
      <c r="U59" s="1157"/>
      <c r="V59" s="1158"/>
    </row>
    <row r="60" spans="1:22" ht="15" customHeight="1" x14ac:dyDescent="0.25">
      <c r="A60" s="1100" t="s">
        <v>207</v>
      </c>
      <c r="B60" s="1101"/>
      <c r="C60" s="1102"/>
      <c r="D60" s="85" t="s">
        <v>38</v>
      </c>
      <c r="E60" s="86" t="s">
        <v>39</v>
      </c>
      <c r="F60" s="255"/>
      <c r="G60" s="88"/>
      <c r="H60" s="89"/>
      <c r="I60" s="615" t="s">
        <v>256</v>
      </c>
      <c r="J60" s="619" t="s">
        <v>362</v>
      </c>
      <c r="K60" s="616" t="s">
        <v>257</v>
      </c>
      <c r="L60" s="1100" t="s">
        <v>208</v>
      </c>
      <c r="M60" s="1101"/>
      <c r="N60" s="1102"/>
      <c r="O60" s="85" t="s">
        <v>38</v>
      </c>
      <c r="P60" s="86" t="s">
        <v>39</v>
      </c>
      <c r="Q60" s="255"/>
      <c r="R60" s="88"/>
      <c r="S60" s="89"/>
      <c r="T60" s="615" t="s">
        <v>256</v>
      </c>
      <c r="U60" s="619" t="s">
        <v>362</v>
      </c>
      <c r="V60" s="616" t="s">
        <v>257</v>
      </c>
    </row>
    <row r="61" spans="1:22" ht="15" customHeight="1" thickBot="1" x14ac:dyDescent="0.3">
      <c r="A61" s="1103"/>
      <c r="B61" s="1104"/>
      <c r="C61" s="1105"/>
      <c r="D61" s="95">
        <f>VLOOKUP($A$2,AVAILABLE_Buildings_Army[#All],MATCH(A60,AVAILABLE_Buildings_Army[#Headers],0))</f>
        <v>1</v>
      </c>
      <c r="E61" s="96">
        <f>VLOOKUP($A$2,AVAILABLE_Buildings_Army[#All],MATCH(A60,AVAILABLE_Buildings_Army[#Headers],0)+1)</f>
        <v>3</v>
      </c>
      <c r="F61" s="256"/>
      <c r="G61" s="231"/>
      <c r="H61" s="232"/>
      <c r="I61" s="104">
        <f>IF(SUM(B63:B72)&gt;D61,"Error",SUM(B63:B72))</f>
        <v>0</v>
      </c>
      <c r="J61" s="105">
        <f>IF(I$61="Error","Error",D61-I61)</f>
        <v>1</v>
      </c>
      <c r="K61" s="233">
        <f>IF(I$61="Error","Error",SUM(F63:F72))</f>
        <v>3</v>
      </c>
      <c r="L61" s="1103"/>
      <c r="M61" s="1104"/>
      <c r="N61" s="1105"/>
      <c r="O61" s="95">
        <f>VLOOKUP($A$2,AVAILABLE_Buildings_Army[#All],MATCH(L60,AVAILABLE_Buildings_Army[#Headers],0))</f>
        <v>0</v>
      </c>
      <c r="P61" s="96">
        <f>VLOOKUP($A$2,AVAILABLE_Buildings_Army[#All],MATCH(L60,AVAILABLE_Buildings_Army[#Headers],0)+1)</f>
        <v>0</v>
      </c>
      <c r="Q61" s="256"/>
      <c r="R61" s="231"/>
      <c r="S61" s="232"/>
      <c r="T61" s="104">
        <f>IF(SUM(M63:M70)&gt;O61,"Error",SUM(M63:M70))</f>
        <v>0</v>
      </c>
      <c r="U61" s="105">
        <f>IF(T$61="Error","Error",O61-T61)</f>
        <v>0</v>
      </c>
      <c r="V61" s="233">
        <f>IF(T$61="Error","Error",SUM(Q63:Q70))</f>
        <v>0</v>
      </c>
    </row>
    <row r="62" spans="1:22" ht="15" customHeight="1" thickBot="1" x14ac:dyDescent="0.3">
      <c r="A62" s="107" t="s">
        <v>30</v>
      </c>
      <c r="B62" s="144" t="s">
        <v>29</v>
      </c>
      <c r="C62" s="109"/>
      <c r="D62" s="257"/>
      <c r="E62" s="258"/>
      <c r="F62" s="262" t="s">
        <v>29</v>
      </c>
      <c r="G62" s="263" t="s">
        <v>30</v>
      </c>
      <c r="H62" s="653" t="s">
        <v>258</v>
      </c>
      <c r="I62" s="653" t="s">
        <v>259</v>
      </c>
      <c r="J62" s="653" t="s">
        <v>232</v>
      </c>
      <c r="K62" s="654" t="s">
        <v>233</v>
      </c>
      <c r="L62" s="235" t="s">
        <v>30</v>
      </c>
      <c r="M62" s="144" t="s">
        <v>29</v>
      </c>
      <c r="N62" s="109"/>
      <c r="O62" s="257"/>
      <c r="P62" s="258"/>
      <c r="Q62" s="262" t="s">
        <v>29</v>
      </c>
      <c r="R62" s="263" t="s">
        <v>30</v>
      </c>
      <c r="S62" s="653" t="s">
        <v>258</v>
      </c>
      <c r="T62" s="653" t="s">
        <v>259</v>
      </c>
      <c r="U62" s="653" t="s">
        <v>232</v>
      </c>
      <c r="V62" s="654" t="s">
        <v>233</v>
      </c>
    </row>
    <row r="63" spans="1:22" ht="15" customHeight="1" x14ac:dyDescent="0.25">
      <c r="A63" s="145">
        <v>1</v>
      </c>
      <c r="B63" s="146" t="str">
        <f>IF(Paramètres!H6=0,"",Paramètres!H6)</f>
        <v/>
      </c>
      <c r="C63" s="147">
        <f>IF(C62&lt;&gt;0,C62+IF(AND(B62&lt;&gt;"",A62&lt;E$61),B62,0),IF(AND(B62&lt;&gt;"",A62&lt;E$61),B62,0))</f>
        <v>0</v>
      </c>
      <c r="D63" s="117"/>
      <c r="E63" s="118"/>
      <c r="F63" s="259">
        <f>IF(G63&lt;&gt;"/",IF(I$61="Error","Error",$J$61+C63),"/")</f>
        <v>1</v>
      </c>
      <c r="G63" s="260">
        <f>IF(I$61="Error","Error",IF(AND($E$61&lt;&gt;"/",$E$61&gt;'Paramètres - Admin'!$A2),'Paramètres - Admin'!$A3,"/"))</f>
        <v>1</v>
      </c>
      <c r="H63" s="449">
        <f>IF(G63&lt;&gt;"/",VLOOKUP(G63,COSTS_Barrack[#All],2),"/")</f>
        <v>200</v>
      </c>
      <c r="I63" s="181">
        <f>IF(G63&lt;&gt;"/",VLOOKUP(G63,COSTS_Barrack[#All],3),"/")</f>
        <v>0.02</v>
      </c>
      <c r="J63" s="449">
        <f>IF(I$61="Error","Error",IF(H63&lt;&gt;"/",F63*H63,0))</f>
        <v>200</v>
      </c>
      <c r="K63" s="261">
        <f>IF(I$61="Error","Error",IF(I63&lt;&gt;"/",F63*I63,0))</f>
        <v>0.02</v>
      </c>
      <c r="L63" s="236">
        <v>1</v>
      </c>
      <c r="M63" s="146" t="str">
        <f>IF(Paramètres!K6=0,"",Paramètres!K6)</f>
        <v/>
      </c>
      <c r="N63" s="147">
        <f>IF(N62&lt;&gt;0,N62+IF(AND(M62&lt;&gt;"",L62&lt;P$61),M62,0),IF(AND(M62&lt;&gt;"",L62&lt;P$61),M62,0))</f>
        <v>0</v>
      </c>
      <c r="O63" s="117"/>
      <c r="P63" s="118"/>
      <c r="Q63" s="259" t="str">
        <f>IF(R63&lt;&gt;"/",IF(T$61="Error","Error",$U$61+N63),"/")</f>
        <v>/</v>
      </c>
      <c r="R63" s="260" t="str">
        <f>IF(T$61="Error","Error",IF(AND($P$61&lt;&gt;"/",$P$61&gt;'Paramètres - Admin'!$A2),'Paramètres - Admin'!$A3,"/"))</f>
        <v>/</v>
      </c>
      <c r="S63" s="449" t="str">
        <f>IF(R63&lt;&gt;"/",VLOOKUP(R63,COSTS_Laboratory[#All],2),"/")</f>
        <v>/</v>
      </c>
      <c r="T63" s="181" t="str">
        <f>IF(R63&lt;&gt;"/",VLOOKUP(R63,COSTS_Laboratory[#All],3),"/")</f>
        <v>/</v>
      </c>
      <c r="U63" s="449">
        <f>IF(T$61="Error","Error",IF(S63&lt;&gt;"/",Q63*S63,0))</f>
        <v>0</v>
      </c>
      <c r="V63" s="261">
        <f>IF(T$61="Error","Error",IF(T63&lt;&gt;"/",Q63*T63,0))</f>
        <v>0</v>
      </c>
    </row>
    <row r="64" spans="1:22" ht="15" customHeight="1" x14ac:dyDescent="0.25">
      <c r="A64" s="148">
        <v>2</v>
      </c>
      <c r="B64" s="634" t="str">
        <f>IF(Paramètres!H7=0,"",Paramètres!H7)</f>
        <v/>
      </c>
      <c r="C64" s="635">
        <f t="shared" ref="C64:C72" si="24">IF(C63&lt;&gt;0,C63+IF(AND(B63&lt;&gt;"",A63&lt;E$61),B63,0),IF(AND(B63&lt;&gt;"",A63&lt;E$61),B63,0))</f>
        <v>0</v>
      </c>
      <c r="D64" s="627"/>
      <c r="E64" s="628"/>
      <c r="F64" s="647">
        <f t="shared" ref="F64:F72" si="25">IF(G64&lt;&gt;"/",IF(I$61="Error","Error",$J$61+C64),"/")</f>
        <v>1</v>
      </c>
      <c r="G64" s="648">
        <f>IF(I$61="Error","Error",IF(AND($E$61&lt;&gt;"/",$E$61&gt;'Paramètres - Admin'!$A3),'Paramètres - Admin'!$A4,"/"))</f>
        <v>2</v>
      </c>
      <c r="H64" s="449">
        <f>IF(G64&lt;&gt;"/",VLOOKUP(G64,COSTS_Barrack[#All],2),"/")</f>
        <v>1000</v>
      </c>
      <c r="I64" s="638">
        <f>IF(G64&lt;&gt;"/",VLOOKUP(G64,COSTS_Barrack[#All],3),"/")</f>
        <v>0.25</v>
      </c>
      <c r="J64" s="449">
        <f t="shared" ref="J64:J72" si="26">IF(I$61="Error","Error",IF(H64&lt;&gt;"/",F64*H64,0))</f>
        <v>1000</v>
      </c>
      <c r="K64" s="649">
        <f t="shared" ref="K64:K72" si="27">IF(I$61="Error","Error",IF(I64&lt;&gt;"/",F64*I64,0))</f>
        <v>0.25</v>
      </c>
      <c r="L64" s="237">
        <v>2</v>
      </c>
      <c r="M64" s="634" t="str">
        <f>IF(Paramètres!K7=0,"",Paramètres!K7)</f>
        <v/>
      </c>
      <c r="N64" s="635">
        <f t="shared" ref="N64:N70" si="28">IF(N63&lt;&gt;0,N63+IF(AND(M63&lt;&gt;"",L63&lt;P$61),M63,0),IF(AND(M63&lt;&gt;"",L63&lt;P$61),M63,0))</f>
        <v>0</v>
      </c>
      <c r="O64" s="627"/>
      <c r="P64" s="628"/>
      <c r="Q64" s="647" t="str">
        <f t="shared" ref="Q64:Q70" si="29">IF(R64&lt;&gt;"/",IF(T$61="Error","Error",$U$61+N64),"/")</f>
        <v>/</v>
      </c>
      <c r="R64" s="648" t="str">
        <f>IF(T$61="Error","Error",IF(AND($P$61&lt;&gt;"/",$P$61&gt;'Paramètres - Admin'!$A3),'Paramètres - Admin'!$A4,"/"))</f>
        <v>/</v>
      </c>
      <c r="S64" s="449" t="str">
        <f>IF(R64&lt;&gt;"/",VLOOKUP(R64,COSTS_Laboratory[#All],2),"/")</f>
        <v>/</v>
      </c>
      <c r="T64" s="638" t="str">
        <f>IF(R64&lt;&gt;"/",VLOOKUP(R64,COSTS_Laboratory[#All],3),"/")</f>
        <v>/</v>
      </c>
      <c r="U64" s="449">
        <f t="shared" ref="U64:U70" si="30">IF(T$61="Error","Error",IF(S64&lt;&gt;"/",Q64*S64,0))</f>
        <v>0</v>
      </c>
      <c r="V64" s="649">
        <f t="shared" ref="V64:V70" si="31">IF(T$61="Error","Error",IF(T64&lt;&gt;"/",Q64*T64,0))</f>
        <v>0</v>
      </c>
    </row>
    <row r="65" spans="1:22" ht="15" customHeight="1" x14ac:dyDescent="0.25">
      <c r="A65" s="148">
        <v>3</v>
      </c>
      <c r="B65" s="634" t="str">
        <f>IF(Paramètres!H8=0,"",Paramètres!H8)</f>
        <v/>
      </c>
      <c r="C65" s="635">
        <f t="shared" si="24"/>
        <v>0</v>
      </c>
      <c r="D65" s="627"/>
      <c r="E65" s="628"/>
      <c r="F65" s="647">
        <f t="shared" si="25"/>
        <v>1</v>
      </c>
      <c r="G65" s="648">
        <f>IF(I$61="Error","Error",IF(AND($E$61&lt;&gt;"/",$E$61&gt;'Paramètres - Admin'!$A4),'Paramètres - Admin'!$A5,"/"))</f>
        <v>3</v>
      </c>
      <c r="H65" s="449">
        <f>IF(G65&lt;&gt;"/",VLOOKUP(G65,COSTS_Barrack[#All],2),"/")</f>
        <v>2500</v>
      </c>
      <c r="I65" s="638">
        <f>IF(G65&lt;&gt;"/",VLOOKUP(G65,COSTS_Barrack[#All],3),"/")</f>
        <v>2</v>
      </c>
      <c r="J65" s="449">
        <f t="shared" si="26"/>
        <v>2500</v>
      </c>
      <c r="K65" s="649">
        <f t="shared" si="27"/>
        <v>2</v>
      </c>
      <c r="L65" s="237">
        <v>3</v>
      </c>
      <c r="M65" s="634" t="str">
        <f>IF(Paramètres!K8=0,"",Paramètres!K8)</f>
        <v/>
      </c>
      <c r="N65" s="635">
        <f t="shared" si="28"/>
        <v>0</v>
      </c>
      <c r="O65" s="627"/>
      <c r="P65" s="628"/>
      <c r="Q65" s="647" t="str">
        <f t="shared" si="29"/>
        <v>/</v>
      </c>
      <c r="R65" s="648" t="str">
        <f>IF(T$61="Error","Error",IF(AND($P$61&lt;&gt;"/",$P$61&gt;'Paramètres - Admin'!$A4),'Paramètres - Admin'!$A5,"/"))</f>
        <v>/</v>
      </c>
      <c r="S65" s="449" t="str">
        <f>IF(R65&lt;&gt;"/",VLOOKUP(R65,COSTS_Laboratory[#All],2),"/")</f>
        <v>/</v>
      </c>
      <c r="T65" s="638" t="str">
        <f>IF(R65&lt;&gt;"/",VLOOKUP(R65,COSTS_Laboratory[#All],3),"/")</f>
        <v>/</v>
      </c>
      <c r="U65" s="449">
        <f t="shared" si="30"/>
        <v>0</v>
      </c>
      <c r="V65" s="649">
        <f t="shared" si="31"/>
        <v>0</v>
      </c>
    </row>
    <row r="66" spans="1:22" ht="15" customHeight="1" x14ac:dyDescent="0.25">
      <c r="A66" s="148">
        <v>4</v>
      </c>
      <c r="B66" s="634" t="str">
        <f>IF(Paramètres!H9=0,"",Paramètres!H9)</f>
        <v/>
      </c>
      <c r="C66" s="635">
        <f t="shared" si="24"/>
        <v>0</v>
      </c>
      <c r="D66" s="627"/>
      <c r="E66" s="628"/>
      <c r="F66" s="647" t="str">
        <f t="shared" si="25"/>
        <v>/</v>
      </c>
      <c r="G66" s="648" t="str">
        <f>IF(I$61="Error","Error",IF(AND($E$61&lt;&gt;"/",$E$61&gt;'Paramètres - Admin'!$A5),'Paramètres - Admin'!$A6,"/"))</f>
        <v>/</v>
      </c>
      <c r="H66" s="449" t="str">
        <f>IF(G66&lt;&gt;"/",VLOOKUP(G66,COSTS_Barrack[#All],2),"/")</f>
        <v>/</v>
      </c>
      <c r="I66" s="638" t="str">
        <f>IF(G66&lt;&gt;"/",VLOOKUP(G66,COSTS_Barrack[#All],3),"/")</f>
        <v>/</v>
      </c>
      <c r="J66" s="449">
        <f t="shared" si="26"/>
        <v>0</v>
      </c>
      <c r="K66" s="649">
        <f t="shared" si="27"/>
        <v>0</v>
      </c>
      <c r="L66" s="237">
        <v>4</v>
      </c>
      <c r="M66" s="634" t="str">
        <f>IF(Paramètres!K9=0,"",Paramètres!K9)</f>
        <v/>
      </c>
      <c r="N66" s="635">
        <f t="shared" si="28"/>
        <v>0</v>
      </c>
      <c r="O66" s="627"/>
      <c r="P66" s="628"/>
      <c r="Q66" s="647" t="str">
        <f t="shared" si="29"/>
        <v>/</v>
      </c>
      <c r="R66" s="648" t="str">
        <f>IF(T$61="Error","Error",IF(AND($P$61&lt;&gt;"/",$P$61&gt;'Paramètres - Admin'!$A5),'Paramètres - Admin'!$A6,"/"))</f>
        <v>/</v>
      </c>
      <c r="S66" s="449" t="str">
        <f>IF(R66&lt;&gt;"/",VLOOKUP(R66,COSTS_Laboratory[#All],2),"/")</f>
        <v>/</v>
      </c>
      <c r="T66" s="638" t="str">
        <f>IF(R66&lt;&gt;"/",VLOOKUP(R66,COSTS_Laboratory[#All],3),"/")</f>
        <v>/</v>
      </c>
      <c r="U66" s="449">
        <f t="shared" si="30"/>
        <v>0</v>
      </c>
      <c r="V66" s="649">
        <f t="shared" si="31"/>
        <v>0</v>
      </c>
    </row>
    <row r="67" spans="1:22" ht="15" customHeight="1" x14ac:dyDescent="0.25">
      <c r="A67" s="148">
        <v>5</v>
      </c>
      <c r="B67" s="634" t="str">
        <f>IF(Paramètres!H10=0,"",Paramètres!H10)</f>
        <v/>
      </c>
      <c r="C67" s="635">
        <f t="shared" si="24"/>
        <v>0</v>
      </c>
      <c r="D67" s="627"/>
      <c r="E67" s="628"/>
      <c r="F67" s="647" t="str">
        <f t="shared" si="25"/>
        <v>/</v>
      </c>
      <c r="G67" s="648" t="str">
        <f>IF(I$61="Error","Error",IF(AND($E$61&lt;&gt;"/",$E$61&gt;'Paramètres - Admin'!$A6),'Paramètres - Admin'!$A7,"/"))</f>
        <v>/</v>
      </c>
      <c r="H67" s="449" t="str">
        <f>IF(G67&lt;&gt;"/",VLOOKUP(G67,COSTS_Barrack[#All],2),"/")</f>
        <v>/</v>
      </c>
      <c r="I67" s="638" t="str">
        <f>IF(G67&lt;&gt;"/",VLOOKUP(G67,COSTS_Barrack[#All],3),"/")</f>
        <v>/</v>
      </c>
      <c r="J67" s="449">
        <f t="shared" si="26"/>
        <v>0</v>
      </c>
      <c r="K67" s="649">
        <f t="shared" si="27"/>
        <v>0</v>
      </c>
      <c r="L67" s="237">
        <v>5</v>
      </c>
      <c r="M67" s="634" t="str">
        <f>IF(Paramètres!K10=0,"",Paramètres!K10)</f>
        <v/>
      </c>
      <c r="N67" s="635">
        <f t="shared" si="28"/>
        <v>0</v>
      </c>
      <c r="O67" s="627"/>
      <c r="P67" s="628"/>
      <c r="Q67" s="647" t="str">
        <f t="shared" si="29"/>
        <v>/</v>
      </c>
      <c r="R67" s="648" t="str">
        <f>IF(T$61="Error","Error",IF(AND($P$61&lt;&gt;"/",$P$61&gt;'Paramètres - Admin'!$A6),'Paramètres - Admin'!$A7,"/"))</f>
        <v>/</v>
      </c>
      <c r="S67" s="449" t="str">
        <f>IF(R67&lt;&gt;"/",VLOOKUP(R67,COSTS_Laboratory[#All],2),"/")</f>
        <v>/</v>
      </c>
      <c r="T67" s="638" t="str">
        <f>IF(R67&lt;&gt;"/",VLOOKUP(R67,COSTS_Laboratory[#All],3),"/")</f>
        <v>/</v>
      </c>
      <c r="U67" s="449">
        <f t="shared" si="30"/>
        <v>0</v>
      </c>
      <c r="V67" s="649">
        <f t="shared" si="31"/>
        <v>0</v>
      </c>
    </row>
    <row r="68" spans="1:22" ht="15" customHeight="1" x14ac:dyDescent="0.25">
      <c r="A68" s="148">
        <v>6</v>
      </c>
      <c r="B68" s="634" t="str">
        <f>IF(Paramètres!H11=0,"",Paramètres!H11)</f>
        <v/>
      </c>
      <c r="C68" s="635">
        <f t="shared" si="24"/>
        <v>0</v>
      </c>
      <c r="D68" s="627"/>
      <c r="E68" s="628"/>
      <c r="F68" s="647" t="str">
        <f t="shared" si="25"/>
        <v>/</v>
      </c>
      <c r="G68" s="648" t="str">
        <f>IF(I$61="Error","Error",IF(AND($E$61&lt;&gt;"/",$E$61&gt;'Paramètres - Admin'!$A7),'Paramètres - Admin'!$A8,"/"))</f>
        <v>/</v>
      </c>
      <c r="H68" s="449" t="str">
        <f>IF(G68&lt;&gt;"/",VLOOKUP(G68,COSTS_Barrack[#All],2),"/")</f>
        <v>/</v>
      </c>
      <c r="I68" s="638" t="str">
        <f>IF(G68&lt;&gt;"/",VLOOKUP(G68,COSTS_Barrack[#All],3),"/")</f>
        <v>/</v>
      </c>
      <c r="J68" s="449">
        <f t="shared" si="26"/>
        <v>0</v>
      </c>
      <c r="K68" s="649">
        <f t="shared" si="27"/>
        <v>0</v>
      </c>
      <c r="L68" s="237">
        <v>6</v>
      </c>
      <c r="M68" s="634" t="str">
        <f>IF(Paramètres!K11=0,"",Paramètres!K11)</f>
        <v/>
      </c>
      <c r="N68" s="635">
        <f t="shared" si="28"/>
        <v>0</v>
      </c>
      <c r="O68" s="627"/>
      <c r="P68" s="628"/>
      <c r="Q68" s="647" t="str">
        <f t="shared" si="29"/>
        <v>/</v>
      </c>
      <c r="R68" s="648" t="str">
        <f>IF(T$61="Error","Error",IF(AND($P$61&lt;&gt;"/",$P$61&gt;'Paramètres - Admin'!$A7),'Paramètres - Admin'!$A8,"/"))</f>
        <v>/</v>
      </c>
      <c r="S68" s="449" t="str">
        <f>IF(R68&lt;&gt;"/",VLOOKUP(R68,COSTS_Laboratory[#All],2),"/")</f>
        <v>/</v>
      </c>
      <c r="T68" s="638" t="str">
        <f>IF(R68&lt;&gt;"/",VLOOKUP(R68,COSTS_Laboratory[#All],3),"/")</f>
        <v>/</v>
      </c>
      <c r="U68" s="449">
        <f t="shared" si="30"/>
        <v>0</v>
      </c>
      <c r="V68" s="649">
        <f t="shared" si="31"/>
        <v>0</v>
      </c>
    </row>
    <row r="69" spans="1:22" ht="15" customHeight="1" x14ac:dyDescent="0.25">
      <c r="A69" s="148">
        <v>7</v>
      </c>
      <c r="B69" s="634" t="str">
        <f>IF(Paramètres!H12=0,"",Paramètres!H12)</f>
        <v/>
      </c>
      <c r="C69" s="635">
        <f t="shared" si="24"/>
        <v>0</v>
      </c>
      <c r="D69" s="627"/>
      <c r="E69" s="628"/>
      <c r="F69" s="647" t="str">
        <f t="shared" si="25"/>
        <v>/</v>
      </c>
      <c r="G69" s="648" t="str">
        <f>IF(I$61="Error","Error",IF(AND($E$61&lt;&gt;"/",$E$61&gt;'Paramètres - Admin'!$A8),'Paramètres - Admin'!$A9,"/"))</f>
        <v>/</v>
      </c>
      <c r="H69" s="449" t="str">
        <f>IF(G69&lt;&gt;"/",VLOOKUP(G69,COSTS_Barrack[#All],2),"/")</f>
        <v>/</v>
      </c>
      <c r="I69" s="638" t="str">
        <f>IF(G69&lt;&gt;"/",VLOOKUP(G69,COSTS_Barrack[#All],3),"/")</f>
        <v>/</v>
      </c>
      <c r="J69" s="449">
        <f t="shared" si="26"/>
        <v>0</v>
      </c>
      <c r="K69" s="649">
        <f t="shared" si="27"/>
        <v>0</v>
      </c>
      <c r="L69" s="237">
        <v>7</v>
      </c>
      <c r="M69" s="634" t="str">
        <f>IF(Paramètres!K12=0,"",Paramètres!K12)</f>
        <v/>
      </c>
      <c r="N69" s="635">
        <f t="shared" si="28"/>
        <v>0</v>
      </c>
      <c r="O69" s="627"/>
      <c r="P69" s="628"/>
      <c r="Q69" s="647" t="str">
        <f t="shared" si="29"/>
        <v>/</v>
      </c>
      <c r="R69" s="648" t="str">
        <f>IF(T$61="Error","Error",IF(AND($P$61&lt;&gt;"/",$P$61&gt;'Paramètres - Admin'!$A8),'Paramètres - Admin'!$A9,"/"))</f>
        <v>/</v>
      </c>
      <c r="S69" s="449" t="str">
        <f>IF(R69&lt;&gt;"/",VLOOKUP(R69,COSTS_Laboratory[#All],2),"/")</f>
        <v>/</v>
      </c>
      <c r="T69" s="638" t="str">
        <f>IF(R69&lt;&gt;"/",VLOOKUP(R69,COSTS_Laboratory[#All],3),"/")</f>
        <v>/</v>
      </c>
      <c r="U69" s="449">
        <f t="shared" si="30"/>
        <v>0</v>
      </c>
      <c r="V69" s="649">
        <f t="shared" si="31"/>
        <v>0</v>
      </c>
    </row>
    <row r="70" spans="1:22" ht="15" customHeight="1" thickBot="1" x14ac:dyDescent="0.3">
      <c r="A70" s="148">
        <v>8</v>
      </c>
      <c r="B70" s="634" t="str">
        <f>IF(Paramètres!H13=0,"",Paramètres!H13)</f>
        <v/>
      </c>
      <c r="C70" s="635">
        <f t="shared" si="24"/>
        <v>0</v>
      </c>
      <c r="D70" s="627"/>
      <c r="E70" s="628"/>
      <c r="F70" s="647" t="str">
        <f t="shared" si="25"/>
        <v>/</v>
      </c>
      <c r="G70" s="648" t="str">
        <f>IF(I$61="Error","Error",IF(AND($E$61&lt;&gt;"/",$E$61&gt;'Paramètres - Admin'!$A9),'Paramètres - Admin'!$A10,"/"))</f>
        <v>/</v>
      </c>
      <c r="H70" s="449" t="str">
        <f>IF(G70&lt;&gt;"/",VLOOKUP(G70,COSTS_Barrack[#All],2),"/")</f>
        <v>/</v>
      </c>
      <c r="I70" s="638" t="str">
        <f>IF(G70&lt;&gt;"/",VLOOKUP(G70,COSTS_Barrack[#All],3),"/")</f>
        <v>/</v>
      </c>
      <c r="J70" s="449">
        <f t="shared" si="26"/>
        <v>0</v>
      </c>
      <c r="K70" s="649">
        <f t="shared" si="27"/>
        <v>0</v>
      </c>
      <c r="L70" s="237">
        <v>8</v>
      </c>
      <c r="M70" s="634" t="str">
        <f>IF(Paramètres!K13=0,"",Paramètres!K13)</f>
        <v/>
      </c>
      <c r="N70" s="635">
        <f t="shared" si="28"/>
        <v>0</v>
      </c>
      <c r="O70" s="627"/>
      <c r="P70" s="628"/>
      <c r="Q70" s="647" t="str">
        <f t="shared" si="29"/>
        <v>/</v>
      </c>
      <c r="R70" s="648" t="str">
        <f>IF(T$61="Error","Error",IF(AND($P$61&lt;&gt;"/",$P$61&gt;'Paramètres - Admin'!$A9),'Paramètres - Admin'!$A10,"/"))</f>
        <v>/</v>
      </c>
      <c r="S70" s="449" t="str">
        <f>IF(R70&lt;&gt;"/",VLOOKUP(R70,COSTS_Laboratory[#All],2),"/")</f>
        <v>/</v>
      </c>
      <c r="T70" s="724" t="str">
        <f>IF(R70&lt;&gt;"/",VLOOKUP(R70,COSTS_Laboratory[#All],3),"/")</f>
        <v>/</v>
      </c>
      <c r="U70" s="725">
        <f t="shared" si="30"/>
        <v>0</v>
      </c>
      <c r="V70" s="726">
        <f t="shared" si="31"/>
        <v>0</v>
      </c>
    </row>
    <row r="71" spans="1:22" ht="15" customHeight="1" thickBot="1" x14ac:dyDescent="0.3">
      <c r="A71" s="148">
        <v>9</v>
      </c>
      <c r="B71" s="634" t="str">
        <f>IF(Paramètres!H14=0,"",Paramètres!H14)</f>
        <v/>
      </c>
      <c r="C71" s="635">
        <f t="shared" si="24"/>
        <v>0</v>
      </c>
      <c r="D71" s="627"/>
      <c r="E71" s="628"/>
      <c r="F71" s="647" t="str">
        <f t="shared" si="25"/>
        <v>/</v>
      </c>
      <c r="G71" s="648" t="str">
        <f>IF(I$61="Error","Error",IF(AND($E$61&lt;&gt;"/",$E$61&gt;'Paramètres - Admin'!$A10),'Paramètres - Admin'!$A11,"/"))</f>
        <v>/</v>
      </c>
      <c r="H71" s="449" t="str">
        <f>IF(G71&lt;&gt;"/",VLOOKUP(G71,COSTS_Barrack[#All],2),"/")</f>
        <v>/</v>
      </c>
      <c r="I71" s="638" t="str">
        <f>IF(G71&lt;&gt;"/",VLOOKUP(G71,COSTS_Barrack[#All],3),"/")</f>
        <v>/</v>
      </c>
      <c r="J71" s="449">
        <f t="shared" si="26"/>
        <v>0</v>
      </c>
      <c r="K71" s="649">
        <f t="shared" si="27"/>
        <v>0</v>
      </c>
      <c r="L71" s="1106"/>
      <c r="M71" s="1148"/>
      <c r="N71" s="1148"/>
      <c r="O71" s="1148"/>
      <c r="P71" s="1148"/>
      <c r="Q71" s="1148"/>
      <c r="R71" s="1148"/>
      <c r="S71" s="1149"/>
      <c r="T71" s="329" t="s">
        <v>31</v>
      </c>
      <c r="U71" s="452">
        <f>IF(T$61="Error","Error",SUM(U63:U70))</f>
        <v>0</v>
      </c>
      <c r="V71" s="727">
        <f>IF(T$61="Error","Error",SUM(V63:V70))</f>
        <v>0</v>
      </c>
    </row>
    <row r="72" spans="1:22" ht="15" customHeight="1" thickBot="1" x14ac:dyDescent="0.3">
      <c r="A72" s="148">
        <v>10</v>
      </c>
      <c r="B72" s="634" t="str">
        <f>IF(Paramètres!H15=0,"",Paramètres!H15)</f>
        <v/>
      </c>
      <c r="C72" s="635">
        <f t="shared" si="24"/>
        <v>0</v>
      </c>
      <c r="D72" s="627"/>
      <c r="E72" s="628"/>
      <c r="F72" s="647" t="str">
        <f t="shared" si="25"/>
        <v>/</v>
      </c>
      <c r="G72" s="648" t="str">
        <f>IF(I$61="Error","Error",IF(AND($E$61&lt;&gt;"/",$E$61&gt;'Paramètres - Admin'!$A11),'Paramètres - Admin'!$A12,"/"))</f>
        <v>/</v>
      </c>
      <c r="H72" s="449" t="str">
        <f>IF(G72&lt;&gt;"/",VLOOKUP(G72,COSTS_Barrack[#All],2),"/")</f>
        <v>/</v>
      </c>
      <c r="I72" s="724" t="str">
        <f>IF(G72&lt;&gt;"/",VLOOKUP(G72,COSTS_Barrack[#All],3),"/")</f>
        <v>/</v>
      </c>
      <c r="J72" s="725">
        <f t="shared" si="26"/>
        <v>0</v>
      </c>
      <c r="K72" s="726">
        <f t="shared" si="27"/>
        <v>0</v>
      </c>
      <c r="L72" s="1100" t="s">
        <v>209</v>
      </c>
      <c r="M72" s="1101"/>
      <c r="N72" s="1102"/>
      <c r="O72" s="85" t="s">
        <v>38</v>
      </c>
      <c r="P72" s="86" t="s">
        <v>39</v>
      </c>
      <c r="Q72" s="255"/>
      <c r="R72" s="88"/>
      <c r="S72" s="89"/>
      <c r="T72" s="615" t="s">
        <v>256</v>
      </c>
      <c r="U72" s="619" t="s">
        <v>362</v>
      </c>
      <c r="V72" s="616" t="s">
        <v>257</v>
      </c>
    </row>
    <row r="73" spans="1:22" ht="15" customHeight="1" thickBot="1" x14ac:dyDescent="0.3">
      <c r="A73" s="1106"/>
      <c r="B73" s="1148"/>
      <c r="C73" s="1148"/>
      <c r="D73" s="1148"/>
      <c r="E73" s="1148"/>
      <c r="F73" s="1148"/>
      <c r="G73" s="1148"/>
      <c r="H73" s="1149"/>
      <c r="I73" s="329" t="s">
        <v>31</v>
      </c>
      <c r="J73" s="452">
        <f>IF(I$61="Error","Error",SUM(J63:J72))</f>
        <v>3700</v>
      </c>
      <c r="K73" s="727">
        <f>IF(I$61="Error","Error",SUM(K63:K72))</f>
        <v>2.27</v>
      </c>
      <c r="L73" s="1103"/>
      <c r="M73" s="1104"/>
      <c r="N73" s="1105"/>
      <c r="O73" s="95">
        <f>VLOOKUP($A$2,AVAILABLE_Buildings_Army[#All],MATCH(L72,AVAILABLE_Buildings_Army[#Headers],0))</f>
        <v>0</v>
      </c>
      <c r="P73" s="96">
        <f>VLOOKUP($A$2,AVAILABLE_Buildings_Army[#All],MATCH(L72,AVAILABLE_Buildings_Army[#Headers],0)+1)</f>
        <v>0</v>
      </c>
      <c r="Q73" s="256"/>
      <c r="R73" s="231"/>
      <c r="S73" s="232"/>
      <c r="T73" s="104">
        <f>IF(SUM(M75:M79)&gt;O73,"Error",SUM(M75:M79))</f>
        <v>0</v>
      </c>
      <c r="U73" s="105">
        <f>IF(T$73="Error","Error",O73-T73)</f>
        <v>0</v>
      </c>
      <c r="V73" s="233">
        <f>IF(T$73="Error","Error",SUM(Q75:Q79))</f>
        <v>0</v>
      </c>
    </row>
    <row r="74" spans="1:22" ht="15" customHeight="1" thickBot="1" x14ac:dyDescent="0.3">
      <c r="A74" s="1100" t="s">
        <v>343</v>
      </c>
      <c r="B74" s="1101"/>
      <c r="C74" s="1102"/>
      <c r="D74" s="85" t="s">
        <v>38</v>
      </c>
      <c r="E74" s="86" t="s">
        <v>39</v>
      </c>
      <c r="F74" s="255"/>
      <c r="G74" s="88"/>
      <c r="H74" s="89"/>
      <c r="I74" s="615" t="s">
        <v>256</v>
      </c>
      <c r="J74" s="619" t="s">
        <v>362</v>
      </c>
      <c r="K74" s="616" t="s">
        <v>257</v>
      </c>
      <c r="L74" s="107" t="s">
        <v>30</v>
      </c>
      <c r="M74" s="144" t="s">
        <v>29</v>
      </c>
      <c r="N74" s="109"/>
      <c r="O74" s="257"/>
      <c r="P74" s="258"/>
      <c r="Q74" s="262" t="s">
        <v>29</v>
      </c>
      <c r="R74" s="263" t="s">
        <v>30</v>
      </c>
      <c r="S74" s="653" t="s">
        <v>258</v>
      </c>
      <c r="T74" s="653" t="s">
        <v>259</v>
      </c>
      <c r="U74" s="653" t="s">
        <v>232</v>
      </c>
      <c r="V74" s="654" t="s">
        <v>233</v>
      </c>
    </row>
    <row r="75" spans="1:22" ht="15" customHeight="1" thickBot="1" x14ac:dyDescent="0.3">
      <c r="A75" s="1103"/>
      <c r="B75" s="1104"/>
      <c r="C75" s="1105"/>
      <c r="D75" s="95">
        <f>VLOOKUP($A$2,AVAILABLE_Buildings_Army[#All],MATCH(A74,AVAILABLE_Buildings_Army[#Headers],0))</f>
        <v>0</v>
      </c>
      <c r="E75" s="96">
        <f>VLOOKUP($A$2,AVAILABLE_Buildings_Army[#All],MATCH(A74,AVAILABLE_Buildings_Army[#Headers],0)+1)</f>
        <v>0</v>
      </c>
      <c r="F75" s="256"/>
      <c r="G75" s="231"/>
      <c r="H75" s="232"/>
      <c r="I75" s="104">
        <f>IF(SUM(B77:B82)&gt;D75,"Error",SUM(B77:B82))</f>
        <v>0</v>
      </c>
      <c r="J75" s="105">
        <f>IF(I$75="Error","Error",D75-I75)</f>
        <v>0</v>
      </c>
      <c r="K75" s="233">
        <f>IF(I$75="Error","Error",SUM(F77:F82))</f>
        <v>0</v>
      </c>
      <c r="L75" s="145">
        <v>1</v>
      </c>
      <c r="M75" s="146" t="str">
        <f>IF(Paramètres!L6=0,"",Paramètres!L6)</f>
        <v/>
      </c>
      <c r="N75" s="147">
        <f>IF(N74&lt;&gt;0,N74+IF(AND(M74&lt;&gt;"",L74&lt;P$73),M74,0),IF(AND(M74&lt;&gt;"",L74&lt;P$73),M74,0))</f>
        <v>0</v>
      </c>
      <c r="O75" s="117"/>
      <c r="P75" s="118"/>
      <c r="Q75" s="259" t="str">
        <f>IF(R75&lt;&gt;"/",IF(T$73="Error","Error",$U$73+N75),"/")</f>
        <v>/</v>
      </c>
      <c r="R75" s="260" t="str">
        <f>IF(T$73="Error","Error",IF(AND($P$73&lt;&gt;"/",$P$73&gt;'Paramètres - Admin'!$A2),'Paramètres - Admin'!$A3,"/"))</f>
        <v>/</v>
      </c>
      <c r="S75" s="449" t="str">
        <f>IF(R75&lt;&gt;"/",VLOOKUP(R75,COSTS_Spell_Factory[#All],2),"/")</f>
        <v>/</v>
      </c>
      <c r="T75" s="181" t="str">
        <f>IF(R75&lt;&gt;"/",VLOOKUP(R75,COSTS_Spell_Factory[#All],3),"/")</f>
        <v>/</v>
      </c>
      <c r="U75" s="449">
        <f>IF(T$73="Error","Error",IF(S75&lt;&gt;"/",Q75*S75,0))</f>
        <v>0</v>
      </c>
      <c r="V75" s="261">
        <f>IF(T$73="Error","Error",IF(T75&lt;&gt;"/",Q75*T75,0))</f>
        <v>0</v>
      </c>
    </row>
    <row r="76" spans="1:22" ht="15" customHeight="1" thickBot="1" x14ac:dyDescent="0.3">
      <c r="A76" s="107" t="s">
        <v>30</v>
      </c>
      <c r="B76" s="400" t="s">
        <v>29</v>
      </c>
      <c r="C76" s="977"/>
      <c r="D76" s="978"/>
      <c r="E76" s="979"/>
      <c r="F76" s="546" t="s">
        <v>29</v>
      </c>
      <c r="G76" s="547" t="s">
        <v>30</v>
      </c>
      <c r="H76" s="272" t="s">
        <v>258</v>
      </c>
      <c r="I76" s="272" t="s">
        <v>259</v>
      </c>
      <c r="J76" s="272" t="s">
        <v>232</v>
      </c>
      <c r="K76" s="273" t="s">
        <v>233</v>
      </c>
      <c r="L76" s="237">
        <v>2</v>
      </c>
      <c r="M76" s="634" t="str">
        <f>IF(Paramètres!L7=0,"",Paramètres!L7)</f>
        <v/>
      </c>
      <c r="N76" s="635">
        <f t="shared" ref="N76:N79" si="32">IF(N75&lt;&gt;0,N75+IF(AND(M75&lt;&gt;"",L75&lt;P$73),M75,0),IF(AND(M75&lt;&gt;"",L75&lt;P$73),M75,0))</f>
        <v>0</v>
      </c>
      <c r="O76" s="627"/>
      <c r="P76" s="628"/>
      <c r="Q76" s="647" t="str">
        <f>IF(R76&lt;&gt;"/",IF(T$73="Error","Error",$U$73+N76),"/")</f>
        <v>/</v>
      </c>
      <c r="R76" s="648" t="str">
        <f>IF(T$73="Error","Error",IF(AND($P$73&lt;&gt;"/",$P$73&gt;'Paramètres - Admin'!$A3),'Paramètres - Admin'!$A4,"/"))</f>
        <v>/</v>
      </c>
      <c r="S76" s="449" t="str">
        <f>IF(R76&lt;&gt;"/",VLOOKUP(R76,COSTS_Spell_Factory[#All],2),"/")</f>
        <v>/</v>
      </c>
      <c r="T76" s="638" t="str">
        <f>IF(R76&lt;&gt;"/",VLOOKUP(R76,COSTS_Spell_Factory[#All],3),"/")</f>
        <v>/</v>
      </c>
      <c r="U76" s="449">
        <f>IF(T$73="Error","Error",IF(S76&lt;&gt;"/",Q76*S76,0))</f>
        <v>0</v>
      </c>
      <c r="V76" s="649">
        <f>IF(T$73="Error","Error",IF(T76&lt;&gt;"/",Q76*T76,0))</f>
        <v>0</v>
      </c>
    </row>
    <row r="77" spans="1:22" ht="15" customHeight="1" thickBot="1" x14ac:dyDescent="0.3">
      <c r="A77" s="122">
        <v>1</v>
      </c>
      <c r="B77" s="729" t="str">
        <f>IF(Paramètres!I6=0,"",Paramètres!I6)</f>
        <v/>
      </c>
      <c r="C77" s="730">
        <f>IF(C76&lt;&gt;0,C76+IF(AND(B76&lt;&gt;"",A76&lt;E$75),B76,0),IF(AND(B76&lt;&gt;"",A76&lt;E$75),B76,0))</f>
        <v>0</v>
      </c>
      <c r="D77" s="730"/>
      <c r="E77" s="730"/>
      <c r="F77" s="708" t="str">
        <f t="shared" ref="F77:F82" si="33">IF(G77&lt;&gt;"/",IF(I$75="Error","Error",$J$75+C77),"/")</f>
        <v>/</v>
      </c>
      <c r="G77" s="548" t="str">
        <f>IF(I$75="Error","Error",IF(AND($E$75&lt;&gt;"/",$E$75&gt;'Paramètres - Admin'!$A2),'Paramètres - Admin'!$A3,"/"))</f>
        <v>/</v>
      </c>
      <c r="H77" s="440" t="str">
        <f>IF(G77&lt;&gt;"/",VLOOKUP(G77,COSTS_Dark_Barrack[#All],2),"/")</f>
        <v>/</v>
      </c>
      <c r="I77" s="549" t="str">
        <f>IF(G77&lt;&gt;"/",VLOOKUP(G77,COSTS_Dark_Barrack[#All],3),"/")</f>
        <v>/</v>
      </c>
      <c r="J77" s="440">
        <f t="shared" ref="J77:J82" si="34">IF(I$75="Error","Error",IF(H77&lt;&gt;"/",F77*H77,0))</f>
        <v>0</v>
      </c>
      <c r="K77" s="550">
        <f t="shared" ref="K77:K82" si="35">IF(I$75="Error","Error",IF(I77&lt;&gt;"/",F77*I77,0))</f>
        <v>0</v>
      </c>
      <c r="L77" s="237">
        <v>3</v>
      </c>
      <c r="M77" s="634" t="str">
        <f>IF(Paramètres!L8=0,"",Paramètres!L8)</f>
        <v/>
      </c>
      <c r="N77" s="635">
        <f t="shared" si="32"/>
        <v>0</v>
      </c>
      <c r="O77" s="627"/>
      <c r="P77" s="628"/>
      <c r="Q77" s="647" t="str">
        <f>IF(R77&lt;&gt;"/",IF(T$73="Error","Error",$U$73+N77),"/")</f>
        <v>/</v>
      </c>
      <c r="R77" s="648" t="str">
        <f>IF(T$73="Error","Error",IF(AND($P$73&lt;&gt;"/",$P$73&gt;'Paramètres - Admin'!$A4),'Paramètres - Admin'!$A5,"/"))</f>
        <v>/</v>
      </c>
      <c r="S77" s="449" t="str">
        <f>IF(R77&lt;&gt;"/",VLOOKUP(R77,COSTS_Spell_Factory[#All],2),"/")</f>
        <v>/</v>
      </c>
      <c r="T77" s="638" t="str">
        <f>IF(R77&lt;&gt;"/",VLOOKUP(R77,COSTS_Spell_Factory[#All],3),"/")</f>
        <v>/</v>
      </c>
      <c r="U77" s="449">
        <f>IF(T$73="Error","Error",IF(S77&lt;&gt;"/",Q77*S77,0))</f>
        <v>0</v>
      </c>
      <c r="V77" s="649">
        <f>IF(T$73="Error","Error",IF(T77&lt;&gt;"/",Q77*T77,0))</f>
        <v>0</v>
      </c>
    </row>
    <row r="78" spans="1:22" ht="15" customHeight="1" thickBot="1" x14ac:dyDescent="0.3">
      <c r="A78" s="705">
        <v>2</v>
      </c>
      <c r="B78" s="731" t="str">
        <f>IF(Paramètres!I7=0,"",Paramètres!I7)</f>
        <v/>
      </c>
      <c r="C78" s="730">
        <f t="shared" ref="C78:C82" si="36">IF(C77&lt;&gt;0,C77+IF(AND(B77&lt;&gt;"",A77&lt;E$75),B77,0),IF(AND(B77&lt;&gt;"",A77&lt;E$75),B77,0))</f>
        <v>0</v>
      </c>
      <c r="D78" s="980"/>
      <c r="E78" s="980"/>
      <c r="F78" s="709" t="str">
        <f t="shared" si="33"/>
        <v>/</v>
      </c>
      <c r="G78" s="120" t="str">
        <f>IF(I$75="Error","Error",IF(AND($E$75&lt;&gt;"/",$E$75&gt;'Paramètres - Admin'!$A3),'Paramètres - Admin'!$A4,"/"))</f>
        <v>/</v>
      </c>
      <c r="H78" s="441" t="str">
        <f>IF(G78&lt;&gt;"/",VLOOKUP(G78,COSTS_Dark_Barrack[#All],2),"/")</f>
        <v>/</v>
      </c>
      <c r="I78" s="101" t="str">
        <f>IF(G78&lt;&gt;"/",VLOOKUP(G78,COSTS_Dark_Barrack[#All],3),"/")</f>
        <v>/</v>
      </c>
      <c r="J78" s="441">
        <f t="shared" si="34"/>
        <v>0</v>
      </c>
      <c r="K78" s="629">
        <f t="shared" si="35"/>
        <v>0</v>
      </c>
      <c r="L78" s="237">
        <v>4</v>
      </c>
      <c r="M78" s="634" t="str">
        <f>IF(Paramètres!L9=0,"",Paramètres!L9)</f>
        <v/>
      </c>
      <c r="N78" s="635">
        <f t="shared" si="32"/>
        <v>0</v>
      </c>
      <c r="O78" s="627"/>
      <c r="P78" s="628"/>
      <c r="Q78" s="647" t="str">
        <f>IF(R78&lt;&gt;"/",IF(T$73="Error","Error",$U$73+N78),"/")</f>
        <v>/</v>
      </c>
      <c r="R78" s="648" t="str">
        <f>IF(T$73="Error","Error",IF(AND($P$73&lt;&gt;"/",$P$73&gt;'Paramètres - Admin'!$A5),'Paramètres - Admin'!$A6,"/"))</f>
        <v>/</v>
      </c>
      <c r="S78" s="449" t="str">
        <f>IF(R78&lt;&gt;"/",VLOOKUP(R78,COSTS_Spell_Factory[#All],2),"/")</f>
        <v>/</v>
      </c>
      <c r="T78" s="638" t="str">
        <f>IF(R78&lt;&gt;"/",VLOOKUP(R78,COSTS_Spell_Factory[#All],3),"/")</f>
        <v>/</v>
      </c>
      <c r="U78" s="449">
        <f>IF(T$73="Error","Error",IF(S78&lt;&gt;"/",Q78*S78,0))</f>
        <v>0</v>
      </c>
      <c r="V78" s="649">
        <f>IF(T$73="Error","Error",IF(T78&lt;&gt;"/",Q78*T78,0))</f>
        <v>0</v>
      </c>
    </row>
    <row r="79" spans="1:22" ht="15" customHeight="1" thickBot="1" x14ac:dyDescent="0.3">
      <c r="A79" s="705">
        <v>3</v>
      </c>
      <c r="B79" s="731" t="str">
        <f>IF(Paramètres!I8=0,"",Paramètres!I8)</f>
        <v/>
      </c>
      <c r="C79" s="730">
        <f t="shared" si="36"/>
        <v>0</v>
      </c>
      <c r="D79" s="980"/>
      <c r="E79" s="980"/>
      <c r="F79" s="709" t="str">
        <f t="shared" si="33"/>
        <v>/</v>
      </c>
      <c r="G79" s="120" t="str">
        <f>IF(I$75="Error","Error",IF(AND($E$75&lt;&gt;"/",$E$75&gt;'Paramètres - Admin'!$A4),'Paramètres - Admin'!$A5,"/"))</f>
        <v>/</v>
      </c>
      <c r="H79" s="441" t="str">
        <f>IF(G79&lt;&gt;"/",VLOOKUP(G79,COSTS_Dark_Barrack[#All],2),"/")</f>
        <v>/</v>
      </c>
      <c r="I79" s="101" t="str">
        <f>IF(G79&lt;&gt;"/",VLOOKUP(G79,COSTS_Dark_Barrack[#All],3),"/")</f>
        <v>/</v>
      </c>
      <c r="J79" s="441">
        <f t="shared" si="34"/>
        <v>0</v>
      </c>
      <c r="K79" s="629">
        <f t="shared" si="35"/>
        <v>0</v>
      </c>
      <c r="L79" s="237">
        <v>5</v>
      </c>
      <c r="M79" s="634" t="str">
        <f>IF(Paramètres!L10=0,"",Paramètres!L10)</f>
        <v/>
      </c>
      <c r="N79" s="635">
        <f t="shared" si="32"/>
        <v>0</v>
      </c>
      <c r="O79" s="627"/>
      <c r="P79" s="628"/>
      <c r="Q79" s="647" t="str">
        <f>IF(R79&lt;&gt;"/",IF(T$73="Error","Error",$U$73+N79),"/")</f>
        <v>/</v>
      </c>
      <c r="R79" s="648" t="str">
        <f>IF(T$73="Error","Error",IF(AND($P$73&lt;&gt;"/",$P$73&gt;'Paramètres - Admin'!$A6),'Paramètres - Admin'!$A7,"/"))</f>
        <v>/</v>
      </c>
      <c r="S79" s="449" t="str">
        <f>IF(R79&lt;&gt;"/",VLOOKUP(R79,COSTS_Spell_Factory[#All],2),"/")</f>
        <v>/</v>
      </c>
      <c r="T79" s="724" t="str">
        <f>IF(R79&lt;&gt;"/",VLOOKUP(R79,COSTS_Spell_Factory[#All],3),"/")</f>
        <v>/</v>
      </c>
      <c r="U79" s="725">
        <f>IF(T$73="Error","Error",IF(S79&lt;&gt;"/",Q79*S79,0))</f>
        <v>0</v>
      </c>
      <c r="V79" s="726">
        <f>IF(T$73="Error","Error",IF(T79&lt;&gt;"/",Q79*T79,0))</f>
        <v>0</v>
      </c>
    </row>
    <row r="80" spans="1:22" ht="15" customHeight="1" thickBot="1" x14ac:dyDescent="0.3">
      <c r="A80" s="705">
        <v>4</v>
      </c>
      <c r="B80" s="731" t="str">
        <f>IF(Paramètres!I9=0,"",Paramètres!I9)</f>
        <v/>
      </c>
      <c r="C80" s="730">
        <f t="shared" si="36"/>
        <v>0</v>
      </c>
      <c r="D80" s="980"/>
      <c r="E80" s="980"/>
      <c r="F80" s="709" t="str">
        <f t="shared" si="33"/>
        <v>/</v>
      </c>
      <c r="G80" s="120" t="str">
        <f>IF(I$75="Error","Error",IF(AND($E$75&lt;&gt;"/",$E$75&gt;'Paramètres - Admin'!$A5),'Paramètres - Admin'!$A6,"/"))</f>
        <v>/</v>
      </c>
      <c r="H80" s="441" t="str">
        <f>IF(G80&lt;&gt;"/",VLOOKUP(G80,COSTS_Dark_Barrack[#All],2),"/")</f>
        <v>/</v>
      </c>
      <c r="I80" s="101" t="str">
        <f>IF(G80&lt;&gt;"/",VLOOKUP(G80,COSTS_Dark_Barrack[#All],3),"/")</f>
        <v>/</v>
      </c>
      <c r="J80" s="441">
        <f t="shared" si="34"/>
        <v>0</v>
      </c>
      <c r="K80" s="629">
        <f t="shared" si="35"/>
        <v>0</v>
      </c>
      <c r="L80" s="1148"/>
      <c r="M80" s="1148"/>
      <c r="N80" s="1148"/>
      <c r="O80" s="1148"/>
      <c r="P80" s="1148"/>
      <c r="Q80" s="1148"/>
      <c r="R80" s="1148"/>
      <c r="S80" s="1149"/>
      <c r="T80" s="329" t="s">
        <v>31</v>
      </c>
      <c r="U80" s="452">
        <f>IF(T$73="Error","Error",SUM(U75:U79))</f>
        <v>0</v>
      </c>
      <c r="V80" s="727">
        <f>IF(T$73="Error","Error",SUM(V75:V79))</f>
        <v>0</v>
      </c>
    </row>
    <row r="81" spans="1:22" ht="15" customHeight="1" thickBot="1" x14ac:dyDescent="0.3">
      <c r="A81" s="705">
        <v>5</v>
      </c>
      <c r="B81" s="731" t="str">
        <f>IF(Paramètres!I10=0,"",Paramètres!I10)</f>
        <v/>
      </c>
      <c r="C81" s="730">
        <f t="shared" si="36"/>
        <v>0</v>
      </c>
      <c r="D81" s="980"/>
      <c r="E81" s="980"/>
      <c r="F81" s="709" t="str">
        <f t="shared" si="33"/>
        <v>/</v>
      </c>
      <c r="G81" s="120" t="str">
        <f>IF(I$75="Error","Error",IF(AND($E$75&lt;&gt;"/",$E$75&gt;'Paramètres - Admin'!$A6),'Paramètres - Admin'!$A7,"/"))</f>
        <v>/</v>
      </c>
      <c r="H81" s="441" t="str">
        <f>IF(G81&lt;&gt;"/",VLOOKUP(G81,COSTS_Dark_Barrack[#All],2),"/")</f>
        <v>/</v>
      </c>
      <c r="I81" s="101" t="str">
        <f>IF(G81&lt;&gt;"/",VLOOKUP(G81,COSTS_Dark_Barrack[#All],3),"/")</f>
        <v>/</v>
      </c>
      <c r="J81" s="441">
        <f t="shared" si="34"/>
        <v>0</v>
      </c>
      <c r="K81" s="629">
        <f t="shared" si="35"/>
        <v>0</v>
      </c>
      <c r="L81" s="1100" t="s">
        <v>707</v>
      </c>
      <c r="M81" s="1101"/>
      <c r="N81" s="1102"/>
      <c r="O81" s="615" t="s">
        <v>38</v>
      </c>
      <c r="P81" s="616" t="s">
        <v>39</v>
      </c>
      <c r="Q81" s="643"/>
      <c r="R81" s="617"/>
      <c r="S81" s="618"/>
      <c r="T81" s="615" t="s">
        <v>256</v>
      </c>
      <c r="U81" s="619" t="s">
        <v>362</v>
      </c>
      <c r="V81" s="616" t="s">
        <v>257</v>
      </c>
    </row>
    <row r="82" spans="1:22" ht="15" customHeight="1" thickBot="1" x14ac:dyDescent="0.3">
      <c r="A82" s="706">
        <v>6</v>
      </c>
      <c r="B82" s="732" t="str">
        <f>IF(Paramètres!I11=0,"",Paramètres!I11)</f>
        <v/>
      </c>
      <c r="C82" s="730">
        <f t="shared" si="36"/>
        <v>0</v>
      </c>
      <c r="D82" s="981"/>
      <c r="E82" s="981"/>
      <c r="F82" s="710" t="str">
        <f t="shared" si="33"/>
        <v>/</v>
      </c>
      <c r="G82" s="130" t="str">
        <f>IF(I$75="Error","Error",IF(AND($E$75&lt;&gt;"/",$E$75&gt;'Paramètres - Admin'!$A7),'Paramètres - Admin'!$A8,"/"))</f>
        <v>/</v>
      </c>
      <c r="H82" s="442" t="str">
        <f>IF(G82&lt;&gt;"/",VLOOKUP(G82,COSTS_Dark_Barrack[#All],2),"/")</f>
        <v>/</v>
      </c>
      <c r="I82" s="127" t="str">
        <f>IF(G82&lt;&gt;"/",VLOOKUP(G82,COSTS_Dark_Barrack[#All],3),"/")</f>
        <v>/</v>
      </c>
      <c r="J82" s="442">
        <f t="shared" si="34"/>
        <v>0</v>
      </c>
      <c r="K82" s="131">
        <f t="shared" si="35"/>
        <v>0</v>
      </c>
      <c r="L82" s="1103"/>
      <c r="M82" s="1104"/>
      <c r="N82" s="1105"/>
      <c r="O82" s="620">
        <f>VLOOKUP($A$2,AVAILABLE_Buildings_Army[#All],MATCH(L81,AVAILABLE_Buildings_Army[#Headers],0))</f>
        <v>0</v>
      </c>
      <c r="P82" s="621">
        <f>VLOOKUP($A$2,AVAILABLE_Buildings_Army[#All],MATCH(L81,AVAILABLE_Buildings_Army[#Headers],0)+1)</f>
        <v>0</v>
      </c>
      <c r="Q82" s="644"/>
      <c r="R82" s="640"/>
      <c r="S82" s="641"/>
      <c r="T82" s="623">
        <f>IF(SUM(M84:M86)&gt;O82,"Error",SUM(M84:M86))</f>
        <v>0</v>
      </c>
      <c r="U82" s="624">
        <f>IF(T$82="Error","Error",O82-T82)</f>
        <v>0</v>
      </c>
      <c r="V82" s="642">
        <f>IF(T$82="Error","Error",SUM(Q84:Q86))</f>
        <v>0</v>
      </c>
    </row>
    <row r="83" spans="1:22" ht="15" customHeight="1" thickBot="1" x14ac:dyDescent="0.3">
      <c r="A83" s="1106"/>
      <c r="B83" s="1107"/>
      <c r="C83" s="1107"/>
      <c r="D83" s="1107"/>
      <c r="E83" s="1107"/>
      <c r="F83" s="1107"/>
      <c r="G83" s="1107"/>
      <c r="H83" s="1108"/>
      <c r="I83" s="614" t="s">
        <v>31</v>
      </c>
      <c r="J83" s="443">
        <f>IF(I$75="Error","Error",SUM(J77:J82))</f>
        <v>0</v>
      </c>
      <c r="K83" s="655">
        <f>IF(I$75="Error","Error",SUM(K77:K82))</f>
        <v>0</v>
      </c>
      <c r="L83" s="625" t="s">
        <v>30</v>
      </c>
      <c r="M83" s="632" t="s">
        <v>29</v>
      </c>
      <c r="N83" s="626"/>
      <c r="O83" s="645"/>
      <c r="P83" s="646"/>
      <c r="Q83" s="651" t="s">
        <v>29</v>
      </c>
      <c r="R83" s="652" t="s">
        <v>30</v>
      </c>
      <c r="S83" s="653" t="s">
        <v>258</v>
      </c>
      <c r="T83" s="653" t="s">
        <v>259</v>
      </c>
      <c r="U83" s="653" t="s">
        <v>232</v>
      </c>
      <c r="V83" s="654" t="s">
        <v>233</v>
      </c>
    </row>
    <row r="84" spans="1:22" ht="15" customHeight="1" x14ac:dyDescent="0.25">
      <c r="A84" s="1100" t="s">
        <v>338</v>
      </c>
      <c r="B84" s="1101"/>
      <c r="C84" s="1102"/>
      <c r="D84" s="85" t="s">
        <v>38</v>
      </c>
      <c r="E84" s="86" t="s">
        <v>39</v>
      </c>
      <c r="F84" s="255"/>
      <c r="G84" s="88"/>
      <c r="H84" s="89"/>
      <c r="I84" s="615" t="s">
        <v>256</v>
      </c>
      <c r="J84" s="619" t="s">
        <v>362</v>
      </c>
      <c r="K84" s="616" t="s">
        <v>257</v>
      </c>
      <c r="L84" s="633">
        <v>1</v>
      </c>
      <c r="M84" s="634" t="str">
        <f>IF(Paramètres!M6=0,"",Paramètres!M6)</f>
        <v/>
      </c>
      <c r="N84" s="635">
        <f>IF(N83&lt;&gt;0,N83+IF(AND(M83&lt;&gt;"",L83&lt;P$82),M83,0),IF(AND(M83&lt;&gt;"",L83&lt;P$82),M83,0))</f>
        <v>0</v>
      </c>
      <c r="O84" s="627"/>
      <c r="P84" s="628"/>
      <c r="Q84" s="647" t="str">
        <f>IF(R84&lt;&gt;"/",IF(T$82="Error","Error",$U$82+N84),"/")</f>
        <v>/</v>
      </c>
      <c r="R84" s="648" t="str">
        <f>IF(T$82="Error","Error",IF(AND($P$82&lt;&gt;"/",$P$82&gt;'Paramètres - Admin'!$A2),'Paramètres - Admin'!$A3,"/"))</f>
        <v>/</v>
      </c>
      <c r="S84" s="449" t="str">
        <f>IF(R84&lt;&gt;"/",VLOOKUP(R84,COSTS_Dark_Spell_Factory[#All],2),"/")</f>
        <v>/</v>
      </c>
      <c r="T84" s="638" t="str">
        <f>IF(R84&lt;&gt;"/",VLOOKUP(R84,COSTS_Dark_Spell_Factory[#All],3),"/")</f>
        <v>/</v>
      </c>
      <c r="U84" s="449">
        <f>IF(T$82="Error","Error",IF(S84&lt;&gt;"/",Q84*S84,0))</f>
        <v>0</v>
      </c>
      <c r="V84" s="649">
        <f>IF(T$82="Error","Error",IF(T84&lt;&gt;"/",Q84*T84,0))</f>
        <v>0</v>
      </c>
    </row>
    <row r="85" spans="1:22" ht="15" customHeight="1" thickBot="1" x14ac:dyDescent="0.3">
      <c r="A85" s="1103"/>
      <c r="B85" s="1104"/>
      <c r="C85" s="1105"/>
      <c r="D85" s="95">
        <f>VLOOKUP($A$2,AVAILABLE_Buildings_Army[#All],MATCH(A84,AVAILABLE_Buildings_Army[#Headers],0))</f>
        <v>1</v>
      </c>
      <c r="E85" s="96">
        <f>VLOOKUP($A$2,AVAILABLE_Buildings_Army[#All],MATCH(A84,AVAILABLE_Buildings_Army[#Headers],0)+1)</f>
        <v>1</v>
      </c>
      <c r="F85" s="256"/>
      <c r="G85" s="231"/>
      <c r="H85" s="232"/>
      <c r="I85" s="104">
        <f>IF(SUM(B87:B94)&gt;D85,"Error",SUM(B87:B94))</f>
        <v>0</v>
      </c>
      <c r="J85" s="105">
        <f>IF(I$85="Error","Error",D85-I85)</f>
        <v>1</v>
      </c>
      <c r="K85" s="233">
        <f>IF(I$85="Error","Error",SUM(F87:F94))</f>
        <v>1</v>
      </c>
      <c r="L85" s="960">
        <v>2</v>
      </c>
      <c r="M85" s="634" t="str">
        <f>IF(Paramètres!M7=0,"",Paramètres!M7)</f>
        <v/>
      </c>
      <c r="N85" s="635">
        <f>IF(N84&lt;&gt;0,N84+IF(AND(M84&lt;&gt;"",L84&lt;P$82),M84,0),IF(AND(M84&lt;&gt;"",L84&lt;P$82),M84,0))</f>
        <v>0</v>
      </c>
      <c r="O85" s="627"/>
      <c r="P85" s="628"/>
      <c r="Q85" s="647" t="str">
        <f>IF(R85&lt;&gt;"/",IF(T$82="Error","Error",$U$82+N85),"/")</f>
        <v>/</v>
      </c>
      <c r="R85" s="648" t="str">
        <f>IF(T$82="Error","Error",IF(AND($P$82&lt;&gt;"/",$P$82&gt;'Paramètres - Admin'!$A3),'Paramètres - Admin'!$A4,"/"))</f>
        <v>/</v>
      </c>
      <c r="S85" s="449" t="str">
        <f>IF(R85&lt;&gt;"/",VLOOKUP(R85,COSTS_Dark_Spell_Factory[#All],2),"/")</f>
        <v>/</v>
      </c>
      <c r="T85" s="638" t="str">
        <f>IF(R85&lt;&gt;"/",VLOOKUP(R85,COSTS_Dark_Spell_Factory[#All],3),"/")</f>
        <v>/</v>
      </c>
      <c r="U85" s="449">
        <f>IF(T$73="Error","Error",IF(S85&lt;&gt;"/",Q85*S85,0))</f>
        <v>0</v>
      </c>
      <c r="V85" s="649">
        <f>IF(T$73="Error","Error",IF(T85&lt;&gt;"/",Q85*T85,0))</f>
        <v>0</v>
      </c>
    </row>
    <row r="86" spans="1:22" ht="15" customHeight="1" thickBot="1" x14ac:dyDescent="0.3">
      <c r="A86" s="107" t="s">
        <v>30</v>
      </c>
      <c r="B86" s="144" t="s">
        <v>29</v>
      </c>
      <c r="C86" s="109"/>
      <c r="D86" s="257"/>
      <c r="E86" s="258"/>
      <c r="F86" s="262" t="s">
        <v>29</v>
      </c>
      <c r="G86" s="263" t="s">
        <v>30</v>
      </c>
      <c r="H86" s="653" t="s">
        <v>258</v>
      </c>
      <c r="I86" s="653" t="s">
        <v>259</v>
      </c>
      <c r="J86" s="653" t="s">
        <v>232</v>
      </c>
      <c r="K86" s="654" t="s">
        <v>233</v>
      </c>
      <c r="L86" s="960">
        <v>3</v>
      </c>
      <c r="M86" s="634" t="str">
        <f>IF(Paramètres!M8=0,"",Paramètres!M8)</f>
        <v/>
      </c>
      <c r="N86" s="635">
        <f>IF(N85&lt;&gt;0,N85+IF(AND(M85&lt;&gt;"",L85&lt;P$82),M85,0),IF(AND(M85&lt;&gt;"",L85&lt;P$82),M85,0))</f>
        <v>0</v>
      </c>
      <c r="O86" s="627"/>
      <c r="P86" s="628"/>
      <c r="Q86" s="647" t="str">
        <f>IF(R86&lt;&gt;"/",IF(T$82="Error","Error",$U$82+N86),"/")</f>
        <v>/</v>
      </c>
      <c r="R86" s="648" t="str">
        <f>IF(T$82="Error","Error",IF(AND($P$82&lt;&gt;"/",$P$82&gt;'Paramètres - Admin'!$A4),'Paramètres - Admin'!$A5,"/"))</f>
        <v>/</v>
      </c>
      <c r="S86" s="449" t="str">
        <f>IF(R86&lt;&gt;"/",VLOOKUP(R86,COSTS_Dark_Spell_Factory[#All],2),"/")</f>
        <v>/</v>
      </c>
      <c r="T86" s="638" t="str">
        <f>IF(R86&lt;&gt;"/",VLOOKUP(R86,COSTS_Dark_Spell_Factory[#All],3),"/")</f>
        <v>/</v>
      </c>
      <c r="U86" s="449">
        <f>IF(T$73="Error","Error",IF(S86&lt;&gt;"/",Q86*S86,0))</f>
        <v>0</v>
      </c>
      <c r="V86" s="649">
        <f>IF(T$73="Error","Error",IF(T86&lt;&gt;"/",Q86*T86,0))</f>
        <v>0</v>
      </c>
    </row>
    <row r="87" spans="1:22" ht="15" customHeight="1" thickBot="1" x14ac:dyDescent="0.3">
      <c r="A87" s="145">
        <v>1</v>
      </c>
      <c r="B87" s="146" t="str">
        <f>IF(Paramètres!J6=0,"",Paramètres!J6)</f>
        <v/>
      </c>
      <c r="C87" s="147">
        <f>IF(C86&lt;&gt;0,C86+IF(AND(B86&lt;&gt;"",A86&lt;E$85),B86,0),IF(AND(B86&lt;&gt;"",A86&lt;E$85),B86,0))</f>
        <v>0</v>
      </c>
      <c r="D87" s="117"/>
      <c r="E87" s="118"/>
      <c r="F87" s="259">
        <f>IF(G87&lt;&gt;"/",IF(I$85="Error","Error",$J$85+C87),"/")</f>
        <v>1</v>
      </c>
      <c r="G87" s="260">
        <f>IF(I$85="Error","Error",IF(AND($E$85&lt;&gt;"/",$E$85&gt;'Paramètres - Admin'!$A2),'Paramètres - Admin'!$A3,"/"))</f>
        <v>1</v>
      </c>
      <c r="H87" s="449">
        <f>IF(G87&lt;&gt;"/",VLOOKUP(G87,COSTS_Army_Camp[#All],2),"/")</f>
        <v>250</v>
      </c>
      <c r="I87" s="181">
        <f>IF(G87&lt;&gt;"/",VLOOKUP(G87,COSTS_Army_Camp[#All],3),"/")</f>
        <v>8.3333333333333329E-2</v>
      </c>
      <c r="J87" s="449">
        <f>IF(I$85="Error","Error",IF(H87&lt;&gt;"/",F87*H87,0))</f>
        <v>250</v>
      </c>
      <c r="K87" s="261">
        <f>IF(I$85="Error","Error",IF(I87&lt;&gt;"/",F87*I87,0))</f>
        <v>8.3333333333333329E-2</v>
      </c>
      <c r="L87" s="1148"/>
      <c r="M87" s="1148"/>
      <c r="N87" s="1148"/>
      <c r="O87" s="1148"/>
      <c r="P87" s="1148"/>
      <c r="Q87" s="1148"/>
      <c r="R87" s="1148"/>
      <c r="S87" s="1149"/>
      <c r="T87" s="329" t="s">
        <v>31</v>
      </c>
      <c r="U87" s="452">
        <f>IF(T$73="Error","Error",SUM(U84:U86))</f>
        <v>0</v>
      </c>
      <c r="V87" s="727">
        <f>IF(T$73="Error","Error",SUM(V84:V86))</f>
        <v>0</v>
      </c>
    </row>
    <row r="88" spans="1:22" ht="15" customHeight="1" x14ac:dyDescent="0.25">
      <c r="A88" s="148">
        <v>2</v>
      </c>
      <c r="B88" s="634" t="str">
        <f>IF(Paramètres!J7=0,"",Paramètres!J7)</f>
        <v/>
      </c>
      <c r="C88" s="635">
        <f t="shared" ref="C88:C94" si="37">IF(C87&lt;&gt;0,C87+IF(AND(B87&lt;&gt;"",A87&lt;E$6),B87,0),IF(AND(B87&lt;&gt;"",A87&lt;E$6),B87,0))</f>
        <v>0</v>
      </c>
      <c r="D88" s="627"/>
      <c r="E88" s="628"/>
      <c r="F88" s="647" t="str">
        <f t="shared" ref="F88:F94" si="38">IF(G88&lt;&gt;"/",IF(I$85="Error","Error",$J$85+C88),"/")</f>
        <v>/</v>
      </c>
      <c r="G88" s="648" t="str">
        <f>IF(I$85="Error","Error",IF(AND($E$85&lt;&gt;"/",$E$85&gt;'Paramètres - Admin'!$A3),'Paramètres - Admin'!$A4,"/"))</f>
        <v>/</v>
      </c>
      <c r="H88" s="449" t="str">
        <f>IF(G88&lt;&gt;"/",VLOOKUP(G88,COSTS_Army_Camp[#All],2),"/")</f>
        <v>/</v>
      </c>
      <c r="I88" s="638" t="str">
        <f>IF(G88&lt;&gt;"/",VLOOKUP(G88,COSTS_Army_Camp[#All],3),"/")</f>
        <v>/</v>
      </c>
      <c r="J88" s="449">
        <f t="shared" ref="J88:J94" si="39">IF(I$85="Error","Error",IF(H88&lt;&gt;"/",F88*H88,0))</f>
        <v>0</v>
      </c>
      <c r="K88" s="649">
        <f t="shared" ref="K88:K94" si="40">IF(I$85="Error","Error",IF(I88&lt;&gt;"/",F88*I88,0))</f>
        <v>0</v>
      </c>
    </row>
    <row r="89" spans="1:22" ht="15" customHeight="1" x14ac:dyDescent="0.25">
      <c r="A89" s="148">
        <v>3</v>
      </c>
      <c r="B89" s="634" t="str">
        <f>IF(Paramètres!J8=0,"",Paramètres!J8)</f>
        <v/>
      </c>
      <c r="C89" s="635">
        <f t="shared" si="37"/>
        <v>0</v>
      </c>
      <c r="D89" s="627"/>
      <c r="E89" s="628"/>
      <c r="F89" s="647" t="str">
        <f t="shared" si="38"/>
        <v>/</v>
      </c>
      <c r="G89" s="648" t="str">
        <f>IF(I$85="Error","Error",IF(AND($E$85&lt;&gt;"/",$E$85&gt;'Paramètres - Admin'!$A4),'Paramètres - Admin'!$A5,"/"))</f>
        <v>/</v>
      </c>
      <c r="H89" s="449" t="str">
        <f>IF(G89&lt;&gt;"/",VLOOKUP(G89,COSTS_Army_Camp[#All],2),"/")</f>
        <v>/</v>
      </c>
      <c r="I89" s="638" t="str">
        <f>IF(G89&lt;&gt;"/",VLOOKUP(G89,COSTS_Army_Camp[#All],3),"/")</f>
        <v>/</v>
      </c>
      <c r="J89" s="449">
        <f t="shared" si="39"/>
        <v>0</v>
      </c>
      <c r="K89" s="649">
        <f t="shared" si="40"/>
        <v>0</v>
      </c>
    </row>
    <row r="90" spans="1:22" ht="15" customHeight="1" x14ac:dyDescent="0.25">
      <c r="A90" s="148">
        <v>4</v>
      </c>
      <c r="B90" s="634" t="str">
        <f>IF(Paramètres!J9=0,"",Paramètres!J9)</f>
        <v/>
      </c>
      <c r="C90" s="635">
        <f t="shared" si="37"/>
        <v>0</v>
      </c>
      <c r="D90" s="627"/>
      <c r="E90" s="628"/>
      <c r="F90" s="647" t="str">
        <f t="shared" si="38"/>
        <v>/</v>
      </c>
      <c r="G90" s="648" t="str">
        <f>IF(I$85="Error","Error",IF(AND($E$85&lt;&gt;"/",$E$85&gt;'Paramètres - Admin'!$A5),'Paramètres - Admin'!$A6,"/"))</f>
        <v>/</v>
      </c>
      <c r="H90" s="449" t="str">
        <f>IF(G90&lt;&gt;"/",VLOOKUP(G90,COSTS_Army_Camp[#All],2),"/")</f>
        <v>/</v>
      </c>
      <c r="I90" s="638" t="str">
        <f>IF(G90&lt;&gt;"/",VLOOKUP(G90,COSTS_Army_Camp[#All],3),"/")</f>
        <v>/</v>
      </c>
      <c r="J90" s="449">
        <f t="shared" si="39"/>
        <v>0</v>
      </c>
      <c r="K90" s="649">
        <f t="shared" si="40"/>
        <v>0</v>
      </c>
    </row>
    <row r="91" spans="1:22" ht="15" customHeight="1" x14ac:dyDescent="0.25">
      <c r="A91" s="148">
        <v>5</v>
      </c>
      <c r="B91" s="634" t="str">
        <f>IF(Paramètres!J10=0,"",Paramètres!J10)</f>
        <v/>
      </c>
      <c r="C91" s="635">
        <f t="shared" si="37"/>
        <v>0</v>
      </c>
      <c r="D91" s="627"/>
      <c r="E91" s="628"/>
      <c r="F91" s="647" t="str">
        <f t="shared" si="38"/>
        <v>/</v>
      </c>
      <c r="G91" s="648" t="str">
        <f>IF(I$85="Error","Error",IF(AND($E$85&lt;&gt;"/",$E$85&gt;'Paramètres - Admin'!$A6),'Paramètres - Admin'!$A7,"/"))</f>
        <v>/</v>
      </c>
      <c r="H91" s="449" t="str">
        <f>IF(G91&lt;&gt;"/",VLOOKUP(G91,COSTS_Army_Camp[#All],2),"/")</f>
        <v>/</v>
      </c>
      <c r="I91" s="638" t="str">
        <f>IF(G91&lt;&gt;"/",VLOOKUP(G91,COSTS_Army_Camp[#All],3),"/")</f>
        <v>/</v>
      </c>
      <c r="J91" s="449">
        <f t="shared" si="39"/>
        <v>0</v>
      </c>
      <c r="K91" s="649">
        <f t="shared" si="40"/>
        <v>0</v>
      </c>
    </row>
    <row r="92" spans="1:22" ht="15" customHeight="1" x14ac:dyDescent="0.25">
      <c r="A92" s="148">
        <v>6</v>
      </c>
      <c r="B92" s="634" t="str">
        <f>IF(Paramètres!J11=0,"",Paramètres!J11)</f>
        <v/>
      </c>
      <c r="C92" s="635">
        <f t="shared" si="37"/>
        <v>0</v>
      </c>
      <c r="D92" s="627"/>
      <c r="E92" s="628"/>
      <c r="F92" s="647" t="str">
        <f t="shared" si="38"/>
        <v>/</v>
      </c>
      <c r="G92" s="648" t="str">
        <f>IF(I$85="Error","Error",IF(AND($E$85&lt;&gt;"/",$E$85&gt;'Paramètres - Admin'!$A7),'Paramètres - Admin'!$A8,"/"))</f>
        <v>/</v>
      </c>
      <c r="H92" s="449" t="str">
        <f>IF(G92&lt;&gt;"/",VLOOKUP(G92,COSTS_Army_Camp[#All],2),"/")</f>
        <v>/</v>
      </c>
      <c r="I92" s="638" t="str">
        <f>IF(G92&lt;&gt;"/",VLOOKUP(G92,COSTS_Army_Camp[#All],3),"/")</f>
        <v>/</v>
      </c>
      <c r="J92" s="449">
        <f t="shared" si="39"/>
        <v>0</v>
      </c>
      <c r="K92" s="649">
        <f t="shared" si="40"/>
        <v>0</v>
      </c>
    </row>
    <row r="93" spans="1:22" ht="15" customHeight="1" x14ac:dyDescent="0.25">
      <c r="A93" s="148">
        <v>7</v>
      </c>
      <c r="B93" s="634" t="str">
        <f>IF(Paramètres!J12=0,"",Paramètres!J12)</f>
        <v/>
      </c>
      <c r="C93" s="635">
        <f t="shared" si="37"/>
        <v>0</v>
      </c>
      <c r="D93" s="627"/>
      <c r="E93" s="628"/>
      <c r="F93" s="647" t="str">
        <f t="shared" si="38"/>
        <v>/</v>
      </c>
      <c r="G93" s="648" t="str">
        <f>IF(I$85="Error","Error",IF(AND($E$85&lt;&gt;"/",$E$85&gt;'Paramètres - Admin'!$A8),'Paramètres - Admin'!$A9,"/"))</f>
        <v>/</v>
      </c>
      <c r="H93" s="449" t="str">
        <f>IF(G93&lt;&gt;"/",VLOOKUP(G93,COSTS_Army_Camp[#All],2),"/")</f>
        <v>/</v>
      </c>
      <c r="I93" s="638" t="str">
        <f>IF(G93&lt;&gt;"/",VLOOKUP(G93,COSTS_Army_Camp[#All],3),"/")</f>
        <v>/</v>
      </c>
      <c r="J93" s="449">
        <f t="shared" si="39"/>
        <v>0</v>
      </c>
      <c r="K93" s="649">
        <f t="shared" si="40"/>
        <v>0</v>
      </c>
    </row>
    <row r="94" spans="1:22" ht="15" customHeight="1" thickBot="1" x14ac:dyDescent="0.3">
      <c r="A94" s="148">
        <v>8</v>
      </c>
      <c r="B94" s="634" t="str">
        <f>IF(Paramètres!J13=0,"",Paramètres!J13)</f>
        <v/>
      </c>
      <c r="C94" s="635">
        <f t="shared" si="37"/>
        <v>0</v>
      </c>
      <c r="D94" s="627"/>
      <c r="E94" s="628"/>
      <c r="F94" s="647" t="str">
        <f t="shared" si="38"/>
        <v>/</v>
      </c>
      <c r="G94" s="648" t="str">
        <f>IF(I$85="Error","Error",IF(AND($E$85&lt;&gt;"/",$E$85&gt;'Paramètres - Admin'!$A9),'Paramètres - Admin'!$A10,"/"))</f>
        <v>/</v>
      </c>
      <c r="H94" s="449" t="str">
        <f>IF(G94&lt;&gt;"/",VLOOKUP(G94,COSTS_Army_Camp[#All],2),"/")</f>
        <v>/</v>
      </c>
      <c r="I94" s="724" t="str">
        <f>IF(G94&lt;&gt;"/",VLOOKUP(G94,COSTS_Army_Camp[#All],3),"/")</f>
        <v>/</v>
      </c>
      <c r="J94" s="725">
        <f t="shared" si="39"/>
        <v>0</v>
      </c>
      <c r="K94" s="726">
        <f t="shared" si="40"/>
        <v>0</v>
      </c>
    </row>
    <row r="95" spans="1:22" ht="15" customHeight="1" thickBot="1" x14ac:dyDescent="0.3">
      <c r="A95" s="1106"/>
      <c r="B95" s="1148"/>
      <c r="C95" s="1148"/>
      <c r="D95" s="1148"/>
      <c r="E95" s="1148"/>
      <c r="F95" s="1148"/>
      <c r="G95" s="1148"/>
      <c r="H95" s="1149"/>
      <c r="I95" s="329" t="s">
        <v>31</v>
      </c>
      <c r="J95" s="452">
        <f>IF(I$85="Error","Error",SUM(J87:J94))</f>
        <v>250</v>
      </c>
      <c r="K95" s="727">
        <f>IF(I$85="Error","Error",SUM(K87:K94))</f>
        <v>8.3333333333333329E-2</v>
      </c>
    </row>
    <row r="96" spans="1:22" ht="15" customHeight="1" x14ac:dyDescent="0.25">
      <c r="L96" s="637"/>
      <c r="M96" s="637"/>
      <c r="N96" s="637"/>
      <c r="O96" s="637"/>
      <c r="P96" s="637"/>
      <c r="Q96" s="637"/>
      <c r="R96" s="637"/>
      <c r="S96" s="637"/>
      <c r="T96" s="637"/>
      <c r="U96" s="637"/>
      <c r="V96" s="637"/>
    </row>
    <row r="97" spans="1:22" ht="15" customHeight="1" thickBot="1" x14ac:dyDescent="0.3"/>
    <row r="98" spans="1:22" ht="20.100000000000001" customHeight="1" thickBot="1" x14ac:dyDescent="0.3">
      <c r="A98" s="1094" t="s">
        <v>179</v>
      </c>
      <c r="B98" s="1095"/>
      <c r="C98" s="1095"/>
      <c r="D98" s="1095"/>
      <c r="E98" s="1095"/>
      <c r="F98" s="1095"/>
      <c r="G98" s="1095"/>
      <c r="H98" s="1095"/>
      <c r="I98" s="1095"/>
      <c r="J98" s="1095"/>
      <c r="K98" s="1095"/>
      <c r="L98" s="1095"/>
      <c r="M98" s="1095"/>
      <c r="N98" s="1095"/>
      <c r="O98" s="1095"/>
      <c r="P98" s="1095"/>
      <c r="Q98" s="1095"/>
      <c r="R98" s="1095"/>
      <c r="S98" s="1095"/>
      <c r="T98" s="1095"/>
      <c r="U98" s="1095"/>
      <c r="V98" s="1096"/>
    </row>
    <row r="99" spans="1:22" ht="15" customHeight="1" thickBot="1" x14ac:dyDescent="0.3">
      <c r="A99" s="1153" t="s">
        <v>246</v>
      </c>
      <c r="B99" s="1154"/>
      <c r="C99" s="1154"/>
      <c r="D99" s="1154"/>
      <c r="E99" s="1154"/>
      <c r="F99" s="1154"/>
      <c r="G99" s="1154"/>
      <c r="H99" s="1154"/>
      <c r="I99" s="1154"/>
      <c r="J99" s="1154"/>
      <c r="K99" s="1154"/>
      <c r="L99" s="1154"/>
      <c r="M99" s="1154"/>
      <c r="N99" s="1154"/>
      <c r="O99" s="1154"/>
      <c r="P99" s="1154"/>
      <c r="Q99" s="1154"/>
      <c r="R99" s="1154"/>
      <c r="S99" s="1154"/>
      <c r="T99" s="1154"/>
      <c r="U99" s="1154"/>
      <c r="V99" s="1155"/>
    </row>
    <row r="100" spans="1:22" ht="15" customHeight="1" x14ac:dyDescent="0.25">
      <c r="A100" s="1100" t="s">
        <v>206</v>
      </c>
      <c r="B100" s="1101"/>
      <c r="C100" s="1102"/>
      <c r="D100" s="85" t="s">
        <v>38</v>
      </c>
      <c r="E100" s="86" t="s">
        <v>39</v>
      </c>
      <c r="F100" s="255"/>
      <c r="G100" s="88"/>
      <c r="H100" s="89"/>
      <c r="I100" s="615" t="s">
        <v>256</v>
      </c>
      <c r="J100" s="619" t="s">
        <v>362</v>
      </c>
      <c r="K100" s="616" t="s">
        <v>257</v>
      </c>
      <c r="L100" s="1100" t="s">
        <v>202</v>
      </c>
      <c r="M100" s="1101"/>
      <c r="N100" s="1102"/>
      <c r="O100" s="85" t="s">
        <v>38</v>
      </c>
      <c r="P100" s="86" t="s">
        <v>39</v>
      </c>
      <c r="Q100" s="255"/>
      <c r="R100" s="88"/>
      <c r="S100" s="89"/>
      <c r="T100" s="615" t="s">
        <v>256</v>
      </c>
      <c r="U100" s="619" t="s">
        <v>362</v>
      </c>
      <c r="V100" s="616" t="s">
        <v>257</v>
      </c>
    </row>
    <row r="101" spans="1:22" ht="15" customHeight="1" thickBot="1" x14ac:dyDescent="0.3">
      <c r="A101" s="1103"/>
      <c r="B101" s="1104"/>
      <c r="C101" s="1105"/>
      <c r="D101" s="95">
        <f>VLOOKUP($A$2,AVAILABLE_Buildings_Defensive[#All],MATCH(A100,AVAILABLE_Buildings_Defensive[#Headers],0))</f>
        <v>0</v>
      </c>
      <c r="E101" s="96">
        <f>VLOOKUP($A$2,AVAILABLE_Buildings_Defensive[#All],MATCH(A100,AVAILABLE_Buildings_Defensive[#Headers],0)+1)</f>
        <v>0</v>
      </c>
      <c r="F101" s="256"/>
      <c r="G101" s="231"/>
      <c r="H101" s="232"/>
      <c r="I101" s="104">
        <f>IF(SUM(B103:B113)&gt;D101,"Error",SUM(B103:B113))</f>
        <v>0</v>
      </c>
      <c r="J101" s="105">
        <f>IF(I$101="Error","Error",D101-I101)</f>
        <v>0</v>
      </c>
      <c r="K101" s="233">
        <f>IF(I$101="Error","Error",SUM(F103:F113))</f>
        <v>0</v>
      </c>
      <c r="L101" s="1103"/>
      <c r="M101" s="1104"/>
      <c r="N101" s="1105"/>
      <c r="O101" s="95">
        <f>VLOOKUP($A$2,AVAILABLE_Buildings_Defensive[#All],MATCH(L100,AVAILABLE_Buildings_Defensive[#Headers],0))</f>
        <v>0</v>
      </c>
      <c r="P101" s="96">
        <f>VLOOKUP($A$2,AVAILABLE_Buildings_Defensive[#All],MATCH(L100,AVAILABLE_Buildings_Defensive[#Headers],0)+1)</f>
        <v>0</v>
      </c>
      <c r="Q101" s="256"/>
      <c r="R101" s="231"/>
      <c r="S101" s="232"/>
      <c r="T101" s="104">
        <f>IF(SUM(M103:M110)&gt;O101,"Error",SUM(M103:M110))</f>
        <v>0</v>
      </c>
      <c r="U101" s="105">
        <f>IF(T$101="Error","Error",O101-T101)</f>
        <v>0</v>
      </c>
      <c r="V101" s="233">
        <f>IF(T$101="Error","Error",SUM(Q103:Q110))</f>
        <v>0</v>
      </c>
    </row>
    <row r="102" spans="1:22" ht="15" customHeight="1" thickBot="1" x14ac:dyDescent="0.3">
      <c r="A102" s="625" t="s">
        <v>30</v>
      </c>
      <c r="B102" s="406" t="s">
        <v>29</v>
      </c>
      <c r="C102" s="551"/>
      <c r="D102" s="257"/>
      <c r="E102" s="258"/>
      <c r="F102" s="262" t="s">
        <v>29</v>
      </c>
      <c r="G102" s="263" t="s">
        <v>30</v>
      </c>
      <c r="H102" s="653" t="s">
        <v>258</v>
      </c>
      <c r="I102" s="653" t="s">
        <v>259</v>
      </c>
      <c r="J102" s="653" t="s">
        <v>232</v>
      </c>
      <c r="K102" s="654" t="s">
        <v>233</v>
      </c>
      <c r="L102" s="625" t="s">
        <v>30</v>
      </c>
      <c r="M102" s="406" t="s">
        <v>29</v>
      </c>
      <c r="N102" s="551"/>
      <c r="O102" s="257"/>
      <c r="P102" s="258"/>
      <c r="Q102" s="262" t="s">
        <v>29</v>
      </c>
      <c r="R102" s="263" t="s">
        <v>30</v>
      </c>
      <c r="S102" s="653" t="s">
        <v>258</v>
      </c>
      <c r="T102" s="653" t="s">
        <v>259</v>
      </c>
      <c r="U102" s="653" t="s">
        <v>232</v>
      </c>
      <c r="V102" s="654" t="s">
        <v>233</v>
      </c>
    </row>
    <row r="103" spans="1:22" ht="15" customHeight="1" thickBot="1" x14ac:dyDescent="0.3">
      <c r="A103" s="633">
        <v>1</v>
      </c>
      <c r="B103" s="116" t="str">
        <f>IF(Paramètres!N6=0,"",Paramètres!N6)</f>
        <v/>
      </c>
      <c r="C103" s="711">
        <f>IF(C102&lt;&gt;0,C102+IF(AND(B102&lt;&gt;"",A102&lt;E$101),B102,0),IF(AND(B102&lt;&gt;"",A102&lt;E$101),B102,0))</f>
        <v>0</v>
      </c>
      <c r="D103" s="707"/>
      <c r="E103" s="707"/>
      <c r="F103" s="708" t="str">
        <f t="shared" ref="F103:F113" si="41">IF(G103&lt;&gt;"/",IF(I$101="Error","Error",$J$101+C103),"/")</f>
        <v>/</v>
      </c>
      <c r="G103" s="548" t="str">
        <f>IF(I$101="Error","Error",IF(AND($E$101&lt;&gt;"/",$E$101&gt;'Paramètres - Admin'!$A2),'Paramètres - Admin'!$A3,"/"))</f>
        <v>/</v>
      </c>
      <c r="H103" s="93" t="str">
        <f>IF(G103&lt;&gt;"/",VLOOKUP(G103,COSTS_Wall[#All],2),"/")</f>
        <v>/</v>
      </c>
      <c r="I103" s="549" t="str">
        <f>IF(G103&lt;&gt;"/",VLOOKUP(G103,COSTS_Wall[#All],3),"/")</f>
        <v>/</v>
      </c>
      <c r="J103" s="93">
        <f t="shared" ref="J103:J113" si="42">IF(I$101="Error","Error",IF(H103&lt;&gt;"/",F103*H103,0))</f>
        <v>0</v>
      </c>
      <c r="K103" s="550">
        <f t="shared" ref="K103:K113" si="43">IF(I$101="Error","Error",IF(I103&lt;&gt;"/",F103*I103,0))</f>
        <v>0</v>
      </c>
      <c r="L103" s="633">
        <v>1</v>
      </c>
      <c r="M103" s="116" t="str">
        <f>IF(Paramètres!R6=0,"",Paramètres!R6)</f>
        <v/>
      </c>
      <c r="N103" s="711">
        <f>IF(N102&lt;&gt;0,N102+IF(AND(M102&lt;&gt;"",L102&lt;P$101),M102,0),IF(AND(M102&lt;&gt;"",L102&lt;P$101),M102,0))</f>
        <v>0</v>
      </c>
      <c r="O103" s="707"/>
      <c r="P103" s="707"/>
      <c r="Q103" s="708" t="str">
        <f>IF(R103&lt;&gt;"/",IF(T$101="Error","Error",$U$101+N103),"/")</f>
        <v>/</v>
      </c>
      <c r="R103" s="548" t="str">
        <f>IF(T$101="Error","Error",IF(AND($P$101&lt;&gt;"/",$P$101&gt;'Paramètres - Admin'!$A2),'Paramètres - Admin'!$A3,"/"))</f>
        <v>/</v>
      </c>
      <c r="S103" s="93" t="str">
        <f>IF(R103&lt;&gt;"/",VLOOKUP(R103,COSTS_Air_Defense[#All],2),"/")</f>
        <v>/</v>
      </c>
      <c r="T103" s="549" t="str">
        <f>IF(R103&lt;&gt;"/",VLOOKUP(R103,COSTS_Air_Defense[#All],3),"/")</f>
        <v>/</v>
      </c>
      <c r="U103" s="93">
        <f>IF(T$101="Error","Error",IF(S103&lt;&gt;"/",Q103*S103,0))</f>
        <v>0</v>
      </c>
      <c r="V103" s="550">
        <f>IF(T$101="Error","Error",IF(T103&lt;&gt;"/",Q103*T103,0))</f>
        <v>0</v>
      </c>
    </row>
    <row r="104" spans="1:22" ht="15" customHeight="1" thickBot="1" x14ac:dyDescent="0.3">
      <c r="A104" s="636">
        <v>2</v>
      </c>
      <c r="B104" s="123" t="str">
        <f>IF(Paramètres!N7=0,"",Paramètres!N7)</f>
        <v/>
      </c>
      <c r="C104" s="711">
        <f t="shared" ref="C104:C113" si="44">IF(C103&lt;&gt;0,C103+IF(AND(B103&lt;&gt;"",A103&lt;E$101),B103,0),IF(AND(B103&lt;&gt;"",A103&lt;E$101),B103,0))</f>
        <v>0</v>
      </c>
      <c r="D104" s="630"/>
      <c r="E104" s="630"/>
      <c r="F104" s="709" t="str">
        <f t="shared" si="41"/>
        <v>/</v>
      </c>
      <c r="G104" s="120" t="str">
        <f>IF(I$101="Error","Error",IF(AND($E$101&lt;&gt;"/",$E$101&gt;'Paramètres - Admin'!$A3),'Paramètres - Admin'!$A4,"/"))</f>
        <v>/</v>
      </c>
      <c r="H104" s="622" t="str">
        <f>IF(G104&lt;&gt;"/",VLOOKUP(G104,COSTS_Wall[#All],2),"/")</f>
        <v>/</v>
      </c>
      <c r="I104" s="101" t="str">
        <f>IF(G104&lt;&gt;"/",VLOOKUP(G104,COSTS_Wall[#All],3),"/")</f>
        <v>/</v>
      </c>
      <c r="J104" s="622">
        <f t="shared" si="42"/>
        <v>0</v>
      </c>
      <c r="K104" s="629">
        <f t="shared" si="43"/>
        <v>0</v>
      </c>
      <c r="L104" s="636">
        <v>2</v>
      </c>
      <c r="M104" s="123" t="str">
        <f>IF(Paramètres!R7=0,"",Paramètres!R7)</f>
        <v/>
      </c>
      <c r="N104" s="711">
        <f t="shared" ref="N104:N110" si="45">IF(N103&lt;&gt;0,N103+IF(AND(M103&lt;&gt;"",L103&lt;P$101),M103,0),IF(AND(M103&lt;&gt;"",L103&lt;P$101),M103,0))</f>
        <v>0</v>
      </c>
      <c r="O104" s="630"/>
      <c r="P104" s="630"/>
      <c r="Q104" s="709" t="str">
        <f t="shared" ref="Q104:Q110" si="46">IF(R104&lt;&gt;"/",IF(T$101="Error","Error",$U$101+N104),"/")</f>
        <v>/</v>
      </c>
      <c r="R104" s="120" t="str">
        <f>IF(T$101="Error","Error",IF(AND($P$101&lt;&gt;"/",$P$101&gt;'Paramètres - Admin'!$A3),'Paramètres - Admin'!$A4,"/"))</f>
        <v>/</v>
      </c>
      <c r="S104" s="622" t="str">
        <f>IF(R104&lt;&gt;"/",VLOOKUP(R104,COSTS_Air_Defense[#All],2),"/")</f>
        <v>/</v>
      </c>
      <c r="T104" s="101" t="str">
        <f>IF(R104&lt;&gt;"/",VLOOKUP(R104,COSTS_Air_Defense[#All],3),"/")</f>
        <v>/</v>
      </c>
      <c r="U104" s="622">
        <f t="shared" ref="U104:U110" si="47">IF(T$101="Error","Error",IF(S104&lt;&gt;"/",Q104*S104,0))</f>
        <v>0</v>
      </c>
      <c r="V104" s="629">
        <f t="shared" ref="V104:V110" si="48">IF(T$101="Error","Error",IF(T104&lt;&gt;"/",Q104*T104,0))</f>
        <v>0</v>
      </c>
    </row>
    <row r="105" spans="1:22" ht="15" customHeight="1" thickBot="1" x14ac:dyDescent="0.3">
      <c r="A105" s="636">
        <v>3</v>
      </c>
      <c r="B105" s="123" t="str">
        <f>IF(Paramètres!N8=0,"",Paramètres!N8)</f>
        <v/>
      </c>
      <c r="C105" s="711">
        <f t="shared" si="44"/>
        <v>0</v>
      </c>
      <c r="D105" s="630"/>
      <c r="E105" s="630"/>
      <c r="F105" s="709" t="str">
        <f t="shared" si="41"/>
        <v>/</v>
      </c>
      <c r="G105" s="120" t="str">
        <f>IF(I$101="Error","Error",IF(AND($E$101&lt;&gt;"/",$E$101&gt;'Paramètres - Admin'!$A4),'Paramètres - Admin'!$A5,"/"))</f>
        <v>/</v>
      </c>
      <c r="H105" s="622" t="str">
        <f>IF(G105&lt;&gt;"/",VLOOKUP(G105,COSTS_Wall[#All],2),"/")</f>
        <v>/</v>
      </c>
      <c r="I105" s="101" t="str">
        <f>IF(G105&lt;&gt;"/",VLOOKUP(G105,COSTS_Wall[#All],3),"/")</f>
        <v>/</v>
      </c>
      <c r="J105" s="622">
        <f t="shared" si="42"/>
        <v>0</v>
      </c>
      <c r="K105" s="629">
        <f t="shared" si="43"/>
        <v>0</v>
      </c>
      <c r="L105" s="636">
        <v>3</v>
      </c>
      <c r="M105" s="123" t="str">
        <f>IF(Paramètres!R8=0,"",Paramètres!R8)</f>
        <v/>
      </c>
      <c r="N105" s="711">
        <f t="shared" si="45"/>
        <v>0</v>
      </c>
      <c r="O105" s="630"/>
      <c r="P105" s="630"/>
      <c r="Q105" s="709" t="str">
        <f t="shared" si="46"/>
        <v>/</v>
      </c>
      <c r="R105" s="120" t="str">
        <f>IF(T$101="Error","Error",IF(AND($P$101&lt;&gt;"/",$P$101&gt;'Paramètres - Admin'!$A4),'Paramètres - Admin'!$A5,"/"))</f>
        <v>/</v>
      </c>
      <c r="S105" s="622" t="str">
        <f>IF(R105&lt;&gt;"/",VLOOKUP(R105,COSTS_Air_Defense[#All],2),"/")</f>
        <v>/</v>
      </c>
      <c r="T105" s="101" t="str">
        <f>IF(R105&lt;&gt;"/",VLOOKUP(R105,COSTS_Air_Defense[#All],3),"/")</f>
        <v>/</v>
      </c>
      <c r="U105" s="622">
        <f t="shared" si="47"/>
        <v>0</v>
      </c>
      <c r="V105" s="629">
        <f t="shared" si="48"/>
        <v>0</v>
      </c>
    </row>
    <row r="106" spans="1:22" ht="15" customHeight="1" thickBot="1" x14ac:dyDescent="0.3">
      <c r="A106" s="636">
        <v>4</v>
      </c>
      <c r="B106" s="123" t="str">
        <f>IF(Paramètres!N9=0,"",Paramètres!N9)</f>
        <v/>
      </c>
      <c r="C106" s="711">
        <f t="shared" si="44"/>
        <v>0</v>
      </c>
      <c r="D106" s="630"/>
      <c r="E106" s="630"/>
      <c r="F106" s="709" t="str">
        <f t="shared" si="41"/>
        <v>/</v>
      </c>
      <c r="G106" s="120" t="str">
        <f>IF(I$101="Error","Error",IF(AND($E$101&lt;&gt;"/",$E$101&gt;'Paramètres - Admin'!$A5),'Paramètres - Admin'!$A6,"/"))</f>
        <v>/</v>
      </c>
      <c r="H106" s="622" t="str">
        <f>IF(G106&lt;&gt;"/",VLOOKUP(G106,COSTS_Wall[#All],2),"/")</f>
        <v>/</v>
      </c>
      <c r="I106" s="101" t="str">
        <f>IF(G106&lt;&gt;"/",VLOOKUP(G106,COSTS_Wall[#All],3),"/")</f>
        <v>/</v>
      </c>
      <c r="J106" s="622">
        <f t="shared" si="42"/>
        <v>0</v>
      </c>
      <c r="K106" s="629">
        <f t="shared" si="43"/>
        <v>0</v>
      </c>
      <c r="L106" s="636">
        <v>4</v>
      </c>
      <c r="M106" s="123" t="str">
        <f>IF(Paramètres!R9=0,"",Paramètres!R9)</f>
        <v/>
      </c>
      <c r="N106" s="711">
        <f t="shared" si="45"/>
        <v>0</v>
      </c>
      <c r="O106" s="630"/>
      <c r="P106" s="630"/>
      <c r="Q106" s="709" t="str">
        <f t="shared" si="46"/>
        <v>/</v>
      </c>
      <c r="R106" s="120" t="str">
        <f>IF(T$101="Error","Error",IF(AND($P$101&lt;&gt;"/",$P$101&gt;'Paramètres - Admin'!$A5),'Paramètres - Admin'!$A6,"/"))</f>
        <v>/</v>
      </c>
      <c r="S106" s="622" t="str">
        <f>IF(R106&lt;&gt;"/",VLOOKUP(R106,COSTS_Air_Defense[#All],2),"/")</f>
        <v>/</v>
      </c>
      <c r="T106" s="101" t="str">
        <f>IF(R106&lt;&gt;"/",VLOOKUP(R106,COSTS_Air_Defense[#All],3),"/")</f>
        <v>/</v>
      </c>
      <c r="U106" s="622">
        <f t="shared" si="47"/>
        <v>0</v>
      </c>
      <c r="V106" s="629">
        <f t="shared" si="48"/>
        <v>0</v>
      </c>
    </row>
    <row r="107" spans="1:22" ht="15" customHeight="1" thickBot="1" x14ac:dyDescent="0.3">
      <c r="A107" s="636">
        <v>5</v>
      </c>
      <c r="B107" s="123" t="str">
        <f>IF(Paramètres!N10=0,"",Paramètres!N10)</f>
        <v/>
      </c>
      <c r="C107" s="711">
        <f t="shared" si="44"/>
        <v>0</v>
      </c>
      <c r="D107" s="630"/>
      <c r="E107" s="630"/>
      <c r="F107" s="709" t="str">
        <f t="shared" si="41"/>
        <v>/</v>
      </c>
      <c r="G107" s="120" t="str">
        <f>IF(I$101="Error","Error",IF(AND($E$101&lt;&gt;"/",$E$101&gt;'Paramètres - Admin'!$A6),'Paramètres - Admin'!$A7,"/"))</f>
        <v>/</v>
      </c>
      <c r="H107" s="622" t="str">
        <f>IF(G107&lt;&gt;"/",VLOOKUP(G107,COSTS_Wall[#All],2),"/")</f>
        <v>/</v>
      </c>
      <c r="I107" s="101" t="str">
        <f>IF(G107&lt;&gt;"/",VLOOKUP(G107,COSTS_Wall[#All],3),"/")</f>
        <v>/</v>
      </c>
      <c r="J107" s="622">
        <f t="shared" si="42"/>
        <v>0</v>
      </c>
      <c r="K107" s="629">
        <f t="shared" si="43"/>
        <v>0</v>
      </c>
      <c r="L107" s="636">
        <v>5</v>
      </c>
      <c r="M107" s="123" t="str">
        <f>IF(Paramètres!R10=0,"",Paramètres!R10)</f>
        <v/>
      </c>
      <c r="N107" s="711">
        <f t="shared" si="45"/>
        <v>0</v>
      </c>
      <c r="O107" s="630"/>
      <c r="P107" s="630"/>
      <c r="Q107" s="709" t="str">
        <f t="shared" si="46"/>
        <v>/</v>
      </c>
      <c r="R107" s="120" t="str">
        <f>IF(T$101="Error","Error",IF(AND($P$101&lt;&gt;"/",$P$101&gt;'Paramètres - Admin'!$A6),'Paramètres - Admin'!$A7,"/"))</f>
        <v>/</v>
      </c>
      <c r="S107" s="622" t="str">
        <f>IF(R107&lt;&gt;"/",VLOOKUP(R107,COSTS_Air_Defense[#All],2),"/")</f>
        <v>/</v>
      </c>
      <c r="T107" s="101" t="str">
        <f>IF(R107&lt;&gt;"/",VLOOKUP(R107,COSTS_Air_Defense[#All],3),"/")</f>
        <v>/</v>
      </c>
      <c r="U107" s="622">
        <f t="shared" si="47"/>
        <v>0</v>
      </c>
      <c r="V107" s="629">
        <f t="shared" si="48"/>
        <v>0</v>
      </c>
    </row>
    <row r="108" spans="1:22" ht="15" customHeight="1" thickBot="1" x14ac:dyDescent="0.3">
      <c r="A108" s="636">
        <v>6</v>
      </c>
      <c r="B108" s="123" t="str">
        <f>IF(Paramètres!N11=0,"",Paramètres!N11)</f>
        <v/>
      </c>
      <c r="C108" s="711">
        <f t="shared" si="44"/>
        <v>0</v>
      </c>
      <c r="D108" s="630"/>
      <c r="E108" s="630"/>
      <c r="F108" s="709" t="str">
        <f t="shared" si="41"/>
        <v>/</v>
      </c>
      <c r="G108" s="120" t="str">
        <f>IF(I$101="Error","Error",IF(AND($E$101&lt;&gt;"/",$E$101&gt;'Paramètres - Admin'!$A7),'Paramètres - Admin'!$A8,"/"))</f>
        <v>/</v>
      </c>
      <c r="H108" s="622" t="str">
        <f>IF(G108&lt;&gt;"/",VLOOKUP(G108,COSTS_Wall[#All],2),"/")</f>
        <v>/</v>
      </c>
      <c r="I108" s="101" t="str">
        <f>IF(G108&lt;&gt;"/",VLOOKUP(G108,COSTS_Wall[#All],3),"/")</f>
        <v>/</v>
      </c>
      <c r="J108" s="622">
        <f t="shared" si="42"/>
        <v>0</v>
      </c>
      <c r="K108" s="629">
        <f t="shared" si="43"/>
        <v>0</v>
      </c>
      <c r="L108" s="636">
        <v>6</v>
      </c>
      <c r="M108" s="123" t="str">
        <f>IF(Paramètres!R11=0,"",Paramètres!R11)</f>
        <v/>
      </c>
      <c r="N108" s="711">
        <f t="shared" si="45"/>
        <v>0</v>
      </c>
      <c r="O108" s="630"/>
      <c r="P108" s="630"/>
      <c r="Q108" s="709" t="str">
        <f t="shared" si="46"/>
        <v>/</v>
      </c>
      <c r="R108" s="120" t="str">
        <f>IF(T$101="Error","Error",IF(AND($P$101&lt;&gt;"/",$P$101&gt;'Paramètres - Admin'!$A7),'Paramètres - Admin'!$A8,"/"))</f>
        <v>/</v>
      </c>
      <c r="S108" s="622" t="str">
        <f>IF(R108&lt;&gt;"/",VLOOKUP(R108,COSTS_Air_Defense[#All],2),"/")</f>
        <v>/</v>
      </c>
      <c r="T108" s="101" t="str">
        <f>IF(R108&lt;&gt;"/",VLOOKUP(R108,COSTS_Air_Defense[#All],3),"/")</f>
        <v>/</v>
      </c>
      <c r="U108" s="622">
        <f t="shared" si="47"/>
        <v>0</v>
      </c>
      <c r="V108" s="629">
        <f t="shared" si="48"/>
        <v>0</v>
      </c>
    </row>
    <row r="109" spans="1:22" ht="15" customHeight="1" thickBot="1" x14ac:dyDescent="0.3">
      <c r="A109" s="636">
        <v>7</v>
      </c>
      <c r="B109" s="123" t="str">
        <f>IF(Paramètres!N12=0,"",Paramètres!N12)</f>
        <v/>
      </c>
      <c r="C109" s="711">
        <f t="shared" si="44"/>
        <v>0</v>
      </c>
      <c r="D109" s="630"/>
      <c r="E109" s="630"/>
      <c r="F109" s="709" t="str">
        <f t="shared" si="41"/>
        <v>/</v>
      </c>
      <c r="G109" s="120" t="str">
        <f>IF(I$101="Error","Error",IF(AND($E$101&lt;&gt;"/",$E$101&gt;'Paramètres - Admin'!$A8),'Paramètres - Admin'!$A9,"/"))</f>
        <v>/</v>
      </c>
      <c r="H109" s="622" t="str">
        <f>IF(G109&lt;&gt;"/",VLOOKUP(G109,COSTS_Wall[#All],2),"/")</f>
        <v>/</v>
      </c>
      <c r="I109" s="101" t="str">
        <f>IF(G109&lt;&gt;"/",VLOOKUP(G109,COSTS_Wall[#All],3),"/")</f>
        <v>/</v>
      </c>
      <c r="J109" s="622">
        <f t="shared" si="42"/>
        <v>0</v>
      </c>
      <c r="K109" s="629">
        <f t="shared" si="43"/>
        <v>0</v>
      </c>
      <c r="L109" s="636">
        <v>7</v>
      </c>
      <c r="M109" s="123" t="str">
        <f>IF(Paramètres!R12=0,"",Paramètres!R12)</f>
        <v/>
      </c>
      <c r="N109" s="711">
        <f t="shared" si="45"/>
        <v>0</v>
      </c>
      <c r="O109" s="630"/>
      <c r="P109" s="630"/>
      <c r="Q109" s="709" t="str">
        <f t="shared" si="46"/>
        <v>/</v>
      </c>
      <c r="R109" s="120" t="str">
        <f>IF(T$101="Error","Error",IF(AND($P$101&lt;&gt;"/",$P$101&gt;'Paramètres - Admin'!$A8),'Paramètres - Admin'!$A9,"/"))</f>
        <v>/</v>
      </c>
      <c r="S109" s="622" t="str">
        <f>IF(R109&lt;&gt;"/",VLOOKUP(R109,COSTS_Air_Defense[#All],2),"/")</f>
        <v>/</v>
      </c>
      <c r="T109" s="101" t="str">
        <f>IF(R109&lt;&gt;"/",VLOOKUP(R109,COSTS_Air_Defense[#All],3),"/")</f>
        <v>/</v>
      </c>
      <c r="U109" s="622">
        <f t="shared" si="47"/>
        <v>0</v>
      </c>
      <c r="V109" s="629">
        <f t="shared" si="48"/>
        <v>0</v>
      </c>
    </row>
    <row r="110" spans="1:22" ht="15" customHeight="1" thickBot="1" x14ac:dyDescent="0.3">
      <c r="A110" s="636">
        <v>8</v>
      </c>
      <c r="B110" s="123" t="str">
        <f>IF(Paramètres!N13=0,"",Paramètres!N13)</f>
        <v/>
      </c>
      <c r="C110" s="711">
        <f t="shared" si="44"/>
        <v>0</v>
      </c>
      <c r="D110" s="630"/>
      <c r="E110" s="630"/>
      <c r="F110" s="709" t="str">
        <f t="shared" si="41"/>
        <v>/</v>
      </c>
      <c r="G110" s="120" t="str">
        <f>IF(I$101="Error","Error",IF(AND($E$101&lt;&gt;"/",$E$101&gt;'Paramètres - Admin'!$A9),'Paramètres - Admin'!$A10,"/"))</f>
        <v>/</v>
      </c>
      <c r="H110" s="622" t="str">
        <f>IF(G110&lt;&gt;"/",VLOOKUP(G110,COSTS_Wall[#All],2),"/")</f>
        <v>/</v>
      </c>
      <c r="I110" s="101" t="str">
        <f>IF(G110&lt;&gt;"/",VLOOKUP(G110,COSTS_Wall[#All],3),"/")</f>
        <v>/</v>
      </c>
      <c r="J110" s="622">
        <f t="shared" si="42"/>
        <v>0</v>
      </c>
      <c r="K110" s="629">
        <f t="shared" si="43"/>
        <v>0</v>
      </c>
      <c r="L110" s="150">
        <v>8</v>
      </c>
      <c r="M110" s="128" t="str">
        <f>IF(Paramètres!R13=0,"",Paramètres!R13)</f>
        <v/>
      </c>
      <c r="N110" s="711">
        <f t="shared" si="45"/>
        <v>0</v>
      </c>
      <c r="O110" s="129"/>
      <c r="P110" s="129"/>
      <c r="Q110" s="710" t="str">
        <f t="shared" si="46"/>
        <v>/</v>
      </c>
      <c r="R110" s="130" t="str">
        <f>IF(T$101="Error","Error",IF(AND($P$101&lt;&gt;"/",$P$101&gt;'Paramètres - Admin'!$A9),'Paramètres - Admin'!$A10,"/"))</f>
        <v>/</v>
      </c>
      <c r="S110" s="133" t="str">
        <f>IF(R110&lt;&gt;"/",VLOOKUP(R110,COSTS_Air_Defense[#All],2),"/")</f>
        <v>/</v>
      </c>
      <c r="T110" s="722" t="str">
        <f>IF(R110&lt;&gt;"/",VLOOKUP(R110,COSTS_Air_Defense[#All],3),"/")</f>
        <v>/</v>
      </c>
      <c r="U110" s="106">
        <f t="shared" si="47"/>
        <v>0</v>
      </c>
      <c r="V110" s="723">
        <f t="shared" si="48"/>
        <v>0</v>
      </c>
    </row>
    <row r="111" spans="1:22" ht="15" customHeight="1" thickBot="1" x14ac:dyDescent="0.3">
      <c r="A111" s="636">
        <v>9</v>
      </c>
      <c r="B111" s="123" t="str">
        <f>IF(Paramètres!N14=0,"",Paramètres!N14)</f>
        <v/>
      </c>
      <c r="C111" s="711">
        <f t="shared" si="44"/>
        <v>0</v>
      </c>
      <c r="D111" s="630"/>
      <c r="E111" s="630"/>
      <c r="F111" s="709" t="str">
        <f t="shared" si="41"/>
        <v>/</v>
      </c>
      <c r="G111" s="120" t="str">
        <f>IF(I$101="Error","Error",IF(AND($E$101&lt;&gt;"/",$E$101&gt;'Paramètres - Admin'!$A10),'Paramètres - Admin'!$A11,"/"))</f>
        <v>/</v>
      </c>
      <c r="H111" s="755" t="str">
        <f>IF(G111&lt;&gt;"/",VLOOKUP(G111,COSTS_Wall[#All],2),"/")</f>
        <v>/</v>
      </c>
      <c r="I111" s="101" t="str">
        <f>IF(G111&lt;&gt;"/",VLOOKUP(G111,COSTS_Wall[#All],3),"/")</f>
        <v>/</v>
      </c>
      <c r="J111" s="622">
        <f t="shared" si="42"/>
        <v>0</v>
      </c>
      <c r="K111" s="629">
        <f t="shared" si="43"/>
        <v>0</v>
      </c>
      <c r="L111" s="1147"/>
      <c r="M111" s="1107"/>
      <c r="N111" s="1107"/>
      <c r="O111" s="1107"/>
      <c r="P111" s="1107"/>
      <c r="Q111" s="1107"/>
      <c r="R111" s="1107"/>
      <c r="S111" s="1107"/>
      <c r="T111" s="329" t="s">
        <v>31</v>
      </c>
      <c r="U111" s="113">
        <f>IF(T$101="Error","Error",SUM(U103:U110))</f>
        <v>0</v>
      </c>
      <c r="V111" s="727">
        <f>IF(T$101="Error","Error",SUM(V103:V110))</f>
        <v>0</v>
      </c>
    </row>
    <row r="112" spans="1:22" ht="15" customHeight="1" thickBot="1" x14ac:dyDescent="0.3">
      <c r="A112" s="636">
        <v>10</v>
      </c>
      <c r="B112" s="123" t="str">
        <f>IF(Paramètres!N15=0,"",Paramètres!N15)</f>
        <v/>
      </c>
      <c r="C112" s="711">
        <f t="shared" si="44"/>
        <v>0</v>
      </c>
      <c r="D112" s="630"/>
      <c r="E112" s="630"/>
      <c r="F112" s="709" t="str">
        <f t="shared" si="41"/>
        <v>/</v>
      </c>
      <c r="G112" s="120" t="str">
        <f>IF(I$101="Error","Error",IF(AND($E$101&lt;&gt;"/",$E$101&gt;'Paramètres - Admin'!$A11),'Paramètres - Admin'!$A12,"/"))</f>
        <v>/</v>
      </c>
      <c r="H112" s="755" t="str">
        <f>IF(G112&lt;&gt;"/",VLOOKUP(G112,COSTS_Wall[#All],2),"/")</f>
        <v>/</v>
      </c>
      <c r="I112" s="101" t="str">
        <f>IF(G112&lt;&gt;"/",VLOOKUP(G112,COSTS_Wall[#All],3),"/")</f>
        <v>/</v>
      </c>
      <c r="J112" s="622">
        <f t="shared" si="42"/>
        <v>0</v>
      </c>
      <c r="K112" s="629">
        <f t="shared" si="43"/>
        <v>0</v>
      </c>
      <c r="L112" s="1100" t="s">
        <v>455</v>
      </c>
      <c r="M112" s="1101"/>
      <c r="N112" s="1102"/>
      <c r="O112" s="85" t="s">
        <v>38</v>
      </c>
      <c r="P112" s="86" t="s">
        <v>39</v>
      </c>
      <c r="Q112" s="255"/>
      <c r="R112" s="88"/>
      <c r="S112" s="89"/>
      <c r="T112" s="615" t="s">
        <v>256</v>
      </c>
      <c r="U112" s="619" t="s">
        <v>362</v>
      </c>
      <c r="V112" s="616" t="s">
        <v>257</v>
      </c>
    </row>
    <row r="113" spans="1:24" ht="15" customHeight="1" thickBot="1" x14ac:dyDescent="0.3">
      <c r="A113" s="150">
        <v>11</v>
      </c>
      <c r="B113" s="128" t="str">
        <f>IF(Paramètres!N16=0,"",Paramètres!N16)</f>
        <v/>
      </c>
      <c r="C113" s="711">
        <f t="shared" si="44"/>
        <v>0</v>
      </c>
      <c r="D113" s="129"/>
      <c r="E113" s="129"/>
      <c r="F113" s="710" t="str">
        <f t="shared" si="41"/>
        <v>/</v>
      </c>
      <c r="G113" s="130" t="str">
        <f>IF(I$101="Error","Error",IF(AND($E$101&lt;&gt;"/",$E$101&gt;'Paramètres - Admin'!$A12),'Paramètres - Admin'!$A13,"/"))</f>
        <v>/</v>
      </c>
      <c r="H113" s="756" t="str">
        <f>IF(G113&lt;&gt;"/",VLOOKUP(G113,COSTS_Wall[#All],2),"/")</f>
        <v>/</v>
      </c>
      <c r="I113" s="722" t="str">
        <f>IF(G113&lt;&gt;"/",VLOOKUP(G113,COSTS_Wall[#All],3),"/")</f>
        <v>/</v>
      </c>
      <c r="J113" s="106">
        <f t="shared" si="42"/>
        <v>0</v>
      </c>
      <c r="K113" s="723">
        <f t="shared" si="43"/>
        <v>0</v>
      </c>
      <c r="L113" s="1103"/>
      <c r="M113" s="1104"/>
      <c r="N113" s="1105"/>
      <c r="O113" s="95">
        <f>VLOOKUP($A$2,AVAILABLE_Buildings_Defensive[#All],MATCH(L112,AVAILABLE_Buildings_Defensive[#Headers],0))</f>
        <v>0</v>
      </c>
      <c r="P113" s="96">
        <f>VLOOKUP($A$2,AVAILABLE_Buildings_Defensive[#All],MATCH(L112,AVAILABLE_Buildings_Defensive[#Headers],0)+1)</f>
        <v>0</v>
      </c>
      <c r="Q113" s="256"/>
      <c r="R113" s="231"/>
      <c r="S113" s="232"/>
      <c r="T113" s="104">
        <f>IF(SUM(M115:M122)&gt;O113,"Error",SUM(M115:M122))</f>
        <v>0</v>
      </c>
      <c r="U113" s="105">
        <f>IF(T$113="Error","Error",O113-T113)</f>
        <v>0</v>
      </c>
      <c r="V113" s="233">
        <f>IF(T$113="Error","Error",SUM(Q115:Q122))</f>
        <v>0</v>
      </c>
    </row>
    <row r="114" spans="1:24" ht="15" customHeight="1" thickBot="1" x14ac:dyDescent="0.3">
      <c r="A114" s="1147"/>
      <c r="B114" s="1107"/>
      <c r="C114" s="1107"/>
      <c r="D114" s="1107"/>
      <c r="E114" s="1107"/>
      <c r="F114" s="1107"/>
      <c r="G114" s="1107"/>
      <c r="H114" s="1107"/>
      <c r="I114" s="329" t="s">
        <v>31</v>
      </c>
      <c r="J114" s="113">
        <f>IF(I$101="Error","Error",SUM(J103:J113))</f>
        <v>0</v>
      </c>
      <c r="K114" s="727">
        <f>IF(I$101="Error","Error",SUM(K103:K113))</f>
        <v>0</v>
      </c>
      <c r="L114" s="625" t="s">
        <v>30</v>
      </c>
      <c r="M114" s="406" t="s">
        <v>29</v>
      </c>
      <c r="N114" s="551"/>
      <c r="O114" s="257"/>
      <c r="P114" s="258"/>
      <c r="Q114" s="262" t="s">
        <v>29</v>
      </c>
      <c r="R114" s="263" t="s">
        <v>30</v>
      </c>
      <c r="S114" s="653" t="s">
        <v>258</v>
      </c>
      <c r="T114" s="653" t="s">
        <v>259</v>
      </c>
      <c r="U114" s="653" t="s">
        <v>232</v>
      </c>
      <c r="V114" s="654" t="s">
        <v>233</v>
      </c>
    </row>
    <row r="115" spans="1:24" ht="15" customHeight="1" thickBot="1" x14ac:dyDescent="0.3">
      <c r="A115" s="1100" t="s">
        <v>205</v>
      </c>
      <c r="B115" s="1101"/>
      <c r="C115" s="1102"/>
      <c r="D115" s="85" t="s">
        <v>38</v>
      </c>
      <c r="E115" s="86" t="s">
        <v>39</v>
      </c>
      <c r="F115" s="255"/>
      <c r="G115" s="88"/>
      <c r="H115" s="89"/>
      <c r="I115" s="615" t="s">
        <v>256</v>
      </c>
      <c r="J115" s="619" t="s">
        <v>362</v>
      </c>
      <c r="K115" s="616" t="s">
        <v>257</v>
      </c>
      <c r="L115" s="633">
        <v>1</v>
      </c>
      <c r="M115" s="116" t="str">
        <f>IF(Paramètres!S6=0,"",Paramètres!S6)</f>
        <v/>
      </c>
      <c r="N115" s="711">
        <f>IF(N114&lt;&gt;0,N114+IF(AND(M114&lt;&gt;"",L114&lt;P$113),M114,0),IF(AND(M114&lt;&gt;"",L114&lt;P$113),M114,0))</f>
        <v>0</v>
      </c>
      <c r="O115" s="707"/>
      <c r="P115" s="707"/>
      <c r="Q115" s="708" t="str">
        <f>IF(R115&lt;&gt;"/",IF(T$113="Error","Error",$U$113+N115),"/")</f>
        <v>/</v>
      </c>
      <c r="R115" s="548" t="str">
        <f>IF(T$113="Error","Error",IF(AND($P$113&lt;&gt;"/",$P$113&gt;'Paramètres - Admin'!$A2),'Paramètres - Admin'!$A3,"/"))</f>
        <v>/</v>
      </c>
      <c r="S115" s="93" t="str">
        <f>IF(R115&lt;&gt;"/",VLOOKUP(R115,COSTS_Wizard_Tower[#All],2),"/")</f>
        <v>/</v>
      </c>
      <c r="T115" s="549" t="str">
        <f>IF(R115&lt;&gt;"/",VLOOKUP(R115,COSTS_Wizard_Tower[#All],3),"/")</f>
        <v>/</v>
      </c>
      <c r="U115" s="93">
        <f>IF(T$113="Error","Error",IF(S115&lt;&gt;"/",Q115*S115,0))</f>
        <v>0</v>
      </c>
      <c r="V115" s="550">
        <f>IF(T$113="Error","Error",IF(T115&lt;&gt;"/",Q115*T115,0))</f>
        <v>0</v>
      </c>
    </row>
    <row r="116" spans="1:24" ht="15" customHeight="1" thickBot="1" x14ac:dyDescent="0.3">
      <c r="A116" s="1103"/>
      <c r="B116" s="1104"/>
      <c r="C116" s="1105"/>
      <c r="D116" s="95">
        <f>VLOOKUP($A$2,AVAILABLE_Buildings_Defensive[#All],MATCH(A115,AVAILABLE_Buildings_Defensive[#Headers],0))</f>
        <v>2</v>
      </c>
      <c r="E116" s="96">
        <f>VLOOKUP($A$2,AVAILABLE_Buildings_Defensive[#All],MATCH(A115,AVAILABLE_Buildings_Defensive[#Headers],0)+1)</f>
        <v>2</v>
      </c>
      <c r="F116" s="256"/>
      <c r="G116" s="231"/>
      <c r="H116" s="232"/>
      <c r="I116" s="104">
        <f>IF(SUM(B118:B130)&gt;D116,"Error",SUM(B118:B130))</f>
        <v>0</v>
      </c>
      <c r="J116" s="105">
        <f>IF(I$116="Error","Error",D116-I116)</f>
        <v>2</v>
      </c>
      <c r="K116" s="233">
        <f>IF(I$116="Error","Error",SUM(F118:F130))</f>
        <v>4</v>
      </c>
      <c r="L116" s="636">
        <v>2</v>
      </c>
      <c r="M116" s="123" t="str">
        <f>IF(Paramètres!S7=0,"",Paramètres!S7)</f>
        <v/>
      </c>
      <c r="N116" s="711">
        <f t="shared" ref="N116:N122" si="49">IF(N115&lt;&gt;0,N115+IF(AND(M115&lt;&gt;"",L115&lt;P$113),M115,0),IF(AND(M115&lt;&gt;"",L115&lt;P$113),M115,0))</f>
        <v>0</v>
      </c>
      <c r="O116" s="630"/>
      <c r="P116" s="630"/>
      <c r="Q116" s="709" t="str">
        <f t="shared" ref="Q116:Q122" si="50">IF(R116&lt;&gt;"/",IF(T$113="Error","Error",$U$113+N116),"/")</f>
        <v>/</v>
      </c>
      <c r="R116" s="120" t="str">
        <f>IF(T$113="Error","Error",IF(AND($P$113&lt;&gt;"/",$P$113&gt;'Paramètres - Admin'!$A3),'Paramètres - Admin'!$A4,"/"))</f>
        <v>/</v>
      </c>
      <c r="S116" s="622" t="str">
        <f>IF(R116&lt;&gt;"/",VLOOKUP(R116,COSTS_Wizard_Tower[#All],2),"/")</f>
        <v>/</v>
      </c>
      <c r="T116" s="101" t="str">
        <f>IF(R116&lt;&gt;"/",VLOOKUP(R116,COSTS_Wizard_Tower[#All],3),"/")</f>
        <v>/</v>
      </c>
      <c r="U116" s="622">
        <f t="shared" ref="U116:U122" si="51">IF(T$113="Error","Error",IF(S116&lt;&gt;"/",Q116*S116,0))</f>
        <v>0</v>
      </c>
      <c r="V116" s="629">
        <f t="shared" ref="V116:V122" si="52">IF(T$113="Error","Error",IF(T116&lt;&gt;"/",Q116*T116,0))</f>
        <v>0</v>
      </c>
    </row>
    <row r="117" spans="1:24" ht="15" customHeight="1" thickBot="1" x14ac:dyDescent="0.3">
      <c r="A117" s="625" t="s">
        <v>30</v>
      </c>
      <c r="B117" s="406" t="s">
        <v>29</v>
      </c>
      <c r="C117" s="551"/>
      <c r="D117" s="257"/>
      <c r="E117" s="258"/>
      <c r="F117" s="262" t="s">
        <v>29</v>
      </c>
      <c r="G117" s="263" t="s">
        <v>30</v>
      </c>
      <c r="H117" s="653" t="s">
        <v>258</v>
      </c>
      <c r="I117" s="653" t="s">
        <v>259</v>
      </c>
      <c r="J117" s="653" t="s">
        <v>232</v>
      </c>
      <c r="K117" s="654" t="s">
        <v>233</v>
      </c>
      <c r="L117" s="636">
        <v>3</v>
      </c>
      <c r="M117" s="123" t="str">
        <f>IF(Paramètres!S8=0,"",Paramètres!S8)</f>
        <v/>
      </c>
      <c r="N117" s="711">
        <f t="shared" si="49"/>
        <v>0</v>
      </c>
      <c r="O117" s="630"/>
      <c r="P117" s="630"/>
      <c r="Q117" s="709" t="str">
        <f t="shared" si="50"/>
        <v>/</v>
      </c>
      <c r="R117" s="120" t="str">
        <f>IF(T$113="Error","Error",IF(AND($P$113&lt;&gt;"/",$P$113&gt;'Paramètres - Admin'!$A4),'Paramètres - Admin'!$A5,"/"))</f>
        <v>/</v>
      </c>
      <c r="S117" s="622" t="str">
        <f>IF(R117&lt;&gt;"/",VLOOKUP(R117,COSTS_Wizard_Tower[#All],2),"/")</f>
        <v>/</v>
      </c>
      <c r="T117" s="101" t="str">
        <f>IF(R117&lt;&gt;"/",VLOOKUP(R117,COSTS_Wizard_Tower[#All],3),"/")</f>
        <v>/</v>
      </c>
      <c r="U117" s="622">
        <f t="shared" si="51"/>
        <v>0</v>
      </c>
      <c r="V117" s="629">
        <f t="shared" si="52"/>
        <v>0</v>
      </c>
    </row>
    <row r="118" spans="1:24" ht="15" customHeight="1" thickBot="1" x14ac:dyDescent="0.3">
      <c r="A118" s="633">
        <v>1</v>
      </c>
      <c r="B118" s="116" t="str">
        <f>IF(Paramètres!O6=0,"",Paramètres!O6)</f>
        <v/>
      </c>
      <c r="C118" s="711">
        <f>IF(C117&lt;&gt;0,C117+IF(AND(B117&lt;&gt;"",A117&lt;$E$116),B117,0),IF(AND(B117&lt;&gt;"",A117&lt;$E$116),B117,0))</f>
        <v>0</v>
      </c>
      <c r="D118" s="707"/>
      <c r="E118" s="707"/>
      <c r="F118" s="708">
        <f>IF(G118&lt;&gt;"/",IF(I$116="Error","Error",$J$116+C118),"/")</f>
        <v>2</v>
      </c>
      <c r="G118" s="548">
        <f>IF(I$116="Error","Error",IF(AND($E$116&lt;&gt;"/",$E$116&gt;'Paramètres - Admin'!$A2),'Paramètres - Admin'!$A3,"/"))</f>
        <v>1</v>
      </c>
      <c r="H118" s="93">
        <f>IF(G118&lt;&gt;"/",VLOOKUP(G118,COSTS_Cannon[#All],2),"/")</f>
        <v>250</v>
      </c>
      <c r="I118" s="549">
        <f>IF(G118&lt;&gt;"/",VLOOKUP(G118,COSTS_Cannon[#All],3),"/")</f>
        <v>1.6666666666666666E-2</v>
      </c>
      <c r="J118" s="93">
        <f>IF(I$116="Error","Error",IF(H118&lt;&gt;"/",F118*H118,0))</f>
        <v>500</v>
      </c>
      <c r="K118" s="550">
        <f>IF(I$116="Error","Error",IF(I118&lt;&gt;"/",F118*I118,0))</f>
        <v>3.3333333333333333E-2</v>
      </c>
      <c r="L118" s="636">
        <v>4</v>
      </c>
      <c r="M118" s="123" t="str">
        <f>IF(Paramètres!S9=0,"",Paramètres!S9)</f>
        <v/>
      </c>
      <c r="N118" s="711">
        <f t="shared" si="49"/>
        <v>0</v>
      </c>
      <c r="O118" s="630"/>
      <c r="P118" s="630"/>
      <c r="Q118" s="709" t="str">
        <f t="shared" si="50"/>
        <v>/</v>
      </c>
      <c r="R118" s="120" t="str">
        <f>IF(T$113="Error","Error",IF(AND($P$113&lt;&gt;"/",$P$113&gt;'Paramètres - Admin'!$A5),'Paramètres - Admin'!$A6,"/"))</f>
        <v>/</v>
      </c>
      <c r="S118" s="622" t="str">
        <f>IF(R118&lt;&gt;"/",VLOOKUP(R118,COSTS_Wizard_Tower[#All],2),"/")</f>
        <v>/</v>
      </c>
      <c r="T118" s="101" t="str">
        <f>IF(R118&lt;&gt;"/",VLOOKUP(R118,COSTS_Wizard_Tower[#All],3),"/")</f>
        <v>/</v>
      </c>
      <c r="U118" s="622">
        <f t="shared" si="51"/>
        <v>0</v>
      </c>
      <c r="V118" s="629">
        <f t="shared" si="52"/>
        <v>0</v>
      </c>
    </row>
    <row r="119" spans="1:24" ht="15" customHeight="1" thickBot="1" x14ac:dyDescent="0.3">
      <c r="A119" s="636">
        <v>2</v>
      </c>
      <c r="B119" s="123" t="str">
        <f>IF(Paramètres!O7=0,"",Paramètres!O7)</f>
        <v/>
      </c>
      <c r="C119" s="711">
        <f t="shared" ref="C119:C130" si="53">IF(C118&lt;&gt;0,C118+IF(AND(B118&lt;&gt;"",A118&lt;$E$116),B118,0),IF(AND(B118&lt;&gt;"",A118&lt;$E$116),B118,0))</f>
        <v>0</v>
      </c>
      <c r="D119" s="630"/>
      <c r="E119" s="630"/>
      <c r="F119" s="709">
        <f t="shared" ref="F119:F130" si="54">IF(G119&lt;&gt;"/",IF(I$116="Error","Error",$J$116+C119),"/")</f>
        <v>2</v>
      </c>
      <c r="G119" s="120">
        <f>IF(I$116="Error","Error",IF(AND($E$116&lt;&gt;"/",$E$116&gt;'Paramètres - Admin'!$A3),'Paramètres - Admin'!$A4,"/"))</f>
        <v>2</v>
      </c>
      <c r="H119" s="622">
        <f>IF(G119&lt;&gt;"/",VLOOKUP(G119,COSTS_Cannon[#All],2),"/")</f>
        <v>1000</v>
      </c>
      <c r="I119" s="101">
        <f>IF(G119&lt;&gt;"/",VLOOKUP(G119,COSTS_Cannon[#All],3),"/")</f>
        <v>0.25</v>
      </c>
      <c r="J119" s="622">
        <f t="shared" ref="J119:J130" si="55">IF(I$116="Error","Error",IF(H119&lt;&gt;"/",F119*H119,0))</f>
        <v>2000</v>
      </c>
      <c r="K119" s="629">
        <f t="shared" ref="K119:K130" si="56">IF(I$116="Error","Error",IF(I119&lt;&gt;"/",F119*I119,0))</f>
        <v>0.5</v>
      </c>
      <c r="L119" s="636">
        <v>5</v>
      </c>
      <c r="M119" s="123" t="str">
        <f>IF(Paramètres!S10=0,"",Paramètres!S10)</f>
        <v/>
      </c>
      <c r="N119" s="711">
        <f t="shared" si="49"/>
        <v>0</v>
      </c>
      <c r="O119" s="630"/>
      <c r="P119" s="630"/>
      <c r="Q119" s="709" t="str">
        <f t="shared" si="50"/>
        <v>/</v>
      </c>
      <c r="R119" s="120" t="str">
        <f>IF(T$113="Error","Error",IF(AND($P$113&lt;&gt;"/",$P$113&gt;'Paramètres - Admin'!$A6),'Paramètres - Admin'!$A7,"/"))</f>
        <v>/</v>
      </c>
      <c r="S119" s="622" t="str">
        <f>IF(R119&lt;&gt;"/",VLOOKUP(R119,COSTS_Wizard_Tower[#All],2),"/")</f>
        <v>/</v>
      </c>
      <c r="T119" s="101" t="str">
        <f>IF(R119&lt;&gt;"/",VLOOKUP(R119,COSTS_Wizard_Tower[#All],3),"/")</f>
        <v>/</v>
      </c>
      <c r="U119" s="622">
        <f t="shared" si="51"/>
        <v>0</v>
      </c>
      <c r="V119" s="629">
        <f t="shared" si="52"/>
        <v>0</v>
      </c>
    </row>
    <row r="120" spans="1:24" ht="15" customHeight="1" thickBot="1" x14ac:dyDescent="0.3">
      <c r="A120" s="636">
        <v>3</v>
      </c>
      <c r="B120" s="123" t="str">
        <f>IF(Paramètres!O8=0,"",Paramètres!O8)</f>
        <v/>
      </c>
      <c r="C120" s="711">
        <f t="shared" si="53"/>
        <v>0</v>
      </c>
      <c r="D120" s="630"/>
      <c r="E120" s="630"/>
      <c r="F120" s="709" t="str">
        <f t="shared" si="54"/>
        <v>/</v>
      </c>
      <c r="G120" s="120" t="str">
        <f>IF(I$116="Error","Error",IF(AND($E$116&lt;&gt;"/",$E$116&gt;'Paramètres - Admin'!$A4),'Paramètres - Admin'!$A5,"/"))</f>
        <v>/</v>
      </c>
      <c r="H120" s="622" t="str">
        <f>IF(G120&lt;&gt;"/",VLOOKUP(G120,COSTS_Cannon[#All],2),"/")</f>
        <v>/</v>
      </c>
      <c r="I120" s="101" t="str">
        <f>IF(G120&lt;&gt;"/",VLOOKUP(G120,COSTS_Cannon[#All],3),"/")</f>
        <v>/</v>
      </c>
      <c r="J120" s="622">
        <f t="shared" si="55"/>
        <v>0</v>
      </c>
      <c r="K120" s="629">
        <f t="shared" si="56"/>
        <v>0</v>
      </c>
      <c r="L120" s="636">
        <v>6</v>
      </c>
      <c r="M120" s="123" t="str">
        <f>IF(Paramètres!S11=0,"",Paramètres!S11)</f>
        <v/>
      </c>
      <c r="N120" s="711">
        <f t="shared" si="49"/>
        <v>0</v>
      </c>
      <c r="O120" s="630"/>
      <c r="P120" s="630"/>
      <c r="Q120" s="709" t="str">
        <f t="shared" si="50"/>
        <v>/</v>
      </c>
      <c r="R120" s="120" t="str">
        <f>IF(T$113="Error","Error",IF(AND($P$113&lt;&gt;"/",$P$113&gt;'Paramètres - Admin'!$A7),'Paramètres - Admin'!$A8,"/"))</f>
        <v>/</v>
      </c>
      <c r="S120" s="622" t="str">
        <f>IF(R120&lt;&gt;"/",VLOOKUP(R120,COSTS_Wizard_Tower[#All],2),"/")</f>
        <v>/</v>
      </c>
      <c r="T120" s="101" t="str">
        <f>IF(R120&lt;&gt;"/",VLOOKUP(R120,COSTS_Wizard_Tower[#All],3),"/")</f>
        <v>/</v>
      </c>
      <c r="U120" s="622">
        <f t="shared" si="51"/>
        <v>0</v>
      </c>
      <c r="V120" s="629">
        <f t="shared" si="52"/>
        <v>0</v>
      </c>
    </row>
    <row r="121" spans="1:24" ht="15" customHeight="1" thickBot="1" x14ac:dyDescent="0.3">
      <c r="A121" s="636">
        <v>4</v>
      </c>
      <c r="B121" s="123" t="str">
        <f>IF(Paramètres!O9=0,"",Paramètres!O9)</f>
        <v/>
      </c>
      <c r="C121" s="711">
        <f t="shared" si="53"/>
        <v>0</v>
      </c>
      <c r="D121" s="630"/>
      <c r="E121" s="630"/>
      <c r="F121" s="709" t="str">
        <f t="shared" si="54"/>
        <v>/</v>
      </c>
      <c r="G121" s="120" t="str">
        <f>IF(I$116="Error","Error",IF(AND($E$116&lt;&gt;"/",$E$116&gt;'Paramètres - Admin'!$A5),'Paramètres - Admin'!$A6,"/"))</f>
        <v>/</v>
      </c>
      <c r="H121" s="622" t="str">
        <f>IF(G121&lt;&gt;"/",VLOOKUP(G121,COSTS_Cannon[#All],2),"/")</f>
        <v>/</v>
      </c>
      <c r="I121" s="101" t="str">
        <f>IF(G121&lt;&gt;"/",VLOOKUP(G121,COSTS_Cannon[#All],3),"/")</f>
        <v>/</v>
      </c>
      <c r="J121" s="622">
        <f t="shared" si="55"/>
        <v>0</v>
      </c>
      <c r="K121" s="629">
        <f t="shared" si="56"/>
        <v>0</v>
      </c>
      <c r="L121" s="636">
        <v>7</v>
      </c>
      <c r="M121" s="123" t="str">
        <f>IF(Paramètres!S12=0,"",Paramètres!S12)</f>
        <v/>
      </c>
      <c r="N121" s="711">
        <f t="shared" si="49"/>
        <v>0</v>
      </c>
      <c r="O121" s="630"/>
      <c r="P121" s="630"/>
      <c r="Q121" s="709" t="str">
        <f t="shared" si="50"/>
        <v>/</v>
      </c>
      <c r="R121" s="120" t="str">
        <f>IF(T$113="Error","Error",IF(AND($P$113&lt;&gt;"/",$P$113&gt;'Paramètres - Admin'!$A8),'Paramètres - Admin'!$A9,"/"))</f>
        <v>/</v>
      </c>
      <c r="S121" s="622" t="str">
        <f>IF(R121&lt;&gt;"/",VLOOKUP(R121,COSTS_Wizard_Tower[#All],2),"/")</f>
        <v>/</v>
      </c>
      <c r="T121" s="101" t="str">
        <f>IF(R121&lt;&gt;"/",VLOOKUP(R121,COSTS_Wizard_Tower[#All],3),"/")</f>
        <v>/</v>
      </c>
      <c r="U121" s="622">
        <f t="shared" si="51"/>
        <v>0</v>
      </c>
      <c r="V121" s="629">
        <f t="shared" si="52"/>
        <v>0</v>
      </c>
    </row>
    <row r="122" spans="1:24" ht="15" customHeight="1" thickBot="1" x14ac:dyDescent="0.3">
      <c r="A122" s="636">
        <v>5</v>
      </c>
      <c r="B122" s="123" t="str">
        <f>IF(Paramètres!O10=0,"",Paramètres!O10)</f>
        <v/>
      </c>
      <c r="C122" s="711">
        <f t="shared" si="53"/>
        <v>0</v>
      </c>
      <c r="D122" s="630"/>
      <c r="E122" s="630"/>
      <c r="F122" s="709" t="str">
        <f t="shared" si="54"/>
        <v>/</v>
      </c>
      <c r="G122" s="120" t="str">
        <f>IF(I$116="Error","Error",IF(AND($E$116&lt;&gt;"/",$E$116&gt;'Paramètres - Admin'!$A6),'Paramètres - Admin'!$A7,"/"))</f>
        <v>/</v>
      </c>
      <c r="H122" s="622" t="str">
        <f>IF(G122&lt;&gt;"/",VLOOKUP(G122,COSTS_Cannon[#All],2),"/")</f>
        <v>/</v>
      </c>
      <c r="I122" s="101" t="str">
        <f>IF(G122&lt;&gt;"/",VLOOKUP(G122,COSTS_Cannon[#All],3),"/")</f>
        <v>/</v>
      </c>
      <c r="J122" s="622">
        <f t="shared" si="55"/>
        <v>0</v>
      </c>
      <c r="K122" s="629">
        <f t="shared" si="56"/>
        <v>0</v>
      </c>
      <c r="L122" s="150">
        <v>8</v>
      </c>
      <c r="M122" s="128" t="str">
        <f>IF(Paramètres!S13=0,"",Paramètres!S13)</f>
        <v/>
      </c>
      <c r="N122" s="711">
        <f t="shared" si="49"/>
        <v>0</v>
      </c>
      <c r="O122" s="129"/>
      <c r="P122" s="129"/>
      <c r="Q122" s="710" t="str">
        <f t="shared" si="50"/>
        <v>/</v>
      </c>
      <c r="R122" s="130" t="str">
        <f>IF(T$113="Error","Error",IF(AND($P$113&lt;&gt;"/",$P$113&gt;'Paramètres - Admin'!$A9),'Paramètres - Admin'!$A10,"/"))</f>
        <v>/</v>
      </c>
      <c r="S122" s="133" t="str">
        <f>IF(R122&lt;&gt;"/",VLOOKUP(R122,COSTS_Wizard_Tower[#All],2),"/")</f>
        <v>/</v>
      </c>
      <c r="T122" s="722" t="str">
        <f>IF(R122&lt;&gt;"/",VLOOKUP(R122,COSTS_Wizard_Tower[#All],3),"/")</f>
        <v>/</v>
      </c>
      <c r="U122" s="106">
        <f t="shared" si="51"/>
        <v>0</v>
      </c>
      <c r="V122" s="723">
        <f t="shared" si="52"/>
        <v>0</v>
      </c>
    </row>
    <row r="123" spans="1:24" ht="15" customHeight="1" thickBot="1" x14ac:dyDescent="0.3">
      <c r="A123" s="636">
        <v>6</v>
      </c>
      <c r="B123" s="123" t="str">
        <f>IF(Paramètres!O11=0,"",Paramètres!O11)</f>
        <v/>
      </c>
      <c r="C123" s="711">
        <f t="shared" si="53"/>
        <v>0</v>
      </c>
      <c r="D123" s="630"/>
      <c r="E123" s="630"/>
      <c r="F123" s="709" t="str">
        <f t="shared" si="54"/>
        <v>/</v>
      </c>
      <c r="G123" s="120" t="str">
        <f>IF(I$116="Error","Error",IF(AND($E$116&lt;&gt;"/",$E$116&gt;'Paramètres - Admin'!$A7),'Paramètres - Admin'!$A8,"/"))</f>
        <v>/</v>
      </c>
      <c r="H123" s="622" t="str">
        <f>IF(G123&lt;&gt;"/",VLOOKUP(G123,COSTS_Cannon[#All],2),"/")</f>
        <v>/</v>
      </c>
      <c r="I123" s="101" t="str">
        <f>IF(G123&lt;&gt;"/",VLOOKUP(G123,COSTS_Cannon[#All],3),"/")</f>
        <v>/</v>
      </c>
      <c r="J123" s="622">
        <f t="shared" si="55"/>
        <v>0</v>
      </c>
      <c r="K123" s="629">
        <f t="shared" si="56"/>
        <v>0</v>
      </c>
      <c r="L123" s="1147"/>
      <c r="M123" s="1107"/>
      <c r="N123" s="1107"/>
      <c r="O123" s="1107"/>
      <c r="P123" s="1107"/>
      <c r="Q123" s="1107"/>
      <c r="R123" s="1107"/>
      <c r="S123" s="1107"/>
      <c r="T123" s="329" t="s">
        <v>31</v>
      </c>
      <c r="U123" s="113">
        <f>IF(T$113="Error","Error",SUM(U115:U122))</f>
        <v>0</v>
      </c>
      <c r="V123" s="727">
        <f>IF(T$113="Error","Error",SUM(V115:V122))</f>
        <v>0</v>
      </c>
      <c r="X123" s="689"/>
    </row>
    <row r="124" spans="1:24" ht="15" customHeight="1" thickBot="1" x14ac:dyDescent="0.3">
      <c r="A124" s="636">
        <v>7</v>
      </c>
      <c r="B124" s="123" t="str">
        <f>IF(Paramètres!O12=0,"",Paramètres!O12)</f>
        <v/>
      </c>
      <c r="C124" s="711">
        <f t="shared" si="53"/>
        <v>0</v>
      </c>
      <c r="D124" s="630"/>
      <c r="E124" s="630"/>
      <c r="F124" s="709" t="str">
        <f t="shared" si="54"/>
        <v>/</v>
      </c>
      <c r="G124" s="120" t="str">
        <f>IF(I$116="Error","Error",IF(AND($E$116&lt;&gt;"/",$E$116&gt;'Paramètres - Admin'!$A8),'Paramètres - Admin'!$A9,"/"))</f>
        <v>/</v>
      </c>
      <c r="H124" s="622" t="str">
        <f>IF(G124&lt;&gt;"/",VLOOKUP(G124,COSTS_Cannon[#All],2),"/")</f>
        <v>/</v>
      </c>
      <c r="I124" s="101" t="str">
        <f>IF(G124&lt;&gt;"/",VLOOKUP(G124,COSTS_Cannon[#All],3),"/")</f>
        <v>/</v>
      </c>
      <c r="J124" s="622">
        <f t="shared" si="55"/>
        <v>0</v>
      </c>
      <c r="K124" s="629">
        <f t="shared" si="56"/>
        <v>0</v>
      </c>
      <c r="L124" s="1100" t="s">
        <v>201</v>
      </c>
      <c r="M124" s="1101"/>
      <c r="N124" s="1102"/>
      <c r="O124" s="85" t="s">
        <v>38</v>
      </c>
      <c r="P124" s="86" t="s">
        <v>39</v>
      </c>
      <c r="Q124" s="255"/>
      <c r="R124" s="88"/>
      <c r="S124" s="89"/>
      <c r="T124" s="615" t="s">
        <v>256</v>
      </c>
      <c r="U124" s="619" t="s">
        <v>362</v>
      </c>
      <c r="V124" s="616" t="s">
        <v>257</v>
      </c>
    </row>
    <row r="125" spans="1:24" ht="15" customHeight="1" thickBot="1" x14ac:dyDescent="0.3">
      <c r="A125" s="636">
        <v>8</v>
      </c>
      <c r="B125" s="123" t="str">
        <f>IF(Paramètres!O13=0,"",Paramètres!O13)</f>
        <v/>
      </c>
      <c r="C125" s="711">
        <f t="shared" si="53"/>
        <v>0</v>
      </c>
      <c r="D125" s="630"/>
      <c r="E125" s="630"/>
      <c r="F125" s="709" t="str">
        <f t="shared" si="54"/>
        <v>/</v>
      </c>
      <c r="G125" s="120" t="str">
        <f>IF(I$116="Error","Error",IF(AND($E$116&lt;&gt;"/",$E$116&gt;'Paramètres - Admin'!$A9),'Paramètres - Admin'!$A10,"/"))</f>
        <v>/</v>
      </c>
      <c r="H125" s="622" t="str">
        <f>IF(G125&lt;&gt;"/",VLOOKUP(G125,COSTS_Cannon[#All],2),"/")</f>
        <v>/</v>
      </c>
      <c r="I125" s="101" t="str">
        <f>IF(G125&lt;&gt;"/",VLOOKUP(G125,COSTS_Cannon[#All],3),"/")</f>
        <v>/</v>
      </c>
      <c r="J125" s="622">
        <f t="shared" si="55"/>
        <v>0</v>
      </c>
      <c r="K125" s="629">
        <f t="shared" si="56"/>
        <v>0</v>
      </c>
      <c r="L125" s="1103"/>
      <c r="M125" s="1104"/>
      <c r="N125" s="1105"/>
      <c r="O125" s="95">
        <f>VLOOKUP($A$2,AVAILABLE_Buildings_Defensive[#All],MATCH(L124,AVAILABLE_Buildings_Defensive[#Headers],0))</f>
        <v>0</v>
      </c>
      <c r="P125" s="96">
        <f>VLOOKUP($A$2,AVAILABLE_Buildings_Defensive[#All],MATCH(L124,AVAILABLE_Buildings_Defensive[#Headers],0)+1)</f>
        <v>0</v>
      </c>
      <c r="Q125" s="256"/>
      <c r="R125" s="231"/>
      <c r="S125" s="232"/>
      <c r="T125" s="104">
        <f>IF(SUM(M127:M134)&gt;O125,"Error",SUM(M127:M134))</f>
        <v>0</v>
      </c>
      <c r="U125" s="105">
        <f>IF(T$125="Error","Error",O125-T125)</f>
        <v>0</v>
      </c>
      <c r="V125" s="233">
        <f>IF(T$125="Error","Error",SUM(Q127:Q134))</f>
        <v>0</v>
      </c>
    </row>
    <row r="126" spans="1:24" ht="15" customHeight="1" thickBot="1" x14ac:dyDescent="0.3">
      <c r="A126" s="636">
        <v>9</v>
      </c>
      <c r="B126" s="123" t="str">
        <f>IF(Paramètres!O14=0,"",Paramètres!O14)</f>
        <v/>
      </c>
      <c r="C126" s="711">
        <f t="shared" si="53"/>
        <v>0</v>
      </c>
      <c r="D126" s="630"/>
      <c r="E126" s="630"/>
      <c r="F126" s="709" t="str">
        <f t="shared" si="54"/>
        <v>/</v>
      </c>
      <c r="G126" s="120" t="str">
        <f>IF(I$116="Error","Error",IF(AND($E$116&lt;&gt;"/",$E$116&gt;'Paramètres - Admin'!$A10),'Paramètres - Admin'!$A11,"/"))</f>
        <v>/</v>
      </c>
      <c r="H126" s="622" t="str">
        <f>IF(G126&lt;&gt;"/",VLOOKUP(G126,COSTS_Cannon[#All],2),"/")</f>
        <v>/</v>
      </c>
      <c r="I126" s="101" t="str">
        <f>IF(G126&lt;&gt;"/",VLOOKUP(G126,COSTS_Cannon[#All],3),"/")</f>
        <v>/</v>
      </c>
      <c r="J126" s="622">
        <f t="shared" si="55"/>
        <v>0</v>
      </c>
      <c r="K126" s="629">
        <f t="shared" si="56"/>
        <v>0</v>
      </c>
      <c r="L126" s="625" t="s">
        <v>30</v>
      </c>
      <c r="M126" s="406" t="s">
        <v>29</v>
      </c>
      <c r="N126" s="551"/>
      <c r="O126" s="257"/>
      <c r="P126" s="258"/>
      <c r="Q126" s="262" t="s">
        <v>29</v>
      </c>
      <c r="R126" s="263" t="s">
        <v>30</v>
      </c>
      <c r="S126" s="653" t="s">
        <v>258</v>
      </c>
      <c r="T126" s="653" t="s">
        <v>259</v>
      </c>
      <c r="U126" s="653" t="s">
        <v>232</v>
      </c>
      <c r="V126" s="654" t="s">
        <v>233</v>
      </c>
    </row>
    <row r="127" spans="1:24" ht="15" customHeight="1" thickBot="1" x14ac:dyDescent="0.3">
      <c r="A127" s="636">
        <v>10</v>
      </c>
      <c r="B127" s="123" t="str">
        <f>IF(Paramètres!O15=0,"",Paramètres!O15)</f>
        <v/>
      </c>
      <c r="C127" s="711">
        <f t="shared" si="53"/>
        <v>0</v>
      </c>
      <c r="D127" s="630"/>
      <c r="E127" s="630"/>
      <c r="F127" s="709" t="str">
        <f t="shared" si="54"/>
        <v>/</v>
      </c>
      <c r="G127" s="120" t="str">
        <f>IF(I$116="Error","Error",IF(AND($E$116&lt;&gt;"/",$E$116&gt;'Paramètres - Admin'!$A11),'Paramètres - Admin'!$A12,"/"))</f>
        <v>/</v>
      </c>
      <c r="H127" s="622" t="str">
        <f>IF(G127&lt;&gt;"/",VLOOKUP(G127,COSTS_Cannon[#All],2),"/")</f>
        <v>/</v>
      </c>
      <c r="I127" s="101" t="str">
        <f>IF(G127&lt;&gt;"/",VLOOKUP(G127,COSTS_Cannon[#All],3),"/")</f>
        <v>/</v>
      </c>
      <c r="J127" s="622">
        <f t="shared" si="55"/>
        <v>0</v>
      </c>
      <c r="K127" s="629">
        <f t="shared" si="56"/>
        <v>0</v>
      </c>
      <c r="L127" s="633">
        <v>1</v>
      </c>
      <c r="M127" s="116" t="str">
        <f>IF(Paramètres!U6=0,"",Paramètres!U6)</f>
        <v/>
      </c>
      <c r="N127" s="711">
        <f>IF(N126&lt;&gt;0,N126+IF(AND(M126&lt;&gt;"",L126&lt;P$125),M126,0),IF(AND(M126&lt;&gt;"",L126&lt;P$125),M126,0))</f>
        <v>0</v>
      </c>
      <c r="O127" s="707"/>
      <c r="P127" s="707"/>
      <c r="Q127" s="708" t="str">
        <f>IF(R127&lt;&gt;"/",IF(T$125="Error","Error",$U$125+N127),"/")</f>
        <v>/</v>
      </c>
      <c r="R127" s="548" t="str">
        <f>IF(T$125="Error","Error",IF(AND($P$125&lt;&gt;"/",$P$125&gt;'Paramètres - Admin'!$A2),'Paramètres - Admin'!$A3,"/"))</f>
        <v>/</v>
      </c>
      <c r="S127" s="93" t="str">
        <f>IF(R127&lt;&gt;"/",VLOOKUP(R127,COSTS_Hidden_Tesla[#All],2),"/")</f>
        <v>/</v>
      </c>
      <c r="T127" s="549" t="str">
        <f>IF(R127&lt;&gt;"/",VLOOKUP(R127,COSTS_Hidden_Tesla[#All],3),"/")</f>
        <v>/</v>
      </c>
      <c r="U127" s="93">
        <f>IF(T$125="Error","Error",IF(S127&lt;&gt;"/",Q127*S127,0))</f>
        <v>0</v>
      </c>
      <c r="V127" s="550">
        <f>IF(T$125="Error","Error",IF(T127&lt;&gt;"/",Q127*T127,0))</f>
        <v>0</v>
      </c>
    </row>
    <row r="128" spans="1:24" ht="15" customHeight="1" thickBot="1" x14ac:dyDescent="0.3">
      <c r="A128" s="149">
        <v>11</v>
      </c>
      <c r="B128" s="123" t="str">
        <f>IF(Paramètres!O16=0,"",Paramètres!O16)</f>
        <v/>
      </c>
      <c r="C128" s="711">
        <f t="shared" si="53"/>
        <v>0</v>
      </c>
      <c r="D128" s="630"/>
      <c r="E128" s="630"/>
      <c r="F128" s="709" t="str">
        <f t="shared" si="54"/>
        <v>/</v>
      </c>
      <c r="G128" s="120" t="str">
        <f>IF(I$116="Error","Error",IF(AND($E$116&lt;&gt;"/",$E$116&gt;'Paramètres - Admin'!$A12),'Paramètres - Admin'!$A13,"/"))</f>
        <v>/</v>
      </c>
      <c r="H128" s="622" t="str">
        <f>IF(G128&lt;&gt;"/",VLOOKUP(G128,COSTS_Cannon[#All],2),"/")</f>
        <v>/</v>
      </c>
      <c r="I128" s="101" t="str">
        <f>IF(G128&lt;&gt;"/",VLOOKUP(G128,COSTS_Cannon[#All],3),"/")</f>
        <v>/</v>
      </c>
      <c r="J128" s="622">
        <f t="shared" si="55"/>
        <v>0</v>
      </c>
      <c r="K128" s="629">
        <f t="shared" si="56"/>
        <v>0</v>
      </c>
      <c r="L128" s="636">
        <v>2</v>
      </c>
      <c r="M128" s="123" t="str">
        <f>IF(Paramètres!U7=0,"",Paramètres!U7)</f>
        <v/>
      </c>
      <c r="N128" s="711">
        <f t="shared" ref="N128:N134" si="57">IF(N127&lt;&gt;0,N127+IF(AND(M127&lt;&gt;"",L127&lt;P$125),M127,0),IF(AND(M127&lt;&gt;"",L127&lt;P$125),M127,0))</f>
        <v>0</v>
      </c>
      <c r="O128" s="630"/>
      <c r="P128" s="630"/>
      <c r="Q128" s="709" t="str">
        <f t="shared" ref="Q128:Q134" si="58">IF(R128&lt;&gt;"/",IF(T$125="Error","Error",$U$125+N128),"/")</f>
        <v>/</v>
      </c>
      <c r="R128" s="120" t="str">
        <f>IF(T$125="Error","Error",IF(AND($P$125&lt;&gt;"/",$P$125&gt;'Paramètres - Admin'!$A3),'Paramètres - Admin'!$A4,"/"))</f>
        <v>/</v>
      </c>
      <c r="S128" s="622" t="str">
        <f>IF(R128&lt;&gt;"/",VLOOKUP(R128,COSTS_Hidden_Tesla[#All],2),"/")</f>
        <v>/</v>
      </c>
      <c r="T128" s="101" t="str">
        <f>IF(R128&lt;&gt;"/",VLOOKUP(R128,COSTS_Hidden_Tesla[#All],3),"/")</f>
        <v>/</v>
      </c>
      <c r="U128" s="622">
        <f t="shared" ref="U128:U134" si="59">IF(T$125="Error","Error",IF(S128&lt;&gt;"/",Q128*S128,0))</f>
        <v>0</v>
      </c>
      <c r="V128" s="629">
        <f t="shared" ref="V128:V134" si="60">IF(T$125="Error","Error",IF(T128&lt;&gt;"/",Q128*T128,0))</f>
        <v>0</v>
      </c>
    </row>
    <row r="129" spans="1:22" ht="15" customHeight="1" thickBot="1" x14ac:dyDescent="0.3">
      <c r="A129" s="636">
        <v>12</v>
      </c>
      <c r="B129" s="123" t="str">
        <f>IF(Paramètres!O17=0,"",Paramètres!O17)</f>
        <v/>
      </c>
      <c r="C129" s="711">
        <f t="shared" si="53"/>
        <v>0</v>
      </c>
      <c r="D129" s="630"/>
      <c r="E129" s="630"/>
      <c r="F129" s="709" t="str">
        <f>IF(G129&lt;&gt;"/",IF(I$116="Error","Error",$J$116+C129),"/")</f>
        <v>/</v>
      </c>
      <c r="G129" s="120" t="str">
        <f>IF(I$116="Error","Error",IF(AND($E$116&lt;&gt;"/",$E$116&gt;'Paramètres - Admin'!$A13),'Paramètres - Admin'!$A14,"/"))</f>
        <v>/</v>
      </c>
      <c r="H129" s="622" t="str">
        <f>IF(G129&lt;&gt;"/",VLOOKUP(G129,COSTS_Cannon[#All],2),"/")</f>
        <v>/</v>
      </c>
      <c r="I129" s="101" t="str">
        <f>IF(G129&lt;&gt;"/",VLOOKUP(G129,COSTS_Cannon[#All],3),"/")</f>
        <v>/</v>
      </c>
      <c r="J129" s="622">
        <f>IF(I$116="Error","Error",IF(H129&lt;&gt;"/",F129*H129,0))</f>
        <v>0</v>
      </c>
      <c r="K129" s="629">
        <f>IF(I$116="Error","Error",IF(I129&lt;&gt;"/",F129*I129,0))</f>
        <v>0</v>
      </c>
      <c r="L129" s="636">
        <v>3</v>
      </c>
      <c r="M129" s="123" t="str">
        <f>IF(Paramètres!U8=0,"",Paramètres!U8)</f>
        <v/>
      </c>
      <c r="N129" s="711">
        <f t="shared" si="57"/>
        <v>0</v>
      </c>
      <c r="O129" s="630"/>
      <c r="P129" s="630"/>
      <c r="Q129" s="709" t="str">
        <f t="shared" si="58"/>
        <v>/</v>
      </c>
      <c r="R129" s="120" t="str">
        <f>IF(T$125="Error","Error",IF(AND($P$125&lt;&gt;"/",$P$125&gt;'Paramètres - Admin'!$A4),'Paramètres - Admin'!$A5,"/"))</f>
        <v>/</v>
      </c>
      <c r="S129" s="622" t="str">
        <f>IF(R129&lt;&gt;"/",VLOOKUP(R129,COSTS_Hidden_Tesla[#All],2),"/")</f>
        <v>/</v>
      </c>
      <c r="T129" s="101" t="str">
        <f>IF(R129&lt;&gt;"/",VLOOKUP(R129,COSTS_Hidden_Tesla[#All],3),"/")</f>
        <v>/</v>
      </c>
      <c r="U129" s="622">
        <f t="shared" si="59"/>
        <v>0</v>
      </c>
      <c r="V129" s="629">
        <f t="shared" si="60"/>
        <v>0</v>
      </c>
    </row>
    <row r="130" spans="1:22" ht="15" customHeight="1" thickBot="1" x14ac:dyDescent="0.3">
      <c r="A130" s="150">
        <v>13</v>
      </c>
      <c r="B130" s="128" t="str">
        <f>IF(Paramètres!O18=0,"",Paramètres!O18)</f>
        <v/>
      </c>
      <c r="C130" s="711">
        <f t="shared" si="53"/>
        <v>0</v>
      </c>
      <c r="D130" s="129"/>
      <c r="E130" s="129"/>
      <c r="F130" s="710" t="str">
        <f t="shared" si="54"/>
        <v>/</v>
      </c>
      <c r="G130" s="130" t="str">
        <f>IF(I$116="Error","Error",IF(AND($E$116&lt;&gt;"/",$E$116&gt;'Paramètres - Admin'!$A14),'Paramètres - Admin'!$A15,"/"))</f>
        <v>/</v>
      </c>
      <c r="H130" s="133" t="str">
        <f>IF(G130&lt;&gt;"/",VLOOKUP(G130,COSTS_Cannon[#All],2),"/")</f>
        <v>/</v>
      </c>
      <c r="I130" s="127" t="str">
        <f>IF(G130&lt;&gt;"/",VLOOKUP(G130,COSTS_Cannon[#All],3),"/")</f>
        <v>/</v>
      </c>
      <c r="J130" s="133">
        <f t="shared" si="55"/>
        <v>0</v>
      </c>
      <c r="K130" s="131">
        <f t="shared" si="56"/>
        <v>0</v>
      </c>
      <c r="L130" s="636">
        <v>4</v>
      </c>
      <c r="M130" s="123" t="str">
        <f>IF(Paramètres!U9=0,"",Paramètres!U9)</f>
        <v/>
      </c>
      <c r="N130" s="711">
        <f t="shared" si="57"/>
        <v>0</v>
      </c>
      <c r="O130" s="630"/>
      <c r="P130" s="630"/>
      <c r="Q130" s="709" t="str">
        <f t="shared" si="58"/>
        <v>/</v>
      </c>
      <c r="R130" s="120" t="str">
        <f>IF(T$125="Error","Error",IF(AND($P$125&lt;&gt;"/",$P$125&gt;'Paramètres - Admin'!$A5),'Paramètres - Admin'!$A6,"/"))</f>
        <v>/</v>
      </c>
      <c r="S130" s="622" t="str">
        <f>IF(R130&lt;&gt;"/",VLOOKUP(R130,COSTS_Hidden_Tesla[#All],2),"/")</f>
        <v>/</v>
      </c>
      <c r="T130" s="101" t="str">
        <f>IF(R130&lt;&gt;"/",VLOOKUP(R130,COSTS_Hidden_Tesla[#All],3),"/")</f>
        <v>/</v>
      </c>
      <c r="U130" s="622">
        <f t="shared" si="59"/>
        <v>0</v>
      </c>
      <c r="V130" s="629">
        <f t="shared" si="60"/>
        <v>0</v>
      </c>
    </row>
    <row r="131" spans="1:22" ht="15" customHeight="1" thickBot="1" x14ac:dyDescent="0.3">
      <c r="A131" s="1147"/>
      <c r="B131" s="1107"/>
      <c r="C131" s="1107"/>
      <c r="D131" s="1107"/>
      <c r="E131" s="1107"/>
      <c r="F131" s="1107"/>
      <c r="G131" s="1107"/>
      <c r="H131" s="1107"/>
      <c r="I131" s="329" t="s">
        <v>31</v>
      </c>
      <c r="J131" s="113">
        <f>IF(I$116="Error","Error",SUM(J118:J130))</f>
        <v>2500</v>
      </c>
      <c r="K131" s="727">
        <f>IF(I$116="Error","Error",SUM(K118:K130))</f>
        <v>0.53333333333333333</v>
      </c>
      <c r="L131" s="636">
        <v>5</v>
      </c>
      <c r="M131" s="123" t="str">
        <f>IF(Paramètres!U10=0,"",Paramètres!U10)</f>
        <v/>
      </c>
      <c r="N131" s="711">
        <f t="shared" si="57"/>
        <v>0</v>
      </c>
      <c r="O131" s="630"/>
      <c r="P131" s="630"/>
      <c r="Q131" s="709" t="str">
        <f t="shared" si="58"/>
        <v>/</v>
      </c>
      <c r="R131" s="120" t="str">
        <f>IF(T$125="Error","Error",IF(AND($P$125&lt;&gt;"/",$P$125&gt;'Paramètres - Admin'!$A6),'Paramètres - Admin'!$A7,"/"))</f>
        <v>/</v>
      </c>
      <c r="S131" s="622" t="str">
        <f>IF(R131&lt;&gt;"/",VLOOKUP(R131,COSTS_Hidden_Tesla[#All],2),"/")</f>
        <v>/</v>
      </c>
      <c r="T131" s="101" t="str">
        <f>IF(R131&lt;&gt;"/",VLOOKUP(R131,COSTS_Hidden_Tesla[#All],3),"/")</f>
        <v>/</v>
      </c>
      <c r="U131" s="622">
        <f t="shared" si="59"/>
        <v>0</v>
      </c>
      <c r="V131" s="629">
        <f t="shared" si="60"/>
        <v>0</v>
      </c>
    </row>
    <row r="132" spans="1:22" ht="15" customHeight="1" thickBot="1" x14ac:dyDescent="0.3">
      <c r="A132" s="1100" t="s">
        <v>204</v>
      </c>
      <c r="B132" s="1101"/>
      <c r="C132" s="1102"/>
      <c r="D132" s="85" t="s">
        <v>38</v>
      </c>
      <c r="E132" s="86" t="s">
        <v>39</v>
      </c>
      <c r="F132" s="255"/>
      <c r="G132" s="88"/>
      <c r="H132" s="89"/>
      <c r="I132" s="615" t="s">
        <v>256</v>
      </c>
      <c r="J132" s="619" t="s">
        <v>362</v>
      </c>
      <c r="K132" s="616" t="s">
        <v>257</v>
      </c>
      <c r="L132" s="636">
        <v>6</v>
      </c>
      <c r="M132" s="123" t="str">
        <f>IF(Paramètres!U11=0,"",Paramètres!U11)</f>
        <v/>
      </c>
      <c r="N132" s="711">
        <f t="shared" si="57"/>
        <v>0</v>
      </c>
      <c r="O132" s="630"/>
      <c r="P132" s="630"/>
      <c r="Q132" s="709" t="str">
        <f t="shared" si="58"/>
        <v>/</v>
      </c>
      <c r="R132" s="120" t="str">
        <f>IF(T$125="Error","Error",IF(AND($P$125&lt;&gt;"/",$P$125&gt;'Paramètres - Admin'!$A7),'Paramètres - Admin'!$A8,"/"))</f>
        <v>/</v>
      </c>
      <c r="S132" s="622" t="str">
        <f>IF(R132&lt;&gt;"/",VLOOKUP(R132,COSTS_Hidden_Tesla[#All],2),"/")</f>
        <v>/</v>
      </c>
      <c r="T132" s="101" t="str">
        <f>IF(R132&lt;&gt;"/",VLOOKUP(R132,COSTS_Hidden_Tesla[#All],3),"/")</f>
        <v>/</v>
      </c>
      <c r="U132" s="622">
        <f t="shared" si="59"/>
        <v>0</v>
      </c>
      <c r="V132" s="629">
        <f t="shared" si="60"/>
        <v>0</v>
      </c>
    </row>
    <row r="133" spans="1:22" ht="15" customHeight="1" thickBot="1" x14ac:dyDescent="0.3">
      <c r="A133" s="1103"/>
      <c r="B133" s="1104"/>
      <c r="C133" s="1105"/>
      <c r="D133" s="95">
        <f>VLOOKUP($A$2,AVAILABLE_Buildings_Defensive[#All],MATCH(A132,AVAILABLE_Buildings_Defensive[#Headers],0))</f>
        <v>0</v>
      </c>
      <c r="E133" s="96">
        <f>VLOOKUP($A$2,AVAILABLE_Buildings_Defensive[#All],MATCH(A132,AVAILABLE_Buildings_Defensive[#Headers],0)+1)</f>
        <v>0</v>
      </c>
      <c r="F133" s="256"/>
      <c r="G133" s="231"/>
      <c r="H133" s="232"/>
      <c r="I133" s="104">
        <f>IF(SUM(B135:B147)&gt;D133,"Error",SUM(B135:B147))</f>
        <v>0</v>
      </c>
      <c r="J133" s="105">
        <f>IF(I$133="Error","Error",D133-I133)</f>
        <v>0</v>
      </c>
      <c r="K133" s="233">
        <f>IF(I$133="Error","Error",SUM(F135:F147))</f>
        <v>0</v>
      </c>
      <c r="L133" s="636">
        <v>7</v>
      </c>
      <c r="M133" s="123" t="str">
        <f>IF(Paramètres!U12=0,"",Paramètres!U12)</f>
        <v/>
      </c>
      <c r="N133" s="711">
        <f t="shared" si="57"/>
        <v>0</v>
      </c>
      <c r="O133" s="630"/>
      <c r="P133" s="630"/>
      <c r="Q133" s="709" t="str">
        <f t="shared" si="58"/>
        <v>/</v>
      </c>
      <c r="R133" s="120" t="str">
        <f>IF(T$125="Error","Error",IF(AND($P$125&lt;&gt;"/",$P$125&gt;'Paramètres - Admin'!$A8),'Paramètres - Admin'!$A9,"/"))</f>
        <v>/</v>
      </c>
      <c r="S133" s="622" t="str">
        <f>IF(R133&lt;&gt;"/",VLOOKUP(R133,COSTS_Hidden_Tesla[#All],2),"/")</f>
        <v>/</v>
      </c>
      <c r="T133" s="101" t="str">
        <f>IF(R133&lt;&gt;"/",VLOOKUP(R133,COSTS_Hidden_Tesla[#All],3),"/")</f>
        <v>/</v>
      </c>
      <c r="U133" s="622">
        <f t="shared" si="59"/>
        <v>0</v>
      </c>
      <c r="V133" s="629">
        <f t="shared" si="60"/>
        <v>0</v>
      </c>
    </row>
    <row r="134" spans="1:22" ht="15" customHeight="1" thickBot="1" x14ac:dyDescent="0.3">
      <c r="A134" s="625" t="s">
        <v>30</v>
      </c>
      <c r="B134" s="406" t="s">
        <v>29</v>
      </c>
      <c r="C134" s="551"/>
      <c r="D134" s="257"/>
      <c r="E134" s="258"/>
      <c r="F134" s="262" t="s">
        <v>29</v>
      </c>
      <c r="G134" s="263" t="s">
        <v>30</v>
      </c>
      <c r="H134" s="653" t="s">
        <v>258</v>
      </c>
      <c r="I134" s="653" t="s">
        <v>259</v>
      </c>
      <c r="J134" s="653" t="s">
        <v>232</v>
      </c>
      <c r="K134" s="654" t="s">
        <v>233</v>
      </c>
      <c r="L134" s="150">
        <v>8</v>
      </c>
      <c r="M134" s="128" t="str">
        <f>IF(Paramètres!U13=0,"",Paramètres!U13)</f>
        <v/>
      </c>
      <c r="N134" s="711">
        <f t="shared" si="57"/>
        <v>0</v>
      </c>
      <c r="O134" s="129"/>
      <c r="P134" s="129"/>
      <c r="Q134" s="710" t="str">
        <f t="shared" si="58"/>
        <v>/</v>
      </c>
      <c r="R134" s="130" t="str">
        <f>IF(T$125="Error","Error",IF(AND($P$125&lt;&gt;"/",$P$125&gt;'Paramètres - Admin'!$A9),'Paramètres - Admin'!$A10,"/"))</f>
        <v>/</v>
      </c>
      <c r="S134" s="133" t="str">
        <f>IF(R134&lt;&gt;"/",VLOOKUP(R134,COSTS_Hidden_Tesla[#All],2),"/")</f>
        <v>/</v>
      </c>
      <c r="T134" s="722" t="str">
        <f>IF(R134&lt;&gt;"/",VLOOKUP(R134,COSTS_Hidden_Tesla[#All],3),"/")</f>
        <v>/</v>
      </c>
      <c r="U134" s="106">
        <f t="shared" si="59"/>
        <v>0</v>
      </c>
      <c r="V134" s="723">
        <f t="shared" si="60"/>
        <v>0</v>
      </c>
    </row>
    <row r="135" spans="1:22" ht="15" customHeight="1" thickBot="1" x14ac:dyDescent="0.3">
      <c r="A135" s="633">
        <v>1</v>
      </c>
      <c r="B135" s="116" t="str">
        <f>IF(Paramètres!P6=0,"",Paramètres!P6)</f>
        <v/>
      </c>
      <c r="C135" s="711">
        <f t="shared" ref="C135:C147" si="61">IF(C134&lt;&gt;0,C134+IF(AND(B134&lt;&gt;"",A134&lt;$E$133),B134,0),IF(AND(B134&lt;&gt;"",A134&lt;$E$133),B134,0))</f>
        <v>0</v>
      </c>
      <c r="D135" s="707"/>
      <c r="E135" s="707"/>
      <c r="F135" s="708" t="str">
        <f t="shared" ref="F135:F147" si="62">IF(G135&lt;&gt;"/",IF(I$133="Error","Error",$J$133+C135),"/")</f>
        <v>/</v>
      </c>
      <c r="G135" s="548" t="str">
        <f>IF(I$133="Error","Error",IF(AND($E$133&lt;&gt;"/",$E$133&gt;'Paramètres - Admin'!$A2),'Paramètres - Admin'!$A3,"/"))</f>
        <v>/</v>
      </c>
      <c r="H135" s="93" t="str">
        <f>IF(G135&lt;&gt;"/",VLOOKUP(G135,COSTS_Archer_Tower[#All],2),"/")</f>
        <v>/</v>
      </c>
      <c r="I135" s="549" t="str">
        <f>IF(G135&lt;&gt;"/",VLOOKUP(G135,COSTS_Archer_Tower[#All],3),"/")</f>
        <v>/</v>
      </c>
      <c r="J135" s="93">
        <f t="shared" ref="J135:J147" si="63">IF(I$133="Error","Error",IF(H135&lt;&gt;"/",F135*H135,0))</f>
        <v>0</v>
      </c>
      <c r="K135" s="550">
        <f t="shared" ref="K135:K147" si="64">IF(I$133="Error","Error",IF(I135&lt;&gt;"/",F135*I135,0))</f>
        <v>0</v>
      </c>
      <c r="L135" s="1147"/>
      <c r="M135" s="1107"/>
      <c r="N135" s="1107"/>
      <c r="O135" s="1107"/>
      <c r="P135" s="1107"/>
      <c r="Q135" s="1107"/>
      <c r="R135" s="1107"/>
      <c r="S135" s="1107"/>
      <c r="T135" s="329" t="s">
        <v>31</v>
      </c>
      <c r="U135" s="113">
        <f>IF(T$125="Error","Error",SUM(U127:U134))</f>
        <v>0</v>
      </c>
      <c r="V135" s="727">
        <f>IF(T$125="Error","Error",SUM(V127:V134))</f>
        <v>0</v>
      </c>
    </row>
    <row r="136" spans="1:22" ht="15" customHeight="1" x14ac:dyDescent="0.25">
      <c r="A136" s="636">
        <v>2</v>
      </c>
      <c r="B136" s="123" t="str">
        <f>IF(Paramètres!P7=0,"",Paramètres!P7)</f>
        <v/>
      </c>
      <c r="C136" s="691">
        <f t="shared" si="61"/>
        <v>0</v>
      </c>
      <c r="D136" s="630"/>
      <c r="E136" s="630"/>
      <c r="F136" s="709" t="str">
        <f t="shared" si="62"/>
        <v>/</v>
      </c>
      <c r="G136" s="120" t="str">
        <f>IF(I$133="Error","Error",IF(AND($E$133&lt;&gt;"/",$E$133&gt;'Paramètres - Admin'!$A3),'Paramètres - Admin'!$A4,"/"))</f>
        <v>/</v>
      </c>
      <c r="H136" s="622" t="str">
        <f>IF(G136&lt;&gt;"/",VLOOKUP(G136,COSTS_Archer_Tower[#All],2),"/")</f>
        <v>/</v>
      </c>
      <c r="I136" s="101" t="str">
        <f>IF(G136&lt;&gt;"/",VLOOKUP(G136,COSTS_Archer_Tower[#All],3),"/")</f>
        <v>/</v>
      </c>
      <c r="J136" s="622">
        <f t="shared" si="63"/>
        <v>0</v>
      </c>
      <c r="K136" s="629">
        <f t="shared" si="64"/>
        <v>0</v>
      </c>
      <c r="L136" s="1100" t="s">
        <v>200</v>
      </c>
      <c r="M136" s="1101"/>
      <c r="N136" s="1102"/>
      <c r="O136" s="85" t="s">
        <v>38</v>
      </c>
      <c r="P136" s="86" t="s">
        <v>39</v>
      </c>
      <c r="Q136" s="255"/>
      <c r="R136" s="88"/>
      <c r="S136" s="89"/>
      <c r="T136" s="615" t="s">
        <v>256</v>
      </c>
      <c r="U136" s="619" t="s">
        <v>362</v>
      </c>
      <c r="V136" s="616" t="s">
        <v>257</v>
      </c>
    </row>
    <row r="137" spans="1:22" ht="15" customHeight="1" thickBot="1" x14ac:dyDescent="0.3">
      <c r="A137" s="636">
        <v>3</v>
      </c>
      <c r="B137" s="123" t="str">
        <f>IF(Paramètres!P8=0,"",Paramètres!P8)</f>
        <v/>
      </c>
      <c r="C137" s="691">
        <f t="shared" si="61"/>
        <v>0</v>
      </c>
      <c r="D137" s="630"/>
      <c r="E137" s="630"/>
      <c r="F137" s="709" t="str">
        <f t="shared" si="62"/>
        <v>/</v>
      </c>
      <c r="G137" s="120" t="str">
        <f>IF(I$133="Error","Error",IF(AND($E$133&lt;&gt;"/",$E$133&gt;'Paramètres - Admin'!$A4),'Paramètres - Admin'!$A5,"/"))</f>
        <v>/</v>
      </c>
      <c r="H137" s="622" t="str">
        <f>IF(G137&lt;&gt;"/",VLOOKUP(G137,COSTS_Archer_Tower[#All],2),"/")</f>
        <v>/</v>
      </c>
      <c r="I137" s="101" t="str">
        <f>IF(G137&lt;&gt;"/",VLOOKUP(G137,COSTS_Archer_Tower[#All],3),"/")</f>
        <v>/</v>
      </c>
      <c r="J137" s="622">
        <f t="shared" si="63"/>
        <v>0</v>
      </c>
      <c r="K137" s="629">
        <f t="shared" si="64"/>
        <v>0</v>
      </c>
      <c r="L137" s="1103"/>
      <c r="M137" s="1104"/>
      <c r="N137" s="1105"/>
      <c r="O137" s="95">
        <f>VLOOKUP($A$2,AVAILABLE_Buildings_Defensive[#All],MATCH(L136,AVAILABLE_Buildings_Defensive[#Headers],0))</f>
        <v>0</v>
      </c>
      <c r="P137" s="96">
        <f>VLOOKUP($A$2,AVAILABLE_Buildings_Defensive[#All],MATCH(L136,AVAILABLE_Buildings_Defensive[#Headers],0)+1)</f>
        <v>0</v>
      </c>
      <c r="Q137" s="256"/>
      <c r="R137" s="231"/>
      <c r="S137" s="232"/>
      <c r="T137" s="104">
        <f>IF(SUM(M139:M142)&gt;O137,"Error",SUM(M139:M142))</f>
        <v>0</v>
      </c>
      <c r="U137" s="105">
        <f>IF(T$137="Error","Error",O137-T137)</f>
        <v>0</v>
      </c>
      <c r="V137" s="233">
        <f>IF(T$137="Error","Error",SUM(Q139:Q142))</f>
        <v>0</v>
      </c>
    </row>
    <row r="138" spans="1:22" ht="15" customHeight="1" thickBot="1" x14ac:dyDescent="0.3">
      <c r="A138" s="636">
        <v>4</v>
      </c>
      <c r="B138" s="123" t="str">
        <f>IF(Paramètres!P9=0,"",Paramètres!P9)</f>
        <v/>
      </c>
      <c r="C138" s="691">
        <f t="shared" si="61"/>
        <v>0</v>
      </c>
      <c r="D138" s="630"/>
      <c r="E138" s="630"/>
      <c r="F138" s="709" t="str">
        <f t="shared" si="62"/>
        <v>/</v>
      </c>
      <c r="G138" s="120" t="str">
        <f>IF(I$133="Error","Error",IF(AND($E$133&lt;&gt;"/",$E$133&gt;'Paramètres - Admin'!$A5),'Paramètres - Admin'!$A6,"/"))</f>
        <v>/</v>
      </c>
      <c r="H138" s="622" t="str">
        <f>IF(G138&lt;&gt;"/",VLOOKUP(G138,COSTS_Archer_Tower[#All],2),"/")</f>
        <v>/</v>
      </c>
      <c r="I138" s="101" t="str">
        <f>IF(G138&lt;&gt;"/",VLOOKUP(G138,COSTS_Archer_Tower[#All],3),"/")</f>
        <v>/</v>
      </c>
      <c r="J138" s="622">
        <f t="shared" si="63"/>
        <v>0</v>
      </c>
      <c r="K138" s="629">
        <f t="shared" si="64"/>
        <v>0</v>
      </c>
      <c r="L138" s="625" t="s">
        <v>30</v>
      </c>
      <c r="M138" s="406" t="s">
        <v>29</v>
      </c>
      <c r="N138" s="551"/>
      <c r="O138" s="257"/>
      <c r="P138" s="258"/>
      <c r="Q138" s="262" t="s">
        <v>29</v>
      </c>
      <c r="R138" s="263" t="s">
        <v>30</v>
      </c>
      <c r="S138" s="653" t="s">
        <v>258</v>
      </c>
      <c r="T138" s="653" t="s">
        <v>259</v>
      </c>
      <c r="U138" s="653" t="s">
        <v>232</v>
      </c>
      <c r="V138" s="654" t="s">
        <v>233</v>
      </c>
    </row>
    <row r="139" spans="1:22" ht="15" customHeight="1" thickBot="1" x14ac:dyDescent="0.3">
      <c r="A139" s="636">
        <v>5</v>
      </c>
      <c r="B139" s="123" t="str">
        <f>IF(Paramètres!P10=0,"",Paramètres!P10)</f>
        <v/>
      </c>
      <c r="C139" s="691">
        <f t="shared" si="61"/>
        <v>0</v>
      </c>
      <c r="D139" s="630"/>
      <c r="E139" s="630"/>
      <c r="F139" s="709" t="str">
        <f t="shared" si="62"/>
        <v>/</v>
      </c>
      <c r="G139" s="120" t="str">
        <f>IF(I$133="Error","Error",IF(AND($E$133&lt;&gt;"/",$E$133&gt;'Paramètres - Admin'!$A6),'Paramètres - Admin'!$A7,"/"))</f>
        <v>/</v>
      </c>
      <c r="H139" s="622" t="str">
        <f>IF(G139&lt;&gt;"/",VLOOKUP(G139,COSTS_Archer_Tower[#All],2),"/")</f>
        <v>/</v>
      </c>
      <c r="I139" s="101" t="str">
        <f>IF(G139&lt;&gt;"/",VLOOKUP(G139,COSTS_Archer_Tower[#All],3),"/")</f>
        <v>/</v>
      </c>
      <c r="J139" s="622">
        <f t="shared" si="63"/>
        <v>0</v>
      </c>
      <c r="K139" s="629">
        <f t="shared" si="64"/>
        <v>0</v>
      </c>
      <c r="L139" s="218">
        <v>1</v>
      </c>
      <c r="M139" s="717" t="str">
        <f>IF(Paramètres!V6=0,"",Paramètres!V6)</f>
        <v/>
      </c>
      <c r="N139" s="711">
        <f>IF(N138&lt;&gt;0,N138+IF(AND(M138&lt;&gt;"",L138&lt;P$137),M138,0),IF(AND(M138&lt;&gt;"",L138&lt;P$137),M138,0))</f>
        <v>0</v>
      </c>
      <c r="O139" s="707"/>
      <c r="P139" s="707"/>
      <c r="Q139" s="708" t="str">
        <f>IF(R139&lt;&gt;"/",IF(T$137="Error","Error",$U$137+N139),"/")</f>
        <v>/</v>
      </c>
      <c r="R139" s="548" t="str">
        <f>IF(T$137="Error","Error",IF(AND($P$137&lt;&gt;"/",$P$137&gt;'Paramètres - Admin'!$A2),'Paramètres - Admin'!$A3,"/"))</f>
        <v>/</v>
      </c>
      <c r="S139" s="93" t="str">
        <f>IF(R139&lt;&gt;"/",VLOOKUP(R139,COSTS_XBow[#All],2),"/")</f>
        <v>/</v>
      </c>
      <c r="T139" s="549" t="str">
        <f>IF(R139&lt;&gt;"/",VLOOKUP(R139,COSTS_XBow[#All],3),"/")</f>
        <v>/</v>
      </c>
      <c r="U139" s="93">
        <f>IF(T$137="Error","Error",IF(S139&lt;&gt;"/",Q139*S139,0))</f>
        <v>0</v>
      </c>
      <c r="V139" s="550">
        <f>IF(T$137="Error","Error",IF(T139&lt;&gt;"/",Q139*T139,0))</f>
        <v>0</v>
      </c>
    </row>
    <row r="140" spans="1:22" ht="15" customHeight="1" thickBot="1" x14ac:dyDescent="0.3">
      <c r="A140" s="636">
        <v>6</v>
      </c>
      <c r="B140" s="123" t="str">
        <f>IF(Paramètres!P11=0,"",Paramètres!P11)</f>
        <v/>
      </c>
      <c r="C140" s="691">
        <f t="shared" si="61"/>
        <v>0</v>
      </c>
      <c r="D140" s="630"/>
      <c r="E140" s="630"/>
      <c r="F140" s="709" t="str">
        <f t="shared" si="62"/>
        <v>/</v>
      </c>
      <c r="G140" s="120" t="str">
        <f>IF(I$133="Error","Error",IF(AND($E$133&lt;&gt;"/",$E$133&gt;'Paramètres - Admin'!$A7),'Paramètres - Admin'!$A8,"/"))</f>
        <v>/</v>
      </c>
      <c r="H140" s="622" t="str">
        <f>IF(G140&lt;&gt;"/",VLOOKUP(G140,COSTS_Archer_Tower[#All],2),"/")</f>
        <v>/</v>
      </c>
      <c r="I140" s="101" t="str">
        <f>IF(G140&lt;&gt;"/",VLOOKUP(G140,COSTS_Archer_Tower[#All],3),"/")</f>
        <v>/</v>
      </c>
      <c r="J140" s="622">
        <f t="shared" si="63"/>
        <v>0</v>
      </c>
      <c r="K140" s="629">
        <f t="shared" si="64"/>
        <v>0</v>
      </c>
      <c r="L140" s="636">
        <v>2</v>
      </c>
      <c r="M140" s="718" t="str">
        <f>IF(Paramètres!V7=0,"",Paramètres!V7)</f>
        <v/>
      </c>
      <c r="N140" s="711">
        <f t="shared" ref="N140:N142" si="65">IF(N139&lt;&gt;0,N139+IF(AND(M139&lt;&gt;"",L139&lt;P$137),M139,0),IF(AND(M139&lt;&gt;"",L139&lt;P$137),M139,0))</f>
        <v>0</v>
      </c>
      <c r="O140" s="630"/>
      <c r="P140" s="630"/>
      <c r="Q140" s="709" t="str">
        <f>IF(R140&lt;&gt;"/",IF(T$137="Error","Error",$U$137+N140),"/")</f>
        <v>/</v>
      </c>
      <c r="R140" s="120" t="str">
        <f>IF(T$137="Error","Error",IF(AND($P$137&lt;&gt;"/",$P$137&gt;'Paramètres - Admin'!$A3),'Paramètres - Admin'!$A4,"/"))</f>
        <v>/</v>
      </c>
      <c r="S140" s="622" t="str">
        <f>IF(R140&lt;&gt;"/",VLOOKUP(R140,COSTS_XBow[#All],2),"/")</f>
        <v>/</v>
      </c>
      <c r="T140" s="101" t="str">
        <f>IF(R140&lt;&gt;"/",VLOOKUP(R140,COSTS_XBow[#All],3),"/")</f>
        <v>/</v>
      </c>
      <c r="U140" s="622">
        <f>IF(T$137="Error","Error",IF(S140&lt;&gt;"/",Q140*S140,0))</f>
        <v>0</v>
      </c>
      <c r="V140" s="629">
        <f>IF(T$137="Error","Error",IF(T140&lt;&gt;"/",Q140*T140,0))</f>
        <v>0</v>
      </c>
    </row>
    <row r="141" spans="1:22" ht="15" customHeight="1" thickBot="1" x14ac:dyDescent="0.3">
      <c r="A141" s="636">
        <v>7</v>
      </c>
      <c r="B141" s="123" t="str">
        <f>IF(Paramètres!P12=0,"",Paramètres!P12)</f>
        <v/>
      </c>
      <c r="C141" s="691">
        <f t="shared" si="61"/>
        <v>0</v>
      </c>
      <c r="D141" s="630"/>
      <c r="E141" s="630"/>
      <c r="F141" s="709" t="str">
        <f t="shared" si="62"/>
        <v>/</v>
      </c>
      <c r="G141" s="120" t="str">
        <f>IF(I$133="Error","Error",IF(AND($E$133&lt;&gt;"/",$E$133&gt;'Paramètres - Admin'!$A8),'Paramètres - Admin'!$A9,"/"))</f>
        <v>/</v>
      </c>
      <c r="H141" s="622" t="str">
        <f>IF(G141&lt;&gt;"/",VLOOKUP(G141,COSTS_Archer_Tower[#All],2),"/")</f>
        <v>/</v>
      </c>
      <c r="I141" s="101" t="str">
        <f>IF(G141&lt;&gt;"/",VLOOKUP(G141,COSTS_Archer_Tower[#All],3),"/")</f>
        <v>/</v>
      </c>
      <c r="J141" s="622">
        <f t="shared" si="63"/>
        <v>0</v>
      </c>
      <c r="K141" s="629">
        <f t="shared" si="64"/>
        <v>0</v>
      </c>
      <c r="L141" s="636">
        <v>3</v>
      </c>
      <c r="M141" s="718" t="str">
        <f>IF(Paramètres!V8=0,"",Paramètres!V8)</f>
        <v/>
      </c>
      <c r="N141" s="711">
        <f t="shared" si="65"/>
        <v>0</v>
      </c>
      <c r="O141" s="630"/>
      <c r="P141" s="630"/>
      <c r="Q141" s="709" t="str">
        <f>IF(R141&lt;&gt;"/",IF(T$137="Error","Error",$U$137+N141),"/")</f>
        <v>/</v>
      </c>
      <c r="R141" s="120" t="str">
        <f>IF(T$137="Error","Error",IF(AND($P$137&lt;&gt;"/",$P$137&gt;'Paramètres - Admin'!$A4),'Paramètres - Admin'!$A5,"/"))</f>
        <v>/</v>
      </c>
      <c r="S141" s="622" t="str">
        <f>IF(R141&lt;&gt;"/",VLOOKUP(R141,COSTS_XBow[#All],2),"/")</f>
        <v>/</v>
      </c>
      <c r="T141" s="101" t="str">
        <f>IF(R141&lt;&gt;"/",VLOOKUP(R141,COSTS_XBow[#All],3),"/")</f>
        <v>/</v>
      </c>
      <c r="U141" s="622">
        <f>IF(T$137="Error","Error",IF(S141&lt;&gt;"/",Q141*S141,0))</f>
        <v>0</v>
      </c>
      <c r="V141" s="629">
        <f>IF(T$137="Error","Error",IF(T141&lt;&gt;"/",Q141*T141,0))</f>
        <v>0</v>
      </c>
    </row>
    <row r="142" spans="1:22" ht="15" customHeight="1" thickBot="1" x14ac:dyDescent="0.3">
      <c r="A142" s="636">
        <v>8</v>
      </c>
      <c r="B142" s="123" t="str">
        <f>IF(Paramètres!P13=0,"",Paramètres!P13)</f>
        <v/>
      </c>
      <c r="C142" s="691">
        <f t="shared" si="61"/>
        <v>0</v>
      </c>
      <c r="D142" s="630"/>
      <c r="E142" s="630"/>
      <c r="F142" s="709" t="str">
        <f t="shared" si="62"/>
        <v>/</v>
      </c>
      <c r="G142" s="120" t="str">
        <f>IF(I$133="Error","Error",IF(AND($E$133&lt;&gt;"/",$E$133&gt;'Paramètres - Admin'!$A9),'Paramètres - Admin'!$A10,"/"))</f>
        <v>/</v>
      </c>
      <c r="H142" s="622" t="str">
        <f>IF(G142&lt;&gt;"/",VLOOKUP(G142,COSTS_Archer_Tower[#All],2),"/")</f>
        <v>/</v>
      </c>
      <c r="I142" s="101" t="str">
        <f>IF(G142&lt;&gt;"/",VLOOKUP(G142,COSTS_Archer_Tower[#All],3),"/")</f>
        <v>/</v>
      </c>
      <c r="J142" s="622">
        <f t="shared" si="63"/>
        <v>0</v>
      </c>
      <c r="K142" s="629">
        <f t="shared" si="64"/>
        <v>0</v>
      </c>
      <c r="L142" s="150">
        <v>4</v>
      </c>
      <c r="M142" s="719" t="str">
        <f>IF(Paramètres!V9=0,"",Paramètres!V9)</f>
        <v/>
      </c>
      <c r="N142" s="711">
        <f t="shared" si="65"/>
        <v>0</v>
      </c>
      <c r="O142" s="630"/>
      <c r="P142" s="630"/>
      <c r="Q142" s="709" t="str">
        <f>IF(R142&lt;&gt;"/",IF(T$137="Error","Error",$U$137+N142),"/")</f>
        <v>/</v>
      </c>
      <c r="R142" s="120" t="str">
        <f>IF(T$137="Error","Error",IF(AND($P$137&lt;&gt;"/",$P$137&gt;'Paramètres - Admin'!$A5),'Paramètres - Admin'!$A6,"/"))</f>
        <v>/</v>
      </c>
      <c r="S142" s="622" t="str">
        <f>IF(R142&lt;&gt;"/",VLOOKUP(R142,COSTS_XBow[#All],2),"/")</f>
        <v>/</v>
      </c>
      <c r="T142" s="722" t="str">
        <f>IF(R142&lt;&gt;"/",VLOOKUP(R142,COSTS_XBow[#All],3),"/")</f>
        <v>/</v>
      </c>
      <c r="U142" s="106">
        <f>IF(T$137="Error","Error",IF(S142&lt;&gt;"/",Q142*S142,0))</f>
        <v>0</v>
      </c>
      <c r="V142" s="723">
        <f>IF(T$137="Error","Error",IF(T142&lt;&gt;"/",Q142*T142,0))</f>
        <v>0</v>
      </c>
    </row>
    <row r="143" spans="1:22" ht="15" customHeight="1" thickBot="1" x14ac:dyDescent="0.3">
      <c r="A143" s="636">
        <v>9</v>
      </c>
      <c r="B143" s="123" t="str">
        <f>IF(Paramètres!P14=0,"",Paramètres!P14)</f>
        <v/>
      </c>
      <c r="C143" s="691">
        <f t="shared" si="61"/>
        <v>0</v>
      </c>
      <c r="D143" s="630"/>
      <c r="E143" s="630"/>
      <c r="F143" s="709" t="str">
        <f t="shared" si="62"/>
        <v>/</v>
      </c>
      <c r="G143" s="120" t="str">
        <f>IF(I$133="Error","Error",IF(AND($E$133&lt;&gt;"/",$E$133&gt;'Paramètres - Admin'!$A10),'Paramètres - Admin'!$A11,"/"))</f>
        <v>/</v>
      </c>
      <c r="H143" s="622" t="str">
        <f>IF(G143&lt;&gt;"/",VLOOKUP(G143,COSTS_Archer_Tower[#All],2),"/")</f>
        <v>/</v>
      </c>
      <c r="I143" s="101" t="str">
        <f>IF(G143&lt;&gt;"/",VLOOKUP(G143,COSTS_Archer_Tower[#All],3),"/")</f>
        <v>/</v>
      </c>
      <c r="J143" s="622">
        <f t="shared" si="63"/>
        <v>0</v>
      </c>
      <c r="K143" s="629">
        <f t="shared" si="64"/>
        <v>0</v>
      </c>
      <c r="L143" s="1163"/>
      <c r="M143" s="1164"/>
      <c r="N143" s="1165"/>
      <c r="O143" s="1165"/>
      <c r="P143" s="1165"/>
      <c r="Q143" s="1165"/>
      <c r="R143" s="1165"/>
      <c r="S143" s="1166"/>
      <c r="T143" s="329" t="s">
        <v>31</v>
      </c>
      <c r="U143" s="113">
        <f>IF(T$137="Error","Error",SUM(U139:U142))</f>
        <v>0</v>
      </c>
      <c r="V143" s="727">
        <f>IF(T$137="Error","Error",SUM(V139:V142))</f>
        <v>0</v>
      </c>
    </row>
    <row r="144" spans="1:22" ht="15" customHeight="1" x14ac:dyDescent="0.25">
      <c r="A144" s="636">
        <v>10</v>
      </c>
      <c r="B144" s="123" t="str">
        <f>IF(Paramètres!P15=0,"",Paramètres!P15)</f>
        <v/>
      </c>
      <c r="C144" s="691">
        <f t="shared" si="61"/>
        <v>0</v>
      </c>
      <c r="D144" s="630"/>
      <c r="E144" s="630"/>
      <c r="F144" s="709" t="str">
        <f t="shared" si="62"/>
        <v>/</v>
      </c>
      <c r="G144" s="120" t="str">
        <f>IF(I$133="Error","Error",IF(AND($E$133&lt;&gt;"/",$E$133&gt;'Paramètres - Admin'!$A11),'Paramètres - Admin'!$A12,"/"))</f>
        <v>/</v>
      </c>
      <c r="H144" s="622" t="str">
        <f>IF(G144&lt;&gt;"/",VLOOKUP(G144,COSTS_Archer_Tower[#All],2),"/")</f>
        <v>/</v>
      </c>
      <c r="I144" s="101" t="str">
        <f>IF(G144&lt;&gt;"/",VLOOKUP(G144,COSTS_Archer_Tower[#All],3),"/")</f>
        <v>/</v>
      </c>
      <c r="J144" s="622">
        <f t="shared" si="63"/>
        <v>0</v>
      </c>
      <c r="K144" s="629">
        <f t="shared" si="64"/>
        <v>0</v>
      </c>
      <c r="L144" s="1150" t="s">
        <v>199</v>
      </c>
      <c r="M144" s="1151"/>
      <c r="N144" s="1152"/>
      <c r="O144" s="712" t="s">
        <v>38</v>
      </c>
      <c r="P144" s="713" t="s">
        <v>39</v>
      </c>
      <c r="Q144" s="714"/>
      <c r="R144" s="353"/>
      <c r="S144" s="715"/>
      <c r="T144" s="712" t="s">
        <v>256</v>
      </c>
      <c r="U144" s="716" t="s">
        <v>362</v>
      </c>
      <c r="V144" s="713" t="s">
        <v>257</v>
      </c>
    </row>
    <row r="145" spans="1:22" ht="15" customHeight="1" thickBot="1" x14ac:dyDescent="0.3">
      <c r="A145" s="636">
        <v>11</v>
      </c>
      <c r="B145" s="123" t="str">
        <f>IF(Paramètres!P16=0,"",Paramètres!P16)</f>
        <v/>
      </c>
      <c r="C145" s="691">
        <f t="shared" si="61"/>
        <v>0</v>
      </c>
      <c r="D145" s="630"/>
      <c r="E145" s="630"/>
      <c r="F145" s="709" t="str">
        <f t="shared" si="62"/>
        <v>/</v>
      </c>
      <c r="G145" s="120" t="str">
        <f>IF(I$133="Error","Error",IF(AND($E$133&lt;&gt;"/",$E$133&gt;'Paramètres - Admin'!$A12),'Paramètres - Admin'!$A13,"/"))</f>
        <v>/</v>
      </c>
      <c r="H145" s="622" t="str">
        <f>IF(G145&lt;&gt;"/",VLOOKUP(G145,COSTS_Archer_Tower[#All],2),"/")</f>
        <v>/</v>
      </c>
      <c r="I145" s="101" t="str">
        <f>IF(G145&lt;&gt;"/",VLOOKUP(G145,COSTS_Archer_Tower[#All],3),"/")</f>
        <v>/</v>
      </c>
      <c r="J145" s="622">
        <f t="shared" si="63"/>
        <v>0</v>
      </c>
      <c r="K145" s="629">
        <f t="shared" si="64"/>
        <v>0</v>
      </c>
      <c r="L145" s="1103"/>
      <c r="M145" s="1104"/>
      <c r="N145" s="1105"/>
      <c r="O145" s="95">
        <f>VLOOKUP($A$2,AVAILABLE_Buildings_Defensive[#All],MATCH(L144,AVAILABLE_Buildings_Defensive[#Headers],0))</f>
        <v>0</v>
      </c>
      <c r="P145" s="96">
        <f>VLOOKUP($A$2,AVAILABLE_Buildings_Defensive[#All],MATCH(L144,AVAILABLE_Buildings_Defensive[#Headers],0)+1)</f>
        <v>0</v>
      </c>
      <c r="Q145" s="256"/>
      <c r="R145" s="231"/>
      <c r="S145" s="232"/>
      <c r="T145" s="104">
        <f>IF(SUM(M147:M149)&gt;O145,"Error",SUM(M147:M149))</f>
        <v>0</v>
      </c>
      <c r="U145" s="105">
        <f>IF(T$145="Error","Error",O145-T145)</f>
        <v>0</v>
      </c>
      <c r="V145" s="233">
        <f>IF(T$145="Error","Error",SUM(Q147:Q149))</f>
        <v>0</v>
      </c>
    </row>
    <row r="146" spans="1:22" ht="15" customHeight="1" thickBot="1" x14ac:dyDescent="0.3">
      <c r="A146" s="636">
        <v>12</v>
      </c>
      <c r="B146" s="123" t="str">
        <f>IF(Paramètres!P17=0,"",Paramètres!P17)</f>
        <v/>
      </c>
      <c r="C146" s="691">
        <f t="shared" si="61"/>
        <v>0</v>
      </c>
      <c r="D146" s="630"/>
      <c r="E146" s="630"/>
      <c r="F146" s="709" t="str">
        <f t="shared" si="62"/>
        <v>/</v>
      </c>
      <c r="G146" s="120" t="str">
        <f>IF(I$133="Error","Error",IF(AND($E$133&lt;&gt;"/",$E$133&gt;'Paramètres - Admin'!$A13),'Paramètres - Admin'!$A14,"/"))</f>
        <v>/</v>
      </c>
      <c r="H146" s="622" t="str">
        <f>IF(G146&lt;&gt;"/",VLOOKUP(G146,COSTS_Archer_Tower[#All],2),"/")</f>
        <v>/</v>
      </c>
      <c r="I146" s="101" t="str">
        <f>IF(G146&lt;&gt;"/",VLOOKUP(G146,COSTS_Archer_Tower[#All],3),"/")</f>
        <v>/</v>
      </c>
      <c r="J146" s="622">
        <f t="shared" si="63"/>
        <v>0</v>
      </c>
      <c r="K146" s="629">
        <f t="shared" si="64"/>
        <v>0</v>
      </c>
      <c r="L146" s="625" t="s">
        <v>30</v>
      </c>
      <c r="M146" s="406" t="s">
        <v>29</v>
      </c>
      <c r="N146" s="551"/>
      <c r="O146" s="257"/>
      <c r="P146" s="258"/>
      <c r="Q146" s="262" t="s">
        <v>29</v>
      </c>
      <c r="R146" s="263" t="s">
        <v>30</v>
      </c>
      <c r="S146" s="653" t="s">
        <v>258</v>
      </c>
      <c r="T146" s="653" t="s">
        <v>259</v>
      </c>
      <c r="U146" s="653" t="s">
        <v>232</v>
      </c>
      <c r="V146" s="654" t="s">
        <v>233</v>
      </c>
    </row>
    <row r="147" spans="1:22" ht="15" customHeight="1" thickBot="1" x14ac:dyDescent="0.3">
      <c r="A147" s="150">
        <v>13</v>
      </c>
      <c r="B147" s="128" t="str">
        <f>IF(Paramètres!P18=0,"",Paramètres!P18)</f>
        <v/>
      </c>
      <c r="C147" s="692">
        <f t="shared" si="61"/>
        <v>0</v>
      </c>
      <c r="D147" s="129"/>
      <c r="E147" s="129"/>
      <c r="F147" s="710" t="str">
        <f t="shared" si="62"/>
        <v>/</v>
      </c>
      <c r="G147" s="130" t="str">
        <f>IF(I$133="Error","Error",IF(AND($E$133&lt;&gt;"/",$E$133&gt;'Paramètres - Admin'!$A14),'Paramètres - Admin'!$A15,"/"))</f>
        <v>/</v>
      </c>
      <c r="H147" s="133" t="str">
        <f>IF(G147&lt;&gt;"/",VLOOKUP(G147,COSTS_Archer_Tower[#All],2),"/")</f>
        <v>/</v>
      </c>
      <c r="I147" s="722" t="str">
        <f>IF(G147&lt;&gt;"/",VLOOKUP(G147,COSTS_Archer_Tower[#All],3),"/")</f>
        <v>/</v>
      </c>
      <c r="J147" s="106">
        <f t="shared" si="63"/>
        <v>0</v>
      </c>
      <c r="K147" s="723">
        <f t="shared" si="64"/>
        <v>0</v>
      </c>
      <c r="L147" s="633">
        <v>1</v>
      </c>
      <c r="M147" s="116" t="str">
        <f>IF(Paramètres!W6=0,"",Paramètres!W6)</f>
        <v/>
      </c>
      <c r="N147" s="711">
        <f>IF(N146&lt;&gt;0,N146+IF(AND(M146&lt;&gt;"",L146&lt;P$145),M146,0),IF(AND(M146&lt;&gt;"",L146&lt;P$145),M146,0))</f>
        <v>0</v>
      </c>
      <c r="O147" s="707"/>
      <c r="P147" s="707"/>
      <c r="Q147" s="708" t="str">
        <f>IF(R147&lt;&gt;"/",IF(T$145="Error","Error",$U$145+N147),"/")</f>
        <v>/</v>
      </c>
      <c r="R147" s="548" t="str">
        <f>IF(T$145="Error","Error",IF(AND($P$145&lt;&gt;"/",$P$145&gt;'Paramètres - Admin'!$A2),'Paramètres - Admin'!$A3,"/"))</f>
        <v>/</v>
      </c>
      <c r="S147" s="93" t="str">
        <f>IF(R147&lt;&gt;"/",VLOOKUP(R147,COSTS_Inferno_Tower[#All],2),"/")</f>
        <v>/</v>
      </c>
      <c r="T147" s="549" t="str">
        <f>IF(R147&lt;&gt;"/",VLOOKUP(R147,COSTS_Inferno_Tower[#All],3),"/")</f>
        <v>/</v>
      </c>
      <c r="U147" s="93">
        <f>IF(T$145="Error","Error",IF(S147&lt;&gt;"/",Q147*S147,0))</f>
        <v>0</v>
      </c>
      <c r="V147" s="550">
        <f>IF(T$145="Error","Error",IF(T147&lt;&gt;"/",Q147*T147,0))</f>
        <v>0</v>
      </c>
    </row>
    <row r="148" spans="1:22" ht="15" customHeight="1" thickBot="1" x14ac:dyDescent="0.3">
      <c r="A148" s="1147"/>
      <c r="B148" s="1107"/>
      <c r="C148" s="1107"/>
      <c r="D148" s="1107"/>
      <c r="E148" s="1107"/>
      <c r="F148" s="1107"/>
      <c r="G148" s="1107"/>
      <c r="H148" s="1107"/>
      <c r="I148" s="329" t="s">
        <v>31</v>
      </c>
      <c r="J148" s="113">
        <f>IF(I$133="Error","Error",SUM(J135:J147))</f>
        <v>0</v>
      </c>
      <c r="K148" s="727">
        <f>IF(I$133="Error","Error",SUM(K135:K147))</f>
        <v>0</v>
      </c>
      <c r="L148" s="633">
        <v>2</v>
      </c>
      <c r="M148" s="123" t="str">
        <f>IF(Paramètres!W7=0,"",Paramètres!W7)</f>
        <v/>
      </c>
      <c r="N148" s="711">
        <f t="shared" ref="N148:N149" si="66">IF(N147&lt;&gt;0,N147+IF(AND(M147&lt;&gt;"",L147&lt;P$145),M147,0),IF(AND(M147&lt;&gt;"",L147&lt;P$145),M147,0))</f>
        <v>0</v>
      </c>
      <c r="O148" s="630"/>
      <c r="P148" s="630"/>
      <c r="Q148" s="709" t="str">
        <f>IF(R148&lt;&gt;"/",IF(T$145="Error","Error",$U$145+N148),"/")</f>
        <v>/</v>
      </c>
      <c r="R148" s="120" t="str">
        <f>IF(T$145="Error","Error",IF(AND($P$145&lt;&gt;"/",$P$145&gt;'Paramètres - Admin'!$A3),'Paramètres - Admin'!$A4,"/"))</f>
        <v>/</v>
      </c>
      <c r="S148" s="622" t="str">
        <f>IF(R148&lt;&gt;"/",VLOOKUP(R148,COSTS_Inferno_Tower[#All],2),"/")</f>
        <v>/</v>
      </c>
      <c r="T148" s="101" t="str">
        <f>IF(R148&lt;&gt;"/",VLOOKUP(R148,COSTS_Inferno_Tower[#All],3),"/")</f>
        <v>/</v>
      </c>
      <c r="U148" s="622">
        <f>IF(T$145="Error","Error",IF(S148&lt;&gt;"/",Q148*S148,0))</f>
        <v>0</v>
      </c>
      <c r="V148" s="629">
        <f>IF(T$145="Error","Error",IF(T148&lt;&gt;"/",Q148*T148,0))</f>
        <v>0</v>
      </c>
    </row>
    <row r="149" spans="1:22" ht="15" customHeight="1" thickBot="1" x14ac:dyDescent="0.3">
      <c r="A149" s="1100" t="s">
        <v>203</v>
      </c>
      <c r="B149" s="1101"/>
      <c r="C149" s="1102"/>
      <c r="D149" s="85" t="s">
        <v>38</v>
      </c>
      <c r="E149" s="86" t="s">
        <v>39</v>
      </c>
      <c r="F149" s="255"/>
      <c r="G149" s="88"/>
      <c r="H149" s="89"/>
      <c r="I149" s="615" t="s">
        <v>256</v>
      </c>
      <c r="J149" s="619" t="s">
        <v>362</v>
      </c>
      <c r="K149" s="616" t="s">
        <v>257</v>
      </c>
      <c r="L149" s="150">
        <v>3</v>
      </c>
      <c r="M149" s="128" t="str">
        <f>IF(Paramètres!W8=0,"",Paramètres!W8)</f>
        <v/>
      </c>
      <c r="N149" s="711">
        <f t="shared" si="66"/>
        <v>0</v>
      </c>
      <c r="O149" s="129"/>
      <c r="P149" s="129"/>
      <c r="Q149" s="710" t="str">
        <f>IF(R149&lt;&gt;"/",IF(T$145="Error","Error",$U$145+N149),"/")</f>
        <v>/</v>
      </c>
      <c r="R149" s="130" t="str">
        <f>IF(T$145="Error","Error",IF(AND($P$145&lt;&gt;"/",$P$145&gt;'Paramètres - Admin'!$A4),'Paramètres - Admin'!$A5,"/"))</f>
        <v>/</v>
      </c>
      <c r="S149" s="133" t="str">
        <f>IF(R149&lt;&gt;"/",VLOOKUP(R149,COSTS_Inferno_Tower[#All],2),"/")</f>
        <v>/</v>
      </c>
      <c r="T149" s="722" t="str">
        <f>IF(R149&lt;&gt;"/",VLOOKUP(R149,COSTS_Inferno_Tower[#All],3),"/")</f>
        <v>/</v>
      </c>
      <c r="U149" s="106">
        <f>IF(T$145="Error","Error",IF(S149&lt;&gt;"/",Q149*S149,0))</f>
        <v>0</v>
      </c>
      <c r="V149" s="723">
        <f>IF(T$145="Error","Error",IF(T149&lt;&gt;"/",Q149*T149,0))</f>
        <v>0</v>
      </c>
    </row>
    <row r="150" spans="1:22" ht="15" customHeight="1" thickBot="1" x14ac:dyDescent="0.3">
      <c r="A150" s="1103"/>
      <c r="B150" s="1104"/>
      <c r="C150" s="1105"/>
      <c r="D150" s="95">
        <f>VLOOKUP($A$2,AVAILABLE_Buildings_Defensive[#All],MATCH(A149,AVAILABLE_Buildings_Defensive[#Headers],0))</f>
        <v>0</v>
      </c>
      <c r="E150" s="96">
        <f>VLOOKUP($A$2,AVAILABLE_Buildings_Defensive[#All],MATCH(A149,AVAILABLE_Buildings_Defensive[#Headers],0)+1)</f>
        <v>0</v>
      </c>
      <c r="F150" s="256"/>
      <c r="G150" s="231"/>
      <c r="H150" s="232"/>
      <c r="I150" s="104">
        <f>IF(SUM(B152:B159)&gt;D150,"Error",SUM(B152:B159))</f>
        <v>0</v>
      </c>
      <c r="J150" s="105">
        <f>IF(I$150="Error","Error",D150-I150)</f>
        <v>0</v>
      </c>
      <c r="K150" s="233">
        <f>IF(I$150="Error","Error",SUM(F152:F159))</f>
        <v>0</v>
      </c>
      <c r="L150" s="1147"/>
      <c r="M150" s="1107"/>
      <c r="N150" s="1107"/>
      <c r="O150" s="1107"/>
      <c r="P150" s="1107"/>
      <c r="Q150" s="1107"/>
      <c r="R150" s="1107"/>
      <c r="S150" s="1107"/>
      <c r="T150" s="329" t="s">
        <v>31</v>
      </c>
      <c r="U150" s="113">
        <f>IF(T$145="Error","Error",SUM(U147:U149))</f>
        <v>0</v>
      </c>
      <c r="V150" s="727">
        <f>IF(T$145="Error","Error",SUM(V147:V149))</f>
        <v>0</v>
      </c>
    </row>
    <row r="151" spans="1:22" ht="15" customHeight="1" thickBot="1" x14ac:dyDescent="0.3">
      <c r="A151" s="625" t="s">
        <v>30</v>
      </c>
      <c r="B151" s="406" t="s">
        <v>29</v>
      </c>
      <c r="C151" s="551"/>
      <c r="D151" s="257"/>
      <c r="E151" s="258"/>
      <c r="F151" s="262" t="s">
        <v>29</v>
      </c>
      <c r="G151" s="263" t="s">
        <v>30</v>
      </c>
      <c r="H151" s="653" t="s">
        <v>258</v>
      </c>
      <c r="I151" s="653" t="s">
        <v>259</v>
      </c>
      <c r="J151" s="653" t="s">
        <v>232</v>
      </c>
      <c r="K151" s="654" t="s">
        <v>233</v>
      </c>
      <c r="L151" s="1100" t="s">
        <v>647</v>
      </c>
      <c r="M151" s="1101"/>
      <c r="N151" s="1102"/>
      <c r="O151" s="615" t="s">
        <v>38</v>
      </c>
      <c r="P151" s="616" t="s">
        <v>39</v>
      </c>
      <c r="Q151" s="643"/>
      <c r="R151" s="617"/>
      <c r="S151" s="618"/>
      <c r="T151" s="615" t="s">
        <v>256</v>
      </c>
      <c r="U151" s="619" t="s">
        <v>362</v>
      </c>
      <c r="V151" s="616" t="s">
        <v>257</v>
      </c>
    </row>
    <row r="152" spans="1:22" ht="15" customHeight="1" thickBot="1" x14ac:dyDescent="0.3">
      <c r="A152" s="633">
        <v>1</v>
      </c>
      <c r="B152" s="116" t="str">
        <f>IF(Paramètres!Q6=0,"",Paramètres!Q6)</f>
        <v/>
      </c>
      <c r="C152" s="711">
        <f>IF(C151&lt;&gt;0,C151+IF(AND(B151&lt;&gt;"",A151&lt;E$150),B151,0),IF(AND(B151&lt;&gt;"",A151&lt;E$150),B151,0))</f>
        <v>0</v>
      </c>
      <c r="D152" s="707"/>
      <c r="E152" s="707"/>
      <c r="F152" s="708" t="str">
        <f t="shared" ref="F152:F159" si="67">IF(G152&lt;&gt;"/",IF(I$150="Error","Error",$J$150+C152),"/")</f>
        <v>/</v>
      </c>
      <c r="G152" s="548" t="str">
        <f>IF(I$150="Error","Error",IF(AND($E$150&lt;&gt;"/",$E$150&gt;'Paramètres - Admin'!$A2),'Paramètres - Admin'!$A3,"/"))</f>
        <v>/</v>
      </c>
      <c r="H152" s="93" t="str">
        <f>IF(G152&lt;&gt;"/",VLOOKUP(G152,COSTS_Mortar[#All],2),"/")</f>
        <v>/</v>
      </c>
      <c r="I152" s="549" t="str">
        <f>IF(G152&lt;&gt;"/",VLOOKUP(G152,COSTS_Mortar[#All],3),"/")</f>
        <v>/</v>
      </c>
      <c r="J152" s="93">
        <f t="shared" ref="J152:J159" si="68">IF(I$150="Error","Error",IF(H152&lt;&gt;"/",F152*H152,0))</f>
        <v>0</v>
      </c>
      <c r="K152" s="550">
        <f t="shared" ref="K152:K159" si="69">IF(I$150="Error","Error",IF(I152&lt;&gt;"/",F152*I152,0))</f>
        <v>0</v>
      </c>
      <c r="L152" s="1103"/>
      <c r="M152" s="1104"/>
      <c r="N152" s="1105"/>
      <c r="O152" s="620">
        <f>VLOOKUP($A$2,AVAILABLE_Buildings_Defensive[#All],MATCH(L151,AVAILABLE_Buildings_Defensive[#Headers],0))</f>
        <v>0</v>
      </c>
      <c r="P152" s="621">
        <f>VLOOKUP($A$2,AVAILABLE_Buildings_Defensive[#All],MATCH(L151,AVAILABLE_Buildings_Defensive[#Headers],0)+1)</f>
        <v>0</v>
      </c>
      <c r="Q152" s="644"/>
      <c r="R152" s="640"/>
      <c r="S152" s="641"/>
      <c r="T152" s="623">
        <f>IF(SUM(M154:M161)&gt;O152,"Error",SUM(M154:M161))</f>
        <v>0</v>
      </c>
      <c r="U152" s="624">
        <f>IF(T$152="Error","Error",O152-T152)</f>
        <v>0</v>
      </c>
      <c r="V152" s="642">
        <f>IF(T$152="Error","Error",SUM(Q154:Q161))</f>
        <v>0</v>
      </c>
    </row>
    <row r="153" spans="1:22" ht="15" customHeight="1" thickBot="1" x14ac:dyDescent="0.3">
      <c r="A153" s="636">
        <v>2</v>
      </c>
      <c r="B153" s="123" t="str">
        <f>IF(Paramètres!Q7=0,"",Paramètres!Q7)</f>
        <v/>
      </c>
      <c r="C153" s="711">
        <f t="shared" ref="C153:C159" si="70">IF(C152&lt;&gt;0,C152+IF(AND(B152&lt;&gt;"",A152&lt;E$150),B152,0),IF(AND(B152&lt;&gt;"",A152&lt;E$150),B152,0))</f>
        <v>0</v>
      </c>
      <c r="D153" s="630"/>
      <c r="E153" s="630"/>
      <c r="F153" s="709" t="str">
        <f t="shared" si="67"/>
        <v>/</v>
      </c>
      <c r="G153" s="120" t="str">
        <f>IF(I$150="Error","Error",IF(AND($E$150&lt;&gt;"/",$E$150&gt;'Paramètres - Admin'!$A3),'Paramètres - Admin'!$A4,"/"))</f>
        <v>/</v>
      </c>
      <c r="H153" s="622" t="str">
        <f>IF(G153&lt;&gt;"/",VLOOKUP(G153,COSTS_Mortar[#All],2),"/")</f>
        <v>/</v>
      </c>
      <c r="I153" s="101" t="str">
        <f>IF(G153&lt;&gt;"/",VLOOKUP(G153,COSTS_Mortar[#All],3),"/")</f>
        <v>/</v>
      </c>
      <c r="J153" s="622">
        <f t="shared" si="68"/>
        <v>0</v>
      </c>
      <c r="K153" s="629">
        <f t="shared" si="69"/>
        <v>0</v>
      </c>
      <c r="L153" s="625" t="s">
        <v>30</v>
      </c>
      <c r="M153" s="406" t="s">
        <v>29</v>
      </c>
      <c r="N153" s="551"/>
      <c r="O153" s="645"/>
      <c r="P153" s="646"/>
      <c r="Q153" s="651" t="s">
        <v>29</v>
      </c>
      <c r="R153" s="652" t="s">
        <v>30</v>
      </c>
      <c r="S153" s="653" t="s">
        <v>258</v>
      </c>
      <c r="T153" s="653" t="s">
        <v>259</v>
      </c>
      <c r="U153" s="653" t="s">
        <v>232</v>
      </c>
      <c r="V153" s="654" t="s">
        <v>233</v>
      </c>
    </row>
    <row r="154" spans="1:22" ht="15" customHeight="1" thickBot="1" x14ac:dyDescent="0.3">
      <c r="A154" s="636">
        <v>3</v>
      </c>
      <c r="B154" s="123" t="str">
        <f>IF(Paramètres!Q8=0,"",Paramètres!Q8)</f>
        <v/>
      </c>
      <c r="C154" s="711">
        <f t="shared" si="70"/>
        <v>0</v>
      </c>
      <c r="D154" s="630"/>
      <c r="E154" s="630"/>
      <c r="F154" s="709" t="str">
        <f t="shared" si="67"/>
        <v>/</v>
      </c>
      <c r="G154" s="120" t="str">
        <f>IF(I$150="Error","Error",IF(AND($E$150&lt;&gt;"/",$E$150&gt;'Paramètres - Admin'!$A4),'Paramètres - Admin'!$A5,"/"))</f>
        <v>/</v>
      </c>
      <c r="H154" s="622" t="str">
        <f>IF(G154&lt;&gt;"/",VLOOKUP(G154,COSTS_Mortar[#All],2),"/")</f>
        <v>/</v>
      </c>
      <c r="I154" s="101" t="str">
        <f>IF(G154&lt;&gt;"/",VLOOKUP(G154,COSTS_Mortar[#All],3),"/")</f>
        <v>/</v>
      </c>
      <c r="J154" s="622">
        <f t="shared" si="68"/>
        <v>0</v>
      </c>
      <c r="K154" s="629">
        <f t="shared" si="69"/>
        <v>0</v>
      </c>
      <c r="L154" s="633">
        <v>1</v>
      </c>
      <c r="M154" s="116" t="str">
        <f>IF(Paramètres!T6=0,"",Paramètres!T6)</f>
        <v/>
      </c>
      <c r="N154" s="711">
        <f>IF(N153&lt;&gt;0,N153+IF(AND(M153&lt;&gt;"",L153&lt;P$152),M153,0),IF(AND(M153&lt;&gt;"",L153&lt;P$152),M153,0))</f>
        <v>0</v>
      </c>
      <c r="O154" s="707"/>
      <c r="P154" s="707"/>
      <c r="Q154" s="708" t="str">
        <f>IF(R154&lt;&gt;"/",IF(T$152="Error","Error",$U$152+N154),"/")</f>
        <v>/</v>
      </c>
      <c r="R154" s="548" t="str">
        <f>IF(T$152="Error","Error",IF(AND($P$152&lt;&gt;"/",$P$152&gt;'Paramètres - Admin'!$A2),'Paramètres - Admin'!$A3,"/"))</f>
        <v>/</v>
      </c>
      <c r="S154" s="93" t="str">
        <f>IF(R154&lt;&gt;"/",VLOOKUP(R154,COSTS_Air_Sweeper[#All],2),"/")</f>
        <v>/</v>
      </c>
      <c r="T154" s="549" t="str">
        <f>IF(R154&lt;&gt;"/",VLOOKUP(R154,COSTS_Air_Sweeper[#All],3),"/")</f>
        <v>/</v>
      </c>
      <c r="U154" s="93">
        <f>IF(T$125="Error","Error",IF(S154&lt;&gt;"/",Q154*S154,0))</f>
        <v>0</v>
      </c>
      <c r="V154" s="550">
        <f>IF(T$125="Error","Error",IF(T154&lt;&gt;"/",Q154*T154,0))</f>
        <v>0</v>
      </c>
    </row>
    <row r="155" spans="1:22" ht="15" customHeight="1" thickBot="1" x14ac:dyDescent="0.3">
      <c r="A155" s="636">
        <v>4</v>
      </c>
      <c r="B155" s="123" t="str">
        <f>IF(Paramètres!Q9=0,"",Paramètres!Q9)</f>
        <v/>
      </c>
      <c r="C155" s="711">
        <f t="shared" si="70"/>
        <v>0</v>
      </c>
      <c r="D155" s="630"/>
      <c r="E155" s="630"/>
      <c r="F155" s="709" t="str">
        <f t="shared" si="67"/>
        <v>/</v>
      </c>
      <c r="G155" s="120" t="str">
        <f>IF(I$150="Error","Error",IF(AND($E$150&lt;&gt;"/",$E$150&gt;'Paramètres - Admin'!$A5),'Paramètres - Admin'!$A6,"/"))</f>
        <v>/</v>
      </c>
      <c r="H155" s="622" t="str">
        <f>IF(G155&lt;&gt;"/",VLOOKUP(G155,COSTS_Mortar[#All],2),"/")</f>
        <v>/</v>
      </c>
      <c r="I155" s="101" t="str">
        <f>IF(G155&lt;&gt;"/",VLOOKUP(G155,COSTS_Mortar[#All],3),"/")</f>
        <v>/</v>
      </c>
      <c r="J155" s="622">
        <f t="shared" si="68"/>
        <v>0</v>
      </c>
      <c r="K155" s="629">
        <f t="shared" si="69"/>
        <v>0</v>
      </c>
      <c r="L155" s="636">
        <v>2</v>
      </c>
      <c r="M155" s="123" t="str">
        <f>IF(Paramètres!T7=0,"",Paramètres!T7)</f>
        <v/>
      </c>
      <c r="N155" s="711">
        <f t="shared" ref="N155:N159" si="71">IF(N154&lt;&gt;0,N154+IF(AND(M154&lt;&gt;"",L154&lt;P$152),M154,0),IF(AND(M154&lt;&gt;"",L154&lt;P$152),M154,0))</f>
        <v>0</v>
      </c>
      <c r="O155" s="630"/>
      <c r="P155" s="630"/>
      <c r="Q155" s="708" t="str">
        <f t="shared" ref="Q155:Q159" si="72">IF(R155&lt;&gt;"/",IF(T$152="Error","Error",$U$152+N155),"/")</f>
        <v>/</v>
      </c>
      <c r="R155" s="548" t="str">
        <f>IF(T$152="Error","Error",IF(AND($P$152&lt;&gt;"/",$P$152&gt;'Paramètres - Admin'!$A3),'Paramètres - Admin'!$A4,"/"))</f>
        <v>/</v>
      </c>
      <c r="S155" s="93" t="str">
        <f>IF(R155&lt;&gt;"/",VLOOKUP(R155,COSTS_Air_Sweeper[#All],2),"/")</f>
        <v>/</v>
      </c>
      <c r="T155" s="549" t="str">
        <f>IF(R155&lt;&gt;"/",VLOOKUP(R155,COSTS_Air_Sweeper[#All],3),"/")</f>
        <v>/</v>
      </c>
      <c r="U155" s="622">
        <f t="shared" ref="U155:U159" si="73">IF(T$125="Error","Error",IF(S155&lt;&gt;"/",Q155*S155,0))</f>
        <v>0</v>
      </c>
      <c r="V155" s="629">
        <f t="shared" ref="V155:V159" si="74">IF(T$125="Error","Error",IF(T155&lt;&gt;"/",Q155*T155,0))</f>
        <v>0</v>
      </c>
    </row>
    <row r="156" spans="1:22" ht="15" customHeight="1" thickBot="1" x14ac:dyDescent="0.3">
      <c r="A156" s="636">
        <v>5</v>
      </c>
      <c r="B156" s="123" t="str">
        <f>IF(Paramètres!Q10=0,"",Paramètres!Q10)</f>
        <v/>
      </c>
      <c r="C156" s="711">
        <f t="shared" si="70"/>
        <v>0</v>
      </c>
      <c r="D156" s="630"/>
      <c r="E156" s="630"/>
      <c r="F156" s="709" t="str">
        <f t="shared" si="67"/>
        <v>/</v>
      </c>
      <c r="G156" s="120" t="str">
        <f>IF(I$150="Error","Error",IF(AND($E$150&lt;&gt;"/",$E$150&gt;'Paramètres - Admin'!$A6),'Paramètres - Admin'!$A7,"/"))</f>
        <v>/</v>
      </c>
      <c r="H156" s="622" t="str">
        <f>IF(G156&lt;&gt;"/",VLOOKUP(G156,COSTS_Mortar[#All],2),"/")</f>
        <v>/</v>
      </c>
      <c r="I156" s="101" t="str">
        <f>IF(G156&lt;&gt;"/",VLOOKUP(G156,COSTS_Mortar[#All],3),"/")</f>
        <v>/</v>
      </c>
      <c r="J156" s="622">
        <f t="shared" si="68"/>
        <v>0</v>
      </c>
      <c r="K156" s="629">
        <f t="shared" si="69"/>
        <v>0</v>
      </c>
      <c r="L156" s="636">
        <v>3</v>
      </c>
      <c r="M156" s="123" t="str">
        <f>IF(Paramètres!T8=0,"",Paramètres!T8)</f>
        <v/>
      </c>
      <c r="N156" s="711">
        <f t="shared" si="71"/>
        <v>0</v>
      </c>
      <c r="O156" s="630"/>
      <c r="P156" s="630"/>
      <c r="Q156" s="708" t="str">
        <f t="shared" si="72"/>
        <v>/</v>
      </c>
      <c r="R156" s="548" t="str">
        <f>IF(T$152="Error","Error",IF(AND($P$152&lt;&gt;"/",$P$152&gt;'Paramètres - Admin'!$A4),'Paramètres - Admin'!$A5,"/"))</f>
        <v>/</v>
      </c>
      <c r="S156" s="93" t="str">
        <f>IF(R156&lt;&gt;"/",VLOOKUP(R156,COSTS_Air_Sweeper[#All],2),"/")</f>
        <v>/</v>
      </c>
      <c r="T156" s="549" t="str">
        <f>IF(R156&lt;&gt;"/",VLOOKUP(R156,COSTS_Air_Sweeper[#All],3),"/")</f>
        <v>/</v>
      </c>
      <c r="U156" s="622">
        <f t="shared" si="73"/>
        <v>0</v>
      </c>
      <c r="V156" s="629">
        <f t="shared" si="74"/>
        <v>0</v>
      </c>
    </row>
    <row r="157" spans="1:22" ht="15" customHeight="1" thickBot="1" x14ac:dyDescent="0.3">
      <c r="A157" s="636">
        <v>6</v>
      </c>
      <c r="B157" s="123" t="str">
        <f>IF(Paramètres!Q11=0,"",Paramètres!Q11)</f>
        <v/>
      </c>
      <c r="C157" s="711">
        <f t="shared" si="70"/>
        <v>0</v>
      </c>
      <c r="D157" s="630"/>
      <c r="E157" s="630"/>
      <c r="F157" s="709" t="str">
        <f t="shared" si="67"/>
        <v>/</v>
      </c>
      <c r="G157" s="120" t="str">
        <f>IF(I$150="Error","Error",IF(AND($E$150&lt;&gt;"/",$E$150&gt;'Paramètres - Admin'!$A7),'Paramètres - Admin'!$A8,"/"))</f>
        <v>/</v>
      </c>
      <c r="H157" s="622" t="str">
        <f>IF(G157&lt;&gt;"/",VLOOKUP(G157,COSTS_Mortar[#All],2),"/")</f>
        <v>/</v>
      </c>
      <c r="I157" s="101" t="str">
        <f>IF(G157&lt;&gt;"/",VLOOKUP(G157,COSTS_Mortar[#All],3),"/")</f>
        <v>/</v>
      </c>
      <c r="J157" s="622">
        <f t="shared" si="68"/>
        <v>0</v>
      </c>
      <c r="K157" s="629">
        <f t="shared" si="69"/>
        <v>0</v>
      </c>
      <c r="L157" s="636">
        <v>4</v>
      </c>
      <c r="M157" s="123" t="str">
        <f>IF(Paramètres!T9=0,"",Paramètres!T9)</f>
        <v/>
      </c>
      <c r="N157" s="711">
        <f t="shared" si="71"/>
        <v>0</v>
      </c>
      <c r="O157" s="630"/>
      <c r="P157" s="630"/>
      <c r="Q157" s="708" t="str">
        <f t="shared" si="72"/>
        <v>/</v>
      </c>
      <c r="R157" s="548" t="str">
        <f>IF(T$152="Error","Error",IF(AND($P$152&lt;&gt;"/",$P$152&gt;'Paramètres - Admin'!$A5),'Paramètres - Admin'!$A6,"/"))</f>
        <v>/</v>
      </c>
      <c r="S157" s="93" t="str">
        <f>IF(R157&lt;&gt;"/",VLOOKUP(R157,COSTS_Air_Sweeper[#All],2),"/")</f>
        <v>/</v>
      </c>
      <c r="T157" s="549" t="str">
        <f>IF(R157&lt;&gt;"/",VLOOKUP(R157,COSTS_Air_Sweeper[#All],3),"/")</f>
        <v>/</v>
      </c>
      <c r="U157" s="622">
        <f t="shared" si="73"/>
        <v>0</v>
      </c>
      <c r="V157" s="629">
        <f t="shared" si="74"/>
        <v>0</v>
      </c>
    </row>
    <row r="158" spans="1:22" ht="15" customHeight="1" thickBot="1" x14ac:dyDescent="0.3">
      <c r="A158" s="636">
        <v>7</v>
      </c>
      <c r="B158" s="123" t="str">
        <f>IF(Paramètres!Q12=0,"",Paramètres!Q12)</f>
        <v/>
      </c>
      <c r="C158" s="711">
        <f t="shared" si="70"/>
        <v>0</v>
      </c>
      <c r="D158" s="630"/>
      <c r="E158" s="630"/>
      <c r="F158" s="709" t="str">
        <f t="shared" si="67"/>
        <v>/</v>
      </c>
      <c r="G158" s="120" t="str">
        <f>IF(I$150="Error","Error",IF(AND($E$150&lt;&gt;"/",$E$150&gt;'Paramètres - Admin'!$A8),'Paramètres - Admin'!$A9,"/"))</f>
        <v>/</v>
      </c>
      <c r="H158" s="622" t="str">
        <f>IF(G158&lt;&gt;"/",VLOOKUP(G158,COSTS_Mortar[#All],2),"/")</f>
        <v>/</v>
      </c>
      <c r="I158" s="101" t="str">
        <f>IF(G158&lt;&gt;"/",VLOOKUP(G158,COSTS_Mortar[#All],3),"/")</f>
        <v>/</v>
      </c>
      <c r="J158" s="622">
        <f t="shared" si="68"/>
        <v>0</v>
      </c>
      <c r="K158" s="629">
        <f t="shared" si="69"/>
        <v>0</v>
      </c>
      <c r="L158" s="636">
        <v>5</v>
      </c>
      <c r="M158" s="123" t="str">
        <f>IF(Paramètres!T10=0,"",Paramètres!T10)</f>
        <v/>
      </c>
      <c r="N158" s="711">
        <f t="shared" si="71"/>
        <v>0</v>
      </c>
      <c r="O158" s="630"/>
      <c r="P158" s="630"/>
      <c r="Q158" s="708" t="str">
        <f t="shared" si="72"/>
        <v>/</v>
      </c>
      <c r="R158" s="548" t="str">
        <f>IF(T$152="Error","Error",IF(AND($P$152&lt;&gt;"/",$P$152&gt;'Paramètres - Admin'!$A6),'Paramètres - Admin'!$A7,"/"))</f>
        <v>/</v>
      </c>
      <c r="S158" s="93" t="str">
        <f>IF(R158&lt;&gt;"/",VLOOKUP(R158,COSTS_Air_Sweeper[#All],2),"/")</f>
        <v>/</v>
      </c>
      <c r="T158" s="549" t="str">
        <f>IF(R158&lt;&gt;"/",VLOOKUP(R158,COSTS_Air_Sweeper[#All],3),"/")</f>
        <v>/</v>
      </c>
      <c r="U158" s="622">
        <f t="shared" si="73"/>
        <v>0</v>
      </c>
      <c r="V158" s="629">
        <f t="shared" si="74"/>
        <v>0</v>
      </c>
    </row>
    <row r="159" spans="1:22" ht="15" customHeight="1" thickBot="1" x14ac:dyDescent="0.3">
      <c r="A159" s="150">
        <v>8</v>
      </c>
      <c r="B159" s="128" t="str">
        <f>IF(Paramètres!Q13=0,"",Paramètres!Q13)</f>
        <v/>
      </c>
      <c r="C159" s="711">
        <f t="shared" si="70"/>
        <v>0</v>
      </c>
      <c r="D159" s="129"/>
      <c r="E159" s="129"/>
      <c r="F159" s="710" t="str">
        <f t="shared" si="67"/>
        <v>/</v>
      </c>
      <c r="G159" s="130" t="str">
        <f>IF(I$150="Error","Error",IF(AND($E$150&lt;&gt;"/",$E$150&gt;'Paramètres - Admin'!$A9),'Paramètres - Admin'!$A10,"/"))</f>
        <v>/</v>
      </c>
      <c r="H159" s="133" t="str">
        <f>IF(G159&lt;&gt;"/",VLOOKUP(G159,COSTS_Mortar[#All],2),"/")</f>
        <v>/</v>
      </c>
      <c r="I159" s="722" t="str">
        <f>IF(G159&lt;&gt;"/",VLOOKUP(G159,COSTS_Mortar[#All],3),"/")</f>
        <v>/</v>
      </c>
      <c r="J159" s="106">
        <f t="shared" si="68"/>
        <v>0</v>
      </c>
      <c r="K159" s="723">
        <f t="shared" si="69"/>
        <v>0</v>
      </c>
      <c r="L159" s="636">
        <v>6</v>
      </c>
      <c r="M159" s="123" t="str">
        <f>IF(Paramètres!T11=0,"",Paramètres!T11)</f>
        <v/>
      </c>
      <c r="N159" s="711">
        <f t="shared" si="71"/>
        <v>0</v>
      </c>
      <c r="O159" s="630"/>
      <c r="P159" s="630"/>
      <c r="Q159" s="708" t="str">
        <f t="shared" si="72"/>
        <v>/</v>
      </c>
      <c r="R159" s="548" t="str">
        <f>IF(T$152="Error","Error",IF(AND($P$152&lt;&gt;"/",$P$152&gt;'Paramètres - Admin'!$A7),'Paramètres - Admin'!$A8,"/"))</f>
        <v>/</v>
      </c>
      <c r="S159" s="93" t="str">
        <f>IF(R159&lt;&gt;"/",VLOOKUP(R159,COSTS_Air_Sweeper[#All],2),"/")</f>
        <v>/</v>
      </c>
      <c r="T159" s="549" t="str">
        <f>IF(R159&lt;&gt;"/",VLOOKUP(R159,COSTS_Air_Sweeper[#All],3),"/")</f>
        <v>/</v>
      </c>
      <c r="U159" s="622">
        <f t="shared" si="73"/>
        <v>0</v>
      </c>
      <c r="V159" s="629">
        <f t="shared" si="74"/>
        <v>0</v>
      </c>
    </row>
    <row r="160" spans="1:22" ht="15" customHeight="1" thickBot="1" x14ac:dyDescent="0.3">
      <c r="A160" s="1147"/>
      <c r="B160" s="1107"/>
      <c r="C160" s="1107"/>
      <c r="D160" s="1107"/>
      <c r="E160" s="1107"/>
      <c r="F160" s="1107"/>
      <c r="G160" s="1107"/>
      <c r="H160" s="1107"/>
      <c r="I160" s="329" t="s">
        <v>31</v>
      </c>
      <c r="J160" s="113">
        <f>IF(I$150="Error","Error",SUM(J152:J159))</f>
        <v>0</v>
      </c>
      <c r="K160" s="727">
        <f>IF(I$150="Error","Error",SUM(K152:K159))</f>
        <v>0</v>
      </c>
      <c r="L160" s="158"/>
      <c r="M160" s="158"/>
      <c r="N160" s="158"/>
      <c r="O160" s="158"/>
      <c r="P160" s="158"/>
      <c r="Q160" s="158"/>
      <c r="R160" s="158"/>
      <c r="S160" s="158"/>
      <c r="T160" s="329" t="s">
        <v>31</v>
      </c>
      <c r="U160" s="113">
        <f>IF(T$152="Error","Error",SUM(U154:U159))</f>
        <v>0</v>
      </c>
      <c r="V160" s="727">
        <f>IF(T$152="Error","Error",SUM(V154:V159))</f>
        <v>0</v>
      </c>
    </row>
    <row r="161" spans="1:22" ht="15" customHeight="1" thickBot="1" x14ac:dyDescent="0.3">
      <c r="A161" s="152"/>
      <c r="B161" s="152"/>
      <c r="C161" s="152"/>
      <c r="D161" s="152"/>
      <c r="E161" s="152"/>
      <c r="F161" s="152"/>
      <c r="L161" s="158"/>
      <c r="M161" s="158"/>
      <c r="N161" s="158"/>
      <c r="O161" s="158"/>
      <c r="P161" s="158"/>
      <c r="Q161" s="158"/>
      <c r="R161" s="158"/>
      <c r="S161" s="158"/>
      <c r="T161" s="158"/>
      <c r="U161" s="158"/>
      <c r="V161" s="158"/>
    </row>
    <row r="162" spans="1:22" ht="20.100000000000001" customHeight="1" thickBot="1" x14ac:dyDescent="0.3">
      <c r="A162" s="1094" t="s">
        <v>180</v>
      </c>
      <c r="B162" s="1095"/>
      <c r="C162" s="1095"/>
      <c r="D162" s="1095"/>
      <c r="E162" s="1095"/>
      <c r="F162" s="1095"/>
      <c r="G162" s="1095"/>
      <c r="H162" s="1095"/>
      <c r="I162" s="1095"/>
      <c r="J162" s="1095"/>
      <c r="K162" s="1095"/>
      <c r="L162" s="1095"/>
      <c r="M162" s="1095"/>
      <c r="N162" s="1095"/>
      <c r="O162" s="1095"/>
      <c r="P162" s="1095"/>
      <c r="Q162" s="1095"/>
      <c r="R162" s="1095"/>
      <c r="S162" s="1095"/>
      <c r="T162" s="1095"/>
      <c r="U162" s="1095"/>
      <c r="V162" s="1096"/>
    </row>
    <row r="163" spans="1:22" ht="15" customHeight="1" thickBot="1" x14ac:dyDescent="0.3">
      <c r="A163" s="1153" t="s">
        <v>246</v>
      </c>
      <c r="B163" s="1154"/>
      <c r="C163" s="1154"/>
      <c r="D163" s="1154"/>
      <c r="E163" s="1154"/>
      <c r="F163" s="1154"/>
      <c r="G163" s="1154"/>
      <c r="H163" s="1154"/>
      <c r="I163" s="1154"/>
      <c r="J163" s="1154"/>
      <c r="K163" s="1154"/>
      <c r="L163" s="1154"/>
      <c r="M163" s="1154"/>
      <c r="N163" s="1154"/>
      <c r="O163" s="1154"/>
      <c r="P163" s="1154"/>
      <c r="Q163" s="1154"/>
      <c r="R163" s="1154"/>
      <c r="S163" s="1154"/>
      <c r="T163" s="1154"/>
      <c r="U163" s="1154"/>
      <c r="V163" s="1155"/>
    </row>
    <row r="164" spans="1:22" ht="15" customHeight="1" x14ac:dyDescent="0.25">
      <c r="A164" s="1100" t="s">
        <v>198</v>
      </c>
      <c r="B164" s="1101"/>
      <c r="C164" s="1102"/>
      <c r="D164" s="85" t="s">
        <v>38</v>
      </c>
      <c r="E164" s="86" t="s">
        <v>39</v>
      </c>
      <c r="F164" s="87"/>
      <c r="G164" s="88"/>
      <c r="H164" s="89"/>
      <c r="I164" s="615" t="s">
        <v>256</v>
      </c>
      <c r="J164" s="619" t="s">
        <v>362</v>
      </c>
      <c r="K164" s="616" t="s">
        <v>257</v>
      </c>
      <c r="L164" s="1100" t="s">
        <v>197</v>
      </c>
      <c r="M164" s="1101"/>
      <c r="N164" s="1102"/>
      <c r="O164" s="85" t="s">
        <v>38</v>
      </c>
      <c r="P164" s="86" t="s">
        <v>39</v>
      </c>
      <c r="Q164" s="87"/>
      <c r="R164" s="88"/>
      <c r="S164" s="89"/>
      <c r="T164" s="615" t="s">
        <v>256</v>
      </c>
      <c r="U164" s="619" t="s">
        <v>362</v>
      </c>
      <c r="V164" s="616" t="s">
        <v>257</v>
      </c>
    </row>
    <row r="165" spans="1:22" ht="15" customHeight="1" thickBot="1" x14ac:dyDescent="0.3">
      <c r="A165" s="1103"/>
      <c r="B165" s="1104"/>
      <c r="C165" s="1105"/>
      <c r="D165" s="620">
        <f>VLOOKUP($A$2,AVAILABLE_Buildings_Other[#All],MATCH(A164,AVAILABLE_Buildings_Other[#Headers],0))</f>
        <v>0</v>
      </c>
      <c r="E165" s="621">
        <f>VLOOKUP($A$2,AVAILABLE_Buildings_Other[#All],MATCH(A164,AVAILABLE_Buildings_Other[#Headers],0)+1)</f>
        <v>0</v>
      </c>
      <c r="F165" s="230"/>
      <c r="G165" s="231"/>
      <c r="H165" s="232"/>
      <c r="I165" s="104">
        <f>IF(SUM(B167:B172)&gt;D165,"Error",SUM(B167:B172))</f>
        <v>0</v>
      </c>
      <c r="J165" s="105">
        <f>IF(I$165="Error","Error",D165-I165)</f>
        <v>0</v>
      </c>
      <c r="K165" s="233">
        <f>IF(I$165="Error","Error",SUM(F167:F172))</f>
        <v>0</v>
      </c>
      <c r="L165" s="1103"/>
      <c r="M165" s="1104"/>
      <c r="N165" s="1105"/>
      <c r="O165" s="95">
        <f>VLOOKUP($A$2,AVAILABLE_Buildings_Other[#All],MATCH(L164,AVAILABLE_Buildings_Other[#Headers],0))</f>
        <v>1</v>
      </c>
      <c r="P165" s="96">
        <f>VLOOKUP($A$2,AVAILABLE_Buildings_Other[#All],MATCH(L164,AVAILABLE_Buildings_Other[#Headers],0)+1)</f>
        <v>2</v>
      </c>
      <c r="Q165" s="230"/>
      <c r="R165" s="231"/>
      <c r="S165" s="232"/>
      <c r="T165" s="104">
        <f>IF(SUM(M167:M176)&gt;O165,"Error",SUM(M167:M176))</f>
        <v>1</v>
      </c>
      <c r="U165" s="105">
        <f>IF(T$165="Error","Error",O165-T165)</f>
        <v>0</v>
      </c>
      <c r="V165" s="233">
        <f>IF(T$165="Error","Error",SUM(Q167:Q176))</f>
        <v>1</v>
      </c>
    </row>
    <row r="166" spans="1:22" ht="15" customHeight="1" thickBot="1" x14ac:dyDescent="0.3">
      <c r="A166" s="107" t="s">
        <v>30</v>
      </c>
      <c r="B166" s="108" t="s">
        <v>29</v>
      </c>
      <c r="C166" s="693"/>
      <c r="D166" s="694"/>
      <c r="E166" s="695"/>
      <c r="F166" s="546" t="s">
        <v>29</v>
      </c>
      <c r="G166" s="547" t="s">
        <v>30</v>
      </c>
      <c r="H166" s="272" t="s">
        <v>258</v>
      </c>
      <c r="I166" s="272" t="s">
        <v>259</v>
      </c>
      <c r="J166" s="272" t="s">
        <v>232</v>
      </c>
      <c r="K166" s="273" t="s">
        <v>233</v>
      </c>
      <c r="L166" s="235" t="s">
        <v>30</v>
      </c>
      <c r="M166" s="108" t="s">
        <v>29</v>
      </c>
      <c r="N166" s="693"/>
      <c r="O166" s="694"/>
      <c r="P166" s="695"/>
      <c r="Q166" s="546" t="s">
        <v>29</v>
      </c>
      <c r="R166" s="547" t="s">
        <v>30</v>
      </c>
      <c r="S166" s="272" t="s">
        <v>258</v>
      </c>
      <c r="T166" s="272" t="s">
        <v>259</v>
      </c>
      <c r="U166" s="272" t="s">
        <v>232</v>
      </c>
      <c r="V166" s="273" t="s">
        <v>233</v>
      </c>
    </row>
    <row r="167" spans="1:22" ht="15" customHeight="1" thickBot="1" x14ac:dyDescent="0.3">
      <c r="A167" s="122">
        <v>1</v>
      </c>
      <c r="B167" s="729" t="str">
        <f>IF(Paramètres!AD6=0,"",Paramètres!AD6)</f>
        <v/>
      </c>
      <c r="C167" s="730">
        <f>IF(C166&lt;&gt;0,C166+IF(AND(B166&lt;&gt;"",A166&lt;E$165),B166,0),IF(AND(B166&lt;&gt;"",A166&lt;E$165),B166,0))</f>
        <v>0</v>
      </c>
      <c r="D167" s="707"/>
      <c r="E167" s="707"/>
      <c r="F167" s="708" t="str">
        <f t="shared" ref="F167:F172" si="75">IF(G167&lt;&gt;"/",IF(I$165="Error","Error",$J$165+C167),"/")</f>
        <v>/</v>
      </c>
      <c r="G167" s="548" t="str">
        <f>IF(I$165="Error","Error",IF(AND($E$165&lt;&gt;"/",$E$165&gt;'Paramètres - Admin'!$A2),'Paramètres - Admin'!$A3,"/"))</f>
        <v>/</v>
      </c>
      <c r="H167" s="93" t="str">
        <f>IF(G167&lt;&gt;"/",VLOOKUP(G167,COSTS_Clan_Castle[#All],2),"/")</f>
        <v>/</v>
      </c>
      <c r="I167" s="549" t="str">
        <f>IF(G167&lt;&gt;"/",VLOOKUP(G167,COSTS_Clan_Castle[#All],3),"/")</f>
        <v>/</v>
      </c>
      <c r="J167" s="93">
        <f t="shared" ref="J167:J172" si="76">IF(I$165="Error","Error",IF(H167&lt;&gt;"/",F167*H167,0))</f>
        <v>0</v>
      </c>
      <c r="K167" s="550">
        <f t="shared" ref="K167:K172" si="77">IF(I$165="Error","Error",IF(I167&lt;&gt;"/",F167*I167,0))</f>
        <v>0</v>
      </c>
      <c r="L167" s="238">
        <v>1</v>
      </c>
      <c r="M167" s="729">
        <f>IF(Paramètres!AE6=0,"",Paramètres!AE6)</f>
        <v>1</v>
      </c>
      <c r="N167" s="730">
        <f>IF(N166&lt;&gt;0,N166+IF(AND(M166&lt;&gt;"",L166&lt;P$165),M166,0),IF(AND(M166&lt;&gt;"",L166&lt;P$165),M166,0))</f>
        <v>0</v>
      </c>
      <c r="O167" s="707"/>
      <c r="P167" s="707"/>
      <c r="Q167" s="708">
        <f>IF(R167&lt;&gt;"/",IF(T$165="Error","Error",$U$165+N167),"/")</f>
        <v>0</v>
      </c>
      <c r="R167" s="548">
        <f>IF(T$165="Error","Error",IF(AND($P$165&lt;&gt;"/",$P$165&gt;'Paramètres - Admin'!$A2),'Paramètres - Admin'!$A3,"/"))</f>
        <v>1</v>
      </c>
      <c r="S167" s="93">
        <f>IF(R167&lt;&gt;"/",VLOOKUP(R167,COSTS_Town_Home[#All],2),"/")</f>
        <v>0</v>
      </c>
      <c r="T167" s="549">
        <f>IF(R167&lt;&gt;"/",VLOOKUP(R167,COSTS_Town_Home[#All],3),"/")</f>
        <v>0</v>
      </c>
      <c r="U167" s="93">
        <f>IF(T$165="Error","Error",IF(S167&lt;&gt;"/",Q167*S167,0))</f>
        <v>0</v>
      </c>
      <c r="V167" s="550">
        <f>IF(T$165="Error","Error",IF(T167&lt;&gt;"/",Q167*T167,0))</f>
        <v>0</v>
      </c>
    </row>
    <row r="168" spans="1:22" ht="15" customHeight="1" thickBot="1" x14ac:dyDescent="0.3">
      <c r="A168" s="115">
        <v>2</v>
      </c>
      <c r="B168" s="731" t="str">
        <f>IF(Paramètres!AD7=0,"",Paramètres!AD7)</f>
        <v/>
      </c>
      <c r="C168" s="730">
        <f t="shared" ref="C168:C172" si="78">IF(C167&lt;&gt;0,C167+IF(AND(B167&lt;&gt;"",A167&lt;E$165),B167,0),IF(AND(B167&lt;&gt;"",A167&lt;E$165),B167,0))</f>
        <v>0</v>
      </c>
      <c r="D168" s="630"/>
      <c r="E168" s="630"/>
      <c r="F168" s="709" t="str">
        <f t="shared" si="75"/>
        <v>/</v>
      </c>
      <c r="G168" s="120" t="str">
        <f>IF(I$165="Error","Error",IF(AND($E$165&lt;&gt;"/",$E$165&gt;'Paramètres - Admin'!$A3),'Paramètres - Admin'!$A4,"/"))</f>
        <v>/</v>
      </c>
      <c r="H168" s="622" t="str">
        <f>IF(G168&lt;&gt;"/",VLOOKUP(G168,COSTS_Clan_Castle[#All],2),"/")</f>
        <v>/</v>
      </c>
      <c r="I168" s="101" t="str">
        <f>IF(G168&lt;&gt;"/",VLOOKUP(G168,COSTS_Clan_Castle[#All],3),"/")</f>
        <v>/</v>
      </c>
      <c r="J168" s="622">
        <f t="shared" si="76"/>
        <v>0</v>
      </c>
      <c r="K168" s="629">
        <f t="shared" si="77"/>
        <v>0</v>
      </c>
      <c r="L168" s="143">
        <v>2</v>
      </c>
      <c r="M168" s="731" t="str">
        <f>IF(Paramètres!AE7=0,"",Paramètres!AE7)</f>
        <v/>
      </c>
      <c r="N168" s="730">
        <f t="shared" ref="N168:N176" si="79">IF(N167&lt;&gt;0,N167+IF(AND(M167&lt;&gt;"",L167&lt;P$165),M167,0),IF(AND(M167&lt;&gt;"",L167&lt;P$165),M167,0))</f>
        <v>1</v>
      </c>
      <c r="O168" s="630"/>
      <c r="P168" s="630"/>
      <c r="Q168" s="709">
        <f t="shared" ref="Q168:Q176" si="80">IF(R168&lt;&gt;"/",IF(T$165="Error","Error",$U$165+N168),"/")</f>
        <v>1</v>
      </c>
      <c r="R168" s="120">
        <f>IF(T$165="Error","Error",IF(AND($P$165&lt;&gt;"/",$P$165&gt;'Paramètres - Admin'!$A3),'Paramètres - Admin'!$A4,"/"))</f>
        <v>2</v>
      </c>
      <c r="S168" s="622">
        <f>IF(R168&lt;&gt;"/",VLOOKUP(R168,COSTS_Town_Home[#All],2),"/")</f>
        <v>1000</v>
      </c>
      <c r="T168" s="101">
        <f>IF(R168&lt;&gt;"/",VLOOKUP(R168,COSTS_Town_Home[#All],3),"/")</f>
        <v>8.3333333333333329E-2</v>
      </c>
      <c r="U168" s="622">
        <f t="shared" ref="U168:U176" si="81">IF(T$165="Error","Error",IF(S168&lt;&gt;"/",Q168*S168,0))</f>
        <v>1000</v>
      </c>
      <c r="V168" s="629">
        <f t="shared" ref="V168:V176" si="82">IF(T$165="Error","Error",IF(T168&lt;&gt;"/",Q168*T168,0))</f>
        <v>8.3333333333333329E-2</v>
      </c>
    </row>
    <row r="169" spans="1:22" ht="15" customHeight="1" thickBot="1" x14ac:dyDescent="0.3">
      <c r="A169" s="115">
        <v>3</v>
      </c>
      <c r="B169" s="731" t="str">
        <f>IF(Paramètres!AD8=0,"",Paramètres!AD8)</f>
        <v/>
      </c>
      <c r="C169" s="730">
        <f t="shared" si="78"/>
        <v>0</v>
      </c>
      <c r="D169" s="630"/>
      <c r="E169" s="630"/>
      <c r="F169" s="709" t="str">
        <f t="shared" si="75"/>
        <v>/</v>
      </c>
      <c r="G169" s="120" t="str">
        <f>IF(I$165="Error","Error",IF(AND($E$165&lt;&gt;"/",$E$165&gt;'Paramètres - Admin'!$A4),'Paramètres - Admin'!$A5,"/"))</f>
        <v>/</v>
      </c>
      <c r="H169" s="622" t="str">
        <f>IF(G169&lt;&gt;"/",VLOOKUP(G169,COSTS_Clan_Castle[#All],2),"/")</f>
        <v>/</v>
      </c>
      <c r="I169" s="101" t="str">
        <f>IF(G169&lt;&gt;"/",VLOOKUP(G169,COSTS_Clan_Castle[#All],3),"/")</f>
        <v>/</v>
      </c>
      <c r="J169" s="622">
        <f t="shared" si="76"/>
        <v>0</v>
      </c>
      <c r="K169" s="629">
        <f t="shared" si="77"/>
        <v>0</v>
      </c>
      <c r="L169" s="143">
        <v>3</v>
      </c>
      <c r="M169" s="731" t="str">
        <f>IF(Paramètres!AE8=0,"",Paramètres!AE8)</f>
        <v/>
      </c>
      <c r="N169" s="730">
        <f t="shared" si="79"/>
        <v>1</v>
      </c>
      <c r="O169" s="630"/>
      <c r="P169" s="630"/>
      <c r="Q169" s="709" t="str">
        <f t="shared" si="80"/>
        <v>/</v>
      </c>
      <c r="R169" s="120" t="str">
        <f>IF(T$165="Error","Error",IF(AND($P$165&lt;&gt;"/",$P$165&gt;'Paramètres - Admin'!$A4),'Paramètres - Admin'!$A5,"/"))</f>
        <v>/</v>
      </c>
      <c r="S169" s="622" t="str">
        <f>IF(R169&lt;&gt;"/",VLOOKUP(R169,COSTS_Town_Home[#All],2),"/")</f>
        <v>/</v>
      </c>
      <c r="T169" s="101" t="str">
        <f>IF(R169&lt;&gt;"/",VLOOKUP(R169,COSTS_Town_Home[#All],3),"/")</f>
        <v>/</v>
      </c>
      <c r="U169" s="622">
        <f t="shared" si="81"/>
        <v>0</v>
      </c>
      <c r="V169" s="629">
        <f t="shared" si="82"/>
        <v>0</v>
      </c>
    </row>
    <row r="170" spans="1:22" ht="15" customHeight="1" thickBot="1" x14ac:dyDescent="0.3">
      <c r="A170" s="115">
        <v>4</v>
      </c>
      <c r="B170" s="731" t="str">
        <f>IF(Paramètres!AD9=0,"",Paramètres!AD9)</f>
        <v/>
      </c>
      <c r="C170" s="730">
        <f t="shared" si="78"/>
        <v>0</v>
      </c>
      <c r="D170" s="630"/>
      <c r="E170" s="630"/>
      <c r="F170" s="709" t="str">
        <f t="shared" si="75"/>
        <v>/</v>
      </c>
      <c r="G170" s="120" t="str">
        <f>IF(I$165="Error","Error",IF(AND($E$165&lt;&gt;"/",$E$165&gt;'Paramètres - Admin'!$A5),'Paramètres - Admin'!$A6,"/"))</f>
        <v>/</v>
      </c>
      <c r="H170" s="622" t="str">
        <f>IF(G170&lt;&gt;"/",VLOOKUP(G170,COSTS_Clan_Castle[#All],2),"/")</f>
        <v>/</v>
      </c>
      <c r="I170" s="101" t="str">
        <f>IF(G170&lt;&gt;"/",VLOOKUP(G170,COSTS_Clan_Castle[#All],3),"/")</f>
        <v>/</v>
      </c>
      <c r="J170" s="622">
        <f t="shared" si="76"/>
        <v>0</v>
      </c>
      <c r="K170" s="629">
        <f t="shared" si="77"/>
        <v>0</v>
      </c>
      <c r="L170" s="143">
        <v>4</v>
      </c>
      <c r="M170" s="731" t="str">
        <f>IF(Paramètres!AE9=0,"",Paramètres!AE9)</f>
        <v/>
      </c>
      <c r="N170" s="730">
        <f t="shared" si="79"/>
        <v>1</v>
      </c>
      <c r="O170" s="630"/>
      <c r="P170" s="630"/>
      <c r="Q170" s="709" t="str">
        <f t="shared" si="80"/>
        <v>/</v>
      </c>
      <c r="R170" s="120" t="str">
        <f>IF(T$165="Error","Error",IF(AND($P$165&lt;&gt;"/",$P$165&gt;'Paramètres - Admin'!$A5),'Paramètres - Admin'!$A6,"/"))</f>
        <v>/</v>
      </c>
      <c r="S170" s="622" t="str">
        <f>IF(R170&lt;&gt;"/",VLOOKUP(R170,COSTS_Town_Home[#All],2),"/")</f>
        <v>/</v>
      </c>
      <c r="T170" s="101" t="str">
        <f>IF(R170&lt;&gt;"/",VLOOKUP(R170,COSTS_Town_Home[#All],3),"/")</f>
        <v>/</v>
      </c>
      <c r="U170" s="622">
        <f t="shared" si="81"/>
        <v>0</v>
      </c>
      <c r="V170" s="629">
        <f t="shared" si="82"/>
        <v>0</v>
      </c>
    </row>
    <row r="171" spans="1:22" ht="15" customHeight="1" thickBot="1" x14ac:dyDescent="0.3">
      <c r="A171" s="592">
        <v>5</v>
      </c>
      <c r="B171" s="731" t="str">
        <f>IF(Paramètres!AD10=0,"",Paramètres!AD10)</f>
        <v/>
      </c>
      <c r="C171" s="730">
        <f t="shared" si="78"/>
        <v>0</v>
      </c>
      <c r="D171" s="630"/>
      <c r="E171" s="630"/>
      <c r="F171" s="709" t="str">
        <f t="shared" si="75"/>
        <v>/</v>
      </c>
      <c r="G171" s="120" t="str">
        <f>IF(I$165="Error","Error",IF(AND($E$165&lt;&gt;"/",$E$165&gt;'Paramètres - Admin'!$A6),'Paramètres - Admin'!$A7,"/"))</f>
        <v>/</v>
      </c>
      <c r="H171" s="622" t="str">
        <f>IF(G171&lt;&gt;"/",VLOOKUP(G171,COSTS_Clan_Castle[#All],2),"/")</f>
        <v>/</v>
      </c>
      <c r="I171" s="101" t="str">
        <f>IF(G171&lt;&gt;"/",VLOOKUP(G171,COSTS_Clan_Castle[#All],3),"/")</f>
        <v>/</v>
      </c>
      <c r="J171" s="622">
        <f t="shared" si="76"/>
        <v>0</v>
      </c>
      <c r="K171" s="629">
        <f t="shared" si="77"/>
        <v>0</v>
      </c>
      <c r="L171" s="143">
        <v>5</v>
      </c>
      <c r="M171" s="731" t="str">
        <f>IF(Paramètres!AE10=0,"",Paramètres!AE10)</f>
        <v/>
      </c>
      <c r="N171" s="730">
        <f t="shared" si="79"/>
        <v>1</v>
      </c>
      <c r="O171" s="630"/>
      <c r="P171" s="630"/>
      <c r="Q171" s="709" t="str">
        <f t="shared" si="80"/>
        <v>/</v>
      </c>
      <c r="R171" s="120" t="str">
        <f>IF(T$165="Error","Error",IF(AND($P$165&lt;&gt;"/",$P$165&gt;'Paramètres - Admin'!$A6),'Paramètres - Admin'!$A7,"/"))</f>
        <v>/</v>
      </c>
      <c r="S171" s="622" t="str">
        <f>IF(R171&lt;&gt;"/",VLOOKUP(R171,COSTS_Town_Home[#All],2),"/")</f>
        <v>/</v>
      </c>
      <c r="T171" s="101" t="str">
        <f>IF(R171&lt;&gt;"/",VLOOKUP(R171,COSTS_Town_Home[#All],3),"/")</f>
        <v>/</v>
      </c>
      <c r="U171" s="622">
        <f t="shared" si="81"/>
        <v>0</v>
      </c>
      <c r="V171" s="629">
        <f t="shared" si="82"/>
        <v>0</v>
      </c>
    </row>
    <row r="172" spans="1:22" ht="15" customHeight="1" thickBot="1" x14ac:dyDescent="0.3">
      <c r="A172" s="115">
        <v>6</v>
      </c>
      <c r="B172" s="732" t="str">
        <f>IF(Paramètres!AD11=0,"",Paramètres!AD11)</f>
        <v/>
      </c>
      <c r="C172" s="730">
        <f t="shared" si="78"/>
        <v>0</v>
      </c>
      <c r="D172" s="129"/>
      <c r="E172" s="129"/>
      <c r="F172" s="710" t="str">
        <f t="shared" si="75"/>
        <v>/</v>
      </c>
      <c r="G172" s="130" t="str">
        <f>IF(I$165="Error","Error",IF(AND($E$165&lt;&gt;"/",$E$165&gt;'Paramètres - Admin'!$A7),'Paramètres - Admin'!$A8,"/"))</f>
        <v>/</v>
      </c>
      <c r="H172" s="133" t="str">
        <f>IF(G172&lt;&gt;"/",VLOOKUP(G172,COSTS_Clan_Castle[#All],2),"/")</f>
        <v>/</v>
      </c>
      <c r="I172" s="127" t="str">
        <f>IF(G172&lt;&gt;"/",VLOOKUP(G172,COSTS_Clan_Castle[#All],3),"/")</f>
        <v>/</v>
      </c>
      <c r="J172" s="133">
        <f t="shared" si="76"/>
        <v>0</v>
      </c>
      <c r="K172" s="131">
        <f t="shared" si="77"/>
        <v>0</v>
      </c>
      <c r="L172" s="143">
        <v>6</v>
      </c>
      <c r="M172" s="731" t="str">
        <f>IF(Paramètres!AE11=0,"",Paramètres!AE11)</f>
        <v/>
      </c>
      <c r="N172" s="730">
        <f t="shared" si="79"/>
        <v>1</v>
      </c>
      <c r="O172" s="630"/>
      <c r="P172" s="630"/>
      <c r="Q172" s="709" t="str">
        <f t="shared" si="80"/>
        <v>/</v>
      </c>
      <c r="R172" s="120" t="str">
        <f>IF(T$165="Error","Error",IF(AND($P$165&lt;&gt;"/",$P$165&gt;'Paramètres - Admin'!$A7),'Paramètres - Admin'!$A8,"/"))</f>
        <v>/</v>
      </c>
      <c r="S172" s="622" t="str">
        <f>IF(R172&lt;&gt;"/",VLOOKUP(R172,COSTS_Town_Home[#All],2),"/")</f>
        <v>/</v>
      </c>
      <c r="T172" s="101" t="str">
        <f>IF(R172&lt;&gt;"/",VLOOKUP(R172,COSTS_Town_Home[#All],3),"/")</f>
        <v>/</v>
      </c>
      <c r="U172" s="622">
        <f t="shared" si="81"/>
        <v>0</v>
      </c>
      <c r="V172" s="629">
        <f t="shared" si="82"/>
        <v>0</v>
      </c>
    </row>
    <row r="173" spans="1:22" ht="15" customHeight="1" thickBot="1" x14ac:dyDescent="0.3">
      <c r="A173" s="1106"/>
      <c r="B173" s="1107"/>
      <c r="C173" s="1107"/>
      <c r="D173" s="1107"/>
      <c r="E173" s="1107"/>
      <c r="F173" s="1107"/>
      <c r="G173" s="1107"/>
      <c r="H173" s="1108"/>
      <c r="I173" s="614" t="s">
        <v>31</v>
      </c>
      <c r="J173" s="269">
        <f>IF(I$165="Error","Error",SUM(J167:J172))</f>
        <v>0</v>
      </c>
      <c r="K173" s="655">
        <f>IF(I$165="Error","Error",SUM(K167:K172))</f>
        <v>0</v>
      </c>
      <c r="L173" s="115">
        <v>7</v>
      </c>
      <c r="M173" s="731" t="str">
        <f>IF(Paramètres!AE12=0,"",Paramètres!AE12)</f>
        <v/>
      </c>
      <c r="N173" s="730">
        <f t="shared" si="79"/>
        <v>1</v>
      </c>
      <c r="O173" s="630"/>
      <c r="P173" s="630"/>
      <c r="Q173" s="709" t="str">
        <f t="shared" si="80"/>
        <v>/</v>
      </c>
      <c r="R173" s="120" t="str">
        <f>IF(T$165="Error","Error",IF(AND($P$165&lt;&gt;"/",$P$165&gt;'Paramètres - Admin'!$A8),'Paramètres - Admin'!$A9,"/"))</f>
        <v>/</v>
      </c>
      <c r="S173" s="622" t="str">
        <f>IF(R173&lt;&gt;"/",VLOOKUP(R173,COSTS_Town_Home[#All],2),"/")</f>
        <v>/</v>
      </c>
      <c r="T173" s="101" t="str">
        <f>IF(R173&lt;&gt;"/",VLOOKUP(R173,COSTS_Town_Home[#All],3),"/")</f>
        <v>/</v>
      </c>
      <c r="U173" s="622">
        <f t="shared" si="81"/>
        <v>0</v>
      </c>
      <c r="V173" s="629">
        <f t="shared" si="82"/>
        <v>0</v>
      </c>
    </row>
    <row r="174" spans="1:22" ht="15" customHeight="1" thickBot="1" x14ac:dyDescent="0.3">
      <c r="L174" s="115">
        <v>8</v>
      </c>
      <c r="M174" s="731" t="str">
        <f>IF(Paramètres!AE13=0,"",Paramètres!AE13)</f>
        <v/>
      </c>
      <c r="N174" s="730">
        <f t="shared" si="79"/>
        <v>1</v>
      </c>
      <c r="O174" s="630"/>
      <c r="P174" s="630"/>
      <c r="Q174" s="709" t="str">
        <f t="shared" si="80"/>
        <v>/</v>
      </c>
      <c r="R174" s="120" t="str">
        <f>IF(T$165="Error","Error",IF(AND($P$165&lt;&gt;"/",$P$165&gt;'Paramètres - Admin'!$A9),'Paramètres - Admin'!$A10,"/"))</f>
        <v>/</v>
      </c>
      <c r="S174" s="622" t="str">
        <f>IF(R174&lt;&gt;"/",VLOOKUP(R174,COSTS_Town_Home[#All],2),"/")</f>
        <v>/</v>
      </c>
      <c r="T174" s="101" t="str">
        <f>IF(R174&lt;&gt;"/",VLOOKUP(R174,COSTS_Town_Home[#All],3),"/")</f>
        <v>/</v>
      </c>
      <c r="U174" s="622">
        <f t="shared" si="81"/>
        <v>0</v>
      </c>
      <c r="V174" s="629">
        <f t="shared" si="82"/>
        <v>0</v>
      </c>
    </row>
    <row r="175" spans="1:22" ht="15" customHeight="1" thickBot="1" x14ac:dyDescent="0.3">
      <c r="L175" s="115">
        <v>9</v>
      </c>
      <c r="M175" s="731" t="str">
        <f>IF(Paramètres!AE14=0,"",Paramètres!AE14)</f>
        <v/>
      </c>
      <c r="N175" s="730">
        <f t="shared" si="79"/>
        <v>1</v>
      </c>
      <c r="O175" s="630"/>
      <c r="P175" s="630"/>
      <c r="Q175" s="709" t="str">
        <f t="shared" si="80"/>
        <v>/</v>
      </c>
      <c r="R175" s="120" t="str">
        <f>IF(T$165="Error","Error",IF(AND($P$165&lt;&gt;"/",$P$165&gt;'Paramètres - Admin'!$A10),'Paramètres - Admin'!$A11,"/"))</f>
        <v>/</v>
      </c>
      <c r="S175" s="622" t="str">
        <f>IF(R175&lt;&gt;"/",VLOOKUP(R175,COSTS_Town_Home[#All],2),"/")</f>
        <v>/</v>
      </c>
      <c r="T175" s="101" t="str">
        <f>IF(R175&lt;&gt;"/",VLOOKUP(R175,COSTS_Town_Home[#All],3),"/")</f>
        <v>/</v>
      </c>
      <c r="U175" s="622">
        <f t="shared" si="81"/>
        <v>0</v>
      </c>
      <c r="V175" s="629">
        <f t="shared" si="82"/>
        <v>0</v>
      </c>
    </row>
    <row r="176" spans="1:22" ht="15" customHeight="1" thickBot="1" x14ac:dyDescent="0.3">
      <c r="L176" s="115">
        <v>10</v>
      </c>
      <c r="M176" s="732" t="str">
        <f>IF(Paramètres!AE15=0,"",Paramètres!AE15)</f>
        <v/>
      </c>
      <c r="N176" s="730">
        <f t="shared" si="79"/>
        <v>1</v>
      </c>
      <c r="O176" s="129"/>
      <c r="P176" s="129"/>
      <c r="Q176" s="710" t="str">
        <f t="shared" si="80"/>
        <v>/</v>
      </c>
      <c r="R176" s="130" t="str">
        <f>IF(T$165="Error","Error",IF(AND($P$165&lt;&gt;"/",$P$165&gt;'Paramètres - Admin'!$A11),'Paramètres - Admin'!$A12,"/"))</f>
        <v>/</v>
      </c>
      <c r="S176" s="133" t="str">
        <f>IF(R176&lt;&gt;"/",VLOOKUP(R176,COSTS_Town_Home[#All],2),"/")</f>
        <v>/</v>
      </c>
      <c r="T176" s="127" t="str">
        <f>IF(R176&lt;&gt;"/",VLOOKUP(R176,COSTS_Town_Home[#All],3),"/")</f>
        <v>/</v>
      </c>
      <c r="U176" s="133">
        <f t="shared" si="81"/>
        <v>0</v>
      </c>
      <c r="V176" s="131">
        <f t="shared" si="82"/>
        <v>0</v>
      </c>
    </row>
    <row r="177" spans="1:51" ht="15" customHeight="1" thickBot="1" x14ac:dyDescent="0.3">
      <c r="L177" s="1106"/>
      <c r="M177" s="1107"/>
      <c r="N177" s="1107"/>
      <c r="O177" s="1107"/>
      <c r="P177" s="1107"/>
      <c r="Q177" s="1107"/>
      <c r="R177" s="1107"/>
      <c r="S177" s="1108"/>
      <c r="T177" s="614" t="s">
        <v>31</v>
      </c>
      <c r="U177" s="269">
        <f>IF(T$165="Error","Error",SUM(U167:U176))</f>
        <v>1000</v>
      </c>
      <c r="V177" s="655">
        <f>IF(T$165="Error","Error",SUM(V167:V176))</f>
        <v>8.3333333333333329E-2</v>
      </c>
    </row>
    <row r="178" spans="1:51" ht="15" customHeight="1" x14ac:dyDescent="0.25">
      <c r="L178" s="158"/>
      <c r="M178" s="158"/>
      <c r="N178" s="158"/>
      <c r="O178" s="158"/>
      <c r="P178" s="158"/>
      <c r="Q178" s="158"/>
      <c r="R178" s="158"/>
      <c r="S178" s="158"/>
      <c r="T178" s="158"/>
      <c r="U178" s="158"/>
      <c r="V178" s="158"/>
      <c r="AO178" s="637"/>
      <c r="AP178" s="637"/>
      <c r="AQ178" s="637"/>
      <c r="AR178" s="637"/>
      <c r="AS178" s="637"/>
      <c r="AT178" s="637"/>
      <c r="AU178" s="637"/>
      <c r="AV178" s="637"/>
      <c r="AW178" s="637"/>
      <c r="AX178" s="637"/>
      <c r="AY178" s="637"/>
    </row>
    <row r="179" spans="1:51" ht="15" customHeight="1" thickBot="1" x14ac:dyDescent="0.3">
      <c r="A179" s="152"/>
      <c r="B179" s="152"/>
      <c r="C179" s="152"/>
      <c r="D179" s="152"/>
      <c r="E179" s="152"/>
      <c r="F179" s="152"/>
      <c r="AO179" s="637"/>
      <c r="AP179" s="637"/>
      <c r="AQ179" s="637"/>
      <c r="AR179" s="637"/>
      <c r="AS179" s="637"/>
      <c r="AT179" s="637"/>
      <c r="AU179" s="637"/>
      <c r="AV179" s="637"/>
      <c r="AW179" s="637"/>
      <c r="AX179" s="637"/>
      <c r="AY179" s="637"/>
    </row>
    <row r="180" spans="1:51" s="637" customFormat="1" ht="15" customHeight="1" thickBot="1" x14ac:dyDescent="0.3">
      <c r="A180" s="1094" t="s">
        <v>585</v>
      </c>
      <c r="B180" s="1095"/>
      <c r="C180" s="1095"/>
      <c r="D180" s="1095"/>
      <c r="E180" s="1095"/>
      <c r="F180" s="1095"/>
      <c r="G180" s="1095"/>
      <c r="H180" s="1095"/>
      <c r="I180" s="1095"/>
      <c r="J180" s="1095"/>
      <c r="K180" s="1095"/>
      <c r="L180" s="1095"/>
      <c r="M180" s="1095"/>
      <c r="N180" s="1095"/>
      <c r="O180" s="1095"/>
      <c r="P180" s="1095"/>
      <c r="Q180" s="1095"/>
      <c r="R180" s="1095"/>
      <c r="S180" s="1095"/>
      <c r="T180" s="1095"/>
      <c r="U180" s="1095"/>
      <c r="V180" s="1096"/>
    </row>
    <row r="181" spans="1:51" s="637" customFormat="1" ht="15" customHeight="1" thickBot="1" x14ac:dyDescent="0.3">
      <c r="A181" s="1153" t="s">
        <v>246</v>
      </c>
      <c r="B181" s="1154"/>
      <c r="C181" s="1154"/>
      <c r="D181" s="1154"/>
      <c r="E181" s="1154"/>
      <c r="F181" s="1154"/>
      <c r="G181" s="1154"/>
      <c r="H181" s="1154"/>
      <c r="I181" s="1154"/>
      <c r="J181" s="1154"/>
      <c r="K181" s="1154"/>
      <c r="L181" s="1154"/>
      <c r="M181" s="1154"/>
      <c r="N181" s="1154"/>
      <c r="O181" s="1154"/>
      <c r="P181" s="1154"/>
      <c r="Q181" s="1154"/>
      <c r="R181" s="1154"/>
      <c r="S181" s="1154"/>
      <c r="T181" s="1154"/>
      <c r="U181" s="1154"/>
      <c r="V181" s="1155"/>
    </row>
    <row r="182" spans="1:51" s="637" customFormat="1" ht="15" customHeight="1" x14ac:dyDescent="0.25">
      <c r="A182" s="1100" t="s">
        <v>564</v>
      </c>
      <c r="B182" s="1101"/>
      <c r="C182" s="1102"/>
      <c r="D182" s="615" t="s">
        <v>38</v>
      </c>
      <c r="E182" s="616" t="s">
        <v>39</v>
      </c>
      <c r="F182" s="643"/>
      <c r="G182" s="617"/>
      <c r="H182" s="618"/>
      <c r="I182" s="615" t="s">
        <v>256</v>
      </c>
      <c r="J182" s="619" t="s">
        <v>362</v>
      </c>
      <c r="K182" s="616" t="s">
        <v>257</v>
      </c>
      <c r="L182" s="1100" t="s">
        <v>563</v>
      </c>
      <c r="M182" s="1101"/>
      <c r="N182" s="1102"/>
      <c r="O182" s="615" t="s">
        <v>38</v>
      </c>
      <c r="P182" s="616" t="s">
        <v>39</v>
      </c>
      <c r="Q182" s="643"/>
      <c r="R182" s="617"/>
      <c r="S182" s="618"/>
      <c r="T182" s="615" t="s">
        <v>256</v>
      </c>
      <c r="U182" s="619" t="s">
        <v>362</v>
      </c>
      <c r="V182" s="616" t="s">
        <v>257</v>
      </c>
    </row>
    <row r="183" spans="1:51" s="637" customFormat="1" ht="15" customHeight="1" thickBot="1" x14ac:dyDescent="0.3">
      <c r="A183" s="1103"/>
      <c r="B183" s="1104"/>
      <c r="C183" s="1105"/>
      <c r="D183" s="620">
        <f>VLOOKUP($A$2,AVAILABLE_Traps[#All],MATCH(A182,AVAILABLE_Traps[#Headers],0))</f>
        <v>0</v>
      </c>
      <c r="E183" s="621">
        <f>VLOOKUP($A$2,AVAILABLE_Traps[#All],MATCH(A182,AVAILABLE_Traps[#Headers],0)+1)</f>
        <v>0</v>
      </c>
      <c r="F183" s="644"/>
      <c r="G183" s="640"/>
      <c r="H183" s="641"/>
      <c r="I183" s="623">
        <f>IF(SUM(B185:B190)&gt;D183,"Error",SUM(B185:B190))</f>
        <v>0</v>
      </c>
      <c r="J183" s="624">
        <f>IF(I$183="Error","Error",D183-I183)</f>
        <v>0</v>
      </c>
      <c r="K183" s="642">
        <f>IF(I$183="Error","Error",SUM(F185:F190))</f>
        <v>0</v>
      </c>
      <c r="L183" s="1103"/>
      <c r="M183" s="1104"/>
      <c r="N183" s="1105"/>
      <c r="O183" s="620">
        <f>VLOOKUP($A$2,AVAILABLE_Traps[#All],MATCH(L182,AVAILABLE_Traps[#Headers],0))</f>
        <v>0</v>
      </c>
      <c r="P183" s="621">
        <f>VLOOKUP($A$2,AVAILABLE_Traps[#All],MATCH(L182,AVAILABLE_Traps[#Headers],0)+1)</f>
        <v>0</v>
      </c>
      <c r="Q183" s="644"/>
      <c r="R183" s="640"/>
      <c r="S183" s="641"/>
      <c r="T183" s="623">
        <f>IF(SUM(M185:M188)&gt;O183,"Error",SUM(M185:M188))</f>
        <v>0</v>
      </c>
      <c r="U183" s="624">
        <f>IF(T$183="Error","Error",O183-T183)</f>
        <v>0</v>
      </c>
      <c r="V183" s="642">
        <f>IF(T$183="Error","Error",SUM(Q185:Q188))</f>
        <v>0</v>
      </c>
    </row>
    <row r="184" spans="1:51" s="637" customFormat="1" ht="15" customHeight="1" thickBot="1" x14ac:dyDescent="0.3">
      <c r="A184" s="625" t="s">
        <v>30</v>
      </c>
      <c r="B184" s="632" t="s">
        <v>29</v>
      </c>
      <c r="C184" s="626"/>
      <c r="D184" s="645"/>
      <c r="E184" s="646"/>
      <c r="F184" s="651" t="s">
        <v>29</v>
      </c>
      <c r="G184" s="652" t="s">
        <v>30</v>
      </c>
      <c r="H184" s="653" t="s">
        <v>258</v>
      </c>
      <c r="I184" s="653" t="s">
        <v>259</v>
      </c>
      <c r="J184" s="653" t="s">
        <v>232</v>
      </c>
      <c r="K184" s="654" t="s">
        <v>233</v>
      </c>
      <c r="L184" s="625" t="s">
        <v>30</v>
      </c>
      <c r="M184" s="632" t="s">
        <v>29</v>
      </c>
      <c r="N184" s="626"/>
      <c r="O184" s="645"/>
      <c r="P184" s="646"/>
      <c r="Q184" s="651" t="s">
        <v>29</v>
      </c>
      <c r="R184" s="652" t="s">
        <v>30</v>
      </c>
      <c r="S184" s="653" t="s">
        <v>258</v>
      </c>
      <c r="T184" s="653" t="s">
        <v>259</v>
      </c>
      <c r="U184" s="653" t="s">
        <v>232</v>
      </c>
      <c r="V184" s="654" t="s">
        <v>233</v>
      </c>
    </row>
    <row r="185" spans="1:51" s="637" customFormat="1" ht="15" customHeight="1" x14ac:dyDescent="0.25">
      <c r="A185" s="633">
        <v>1</v>
      </c>
      <c r="B185" s="634" t="str">
        <f>IF(Paramètres!X6=0,"",Paramètres!X6)</f>
        <v/>
      </c>
      <c r="C185" s="635">
        <f t="shared" ref="C185:C190" si="83">IF(C184&lt;&gt;0,C184+IF(AND(B184&lt;&gt;"",A184&lt;E$183),B184,0),IF(AND(B184&lt;&gt;"",A184&lt;E$183),B184,0))</f>
        <v>0</v>
      </c>
      <c r="D185" s="739"/>
      <c r="E185" s="740"/>
      <c r="F185" s="647" t="str">
        <f t="shared" ref="F185:F190" si="84">IF(G185&lt;&gt;"/",IF($I$183="Error","Error",$J$183+C185),"/")</f>
        <v>/</v>
      </c>
      <c r="G185" s="648" t="str">
        <f>IF(I$183="Error","Error",IF(AND($E$183&lt;&gt;"/",$E$183&gt;'Paramètres - Admin'!$A2),'Paramètres - Admin'!$A3,"/"))</f>
        <v>/</v>
      </c>
      <c r="H185" s="622" t="str">
        <f>IF(G185&lt;&gt;"/",VLOOKUP(G185,COSTS_Bomb[#All],2),"/")</f>
        <v>/</v>
      </c>
      <c r="I185" s="638" t="str">
        <f>IF(G185&lt;&gt;"/",VLOOKUP(G185,COSTS_Bomb[#All],3),"/")</f>
        <v>/</v>
      </c>
      <c r="J185" s="650">
        <f t="shared" ref="J185:J190" si="85">IF(I$183="Error","Error",IF(H185&lt;&gt;"/",F185*H185,0))</f>
        <v>0</v>
      </c>
      <c r="K185" s="649">
        <f>IF(I$183="Error","Error",IF(I185&lt;&gt;"/",F185*I185,0))</f>
        <v>0</v>
      </c>
      <c r="L185" s="633">
        <v>1</v>
      </c>
      <c r="M185" s="634" t="str">
        <f>IF(Paramètres!AA6=0,"",Paramètres!AA6)</f>
        <v/>
      </c>
      <c r="N185" s="635">
        <f>IF(N184&lt;&gt;0,N184+IF(AND(M184&lt;&gt;"",L184&lt;P$183),M184,0),IF(AND(M184&lt;&gt;"",L184&lt;P$183),M184,0))</f>
        <v>0</v>
      </c>
      <c r="O185" s="627"/>
      <c r="P185" s="628"/>
      <c r="Q185" s="647" t="str">
        <f>IF(R185&lt;&gt;"/",IF($T$183="Error","Error",$U$183+N185),"/")</f>
        <v>/</v>
      </c>
      <c r="R185" s="648" t="str">
        <f>IF(T$183="Error","Error",IF(AND($P$183&lt;&gt;"/",$P$183&gt;'Paramètres - Admin'!$A2),'Paramètres - Admin'!$A3,"/"))</f>
        <v>/</v>
      </c>
      <c r="S185" s="622" t="str">
        <f>IF(R185&lt;&gt;"/",VLOOKUP(R185,COST_Air_Bomb[#All],2),"/")</f>
        <v>/</v>
      </c>
      <c r="T185" s="638" t="str">
        <f>IF(R185&lt;&gt;"/",VLOOKUP(R185,COST_Air_Bomb[#All],3),"/")</f>
        <v>/</v>
      </c>
      <c r="U185" s="650">
        <f>IF(T$183="Error","Error",IF(S185&lt;&gt;"/",Q185*S185,0))</f>
        <v>0</v>
      </c>
      <c r="V185" s="649">
        <f>IF(T$183="Error","Error",IF(T185&lt;&gt;"/",Q185*T185,0))</f>
        <v>0</v>
      </c>
    </row>
    <row r="186" spans="1:51" s="637" customFormat="1" ht="15" customHeight="1" x14ac:dyDescent="0.25">
      <c r="A186" s="636">
        <v>2</v>
      </c>
      <c r="B186" s="634" t="str">
        <f>IF(Paramètres!X7=0,"",Paramètres!X7)</f>
        <v/>
      </c>
      <c r="C186" s="635">
        <f t="shared" si="83"/>
        <v>0</v>
      </c>
      <c r="D186" s="741"/>
      <c r="E186" s="742"/>
      <c r="F186" s="647" t="str">
        <f t="shared" si="84"/>
        <v>/</v>
      </c>
      <c r="G186" s="648" t="str">
        <f>IF(I$183="Error","Error",IF(AND($E$183&lt;&gt;"/",$E$183&gt;'Paramètres - Admin'!$A3),'Paramètres - Admin'!$A4,"/"))</f>
        <v>/</v>
      </c>
      <c r="H186" s="622" t="str">
        <f>IF(G186&lt;&gt;"/",VLOOKUP(G186,COSTS_Bomb[#All],2),"/")</f>
        <v>/</v>
      </c>
      <c r="I186" s="638" t="str">
        <f>IF(G186&lt;&gt;"/",VLOOKUP(G186,COSTS_Bomb[#All],3),"/")</f>
        <v>/</v>
      </c>
      <c r="J186" s="650">
        <f t="shared" si="85"/>
        <v>0</v>
      </c>
      <c r="K186" s="629">
        <f>IF(I$101="Error","Error",IF(I186&lt;&gt;"/",F186*I186,0))</f>
        <v>0</v>
      </c>
      <c r="L186" s="636">
        <v>2</v>
      </c>
      <c r="M186" s="634" t="str">
        <f>IF(Paramètres!AA7=0,"",Paramètres!AA7)</f>
        <v/>
      </c>
      <c r="N186" s="635">
        <f>IF(N185&lt;&gt;0,N185+IF(AND(M185&lt;&gt;"",L185&lt;P$183),M185,0),IF(AND(M185&lt;&gt;"",L185&lt;P$183),M185,0))</f>
        <v>0</v>
      </c>
      <c r="O186" s="630"/>
      <c r="P186" s="631"/>
      <c r="Q186" s="647" t="str">
        <f>IF(R186&lt;&gt;"/",IF($T$183="Error","Error",$U$183+N186),"/")</f>
        <v>/</v>
      </c>
      <c r="R186" s="648" t="str">
        <f>IF(T$183="Error","Error",IF(AND($P$183&lt;&gt;"/",$P$183&gt;'Paramètres - Admin'!$A3),'Paramètres - Admin'!$A4,"/"))</f>
        <v>/</v>
      </c>
      <c r="S186" s="622" t="str">
        <f>IF(R186&lt;&gt;"/",VLOOKUP(R186,COST_Air_Bomb[#All],2),"/")</f>
        <v>/</v>
      </c>
      <c r="T186" s="638" t="str">
        <f>IF(R186&lt;&gt;"/",VLOOKUP(R186,COST_Air_Bomb[#All],3),"/")</f>
        <v>/</v>
      </c>
      <c r="U186" s="650">
        <f>IF(T$183="Error","Error",IF(S186&lt;&gt;"/",Q186*S186,0))</f>
        <v>0</v>
      </c>
      <c r="V186" s="649">
        <f>IF(T$183="Error","Error",IF(T186&lt;&gt;"/",Q186*T186,0))</f>
        <v>0</v>
      </c>
    </row>
    <row r="187" spans="1:51" s="637" customFormat="1" ht="15" customHeight="1" x14ac:dyDescent="0.25">
      <c r="A187" s="636">
        <v>3</v>
      </c>
      <c r="B187" s="634" t="str">
        <f>IF(Paramètres!X8=0,"",Paramètres!X8)</f>
        <v/>
      </c>
      <c r="C187" s="635">
        <f t="shared" si="83"/>
        <v>0</v>
      </c>
      <c r="D187" s="741"/>
      <c r="E187" s="742"/>
      <c r="F187" s="647" t="str">
        <f t="shared" si="84"/>
        <v>/</v>
      </c>
      <c r="G187" s="648" t="str">
        <f>IF(I$183="Error","Error",IF(AND($E$183&lt;&gt;"/",$E$183&gt;'Paramètres - Admin'!$A4),'Paramètres - Admin'!$A5,"/"))</f>
        <v>/</v>
      </c>
      <c r="H187" s="622" t="str">
        <f>IF(G187&lt;&gt;"/",VLOOKUP(G187,COSTS_Bomb[#All],2),"/")</f>
        <v>/</v>
      </c>
      <c r="I187" s="638" t="str">
        <f>IF(G187&lt;&gt;"/",VLOOKUP(G187,COSTS_Bomb[#All],3),"/")</f>
        <v>/</v>
      </c>
      <c r="J187" s="650">
        <f t="shared" si="85"/>
        <v>0</v>
      </c>
      <c r="K187" s="629">
        <f>IF(I$101="Error","Error",IF(I187&lt;&gt;"/",F187*I187,0))</f>
        <v>0</v>
      </c>
      <c r="L187" s="636">
        <v>3</v>
      </c>
      <c r="M187" s="634" t="str">
        <f>IF(Paramètres!AA8=0,"",Paramètres!AA8)</f>
        <v/>
      </c>
      <c r="N187" s="635">
        <f>IF(N186&lt;&gt;0,N186+IF(AND(M186&lt;&gt;"",L186&lt;P$183),M186,0),IF(AND(M186&lt;&gt;"",L186&lt;P$183),M186,0))</f>
        <v>0</v>
      </c>
      <c r="O187" s="630"/>
      <c r="P187" s="631"/>
      <c r="Q187" s="647" t="str">
        <f>IF(R187&lt;&gt;"/",IF($T$183="Error","Error",$U$183+N187),"/")</f>
        <v>/</v>
      </c>
      <c r="R187" s="648" t="str">
        <f>IF(T$183="Error","Error",IF(AND($P$183&lt;&gt;"/",$P$183&gt;'Paramètres - Admin'!$A4),'Paramètres - Admin'!$A5,"/"))</f>
        <v>/</v>
      </c>
      <c r="S187" s="622" t="str">
        <f>IF(R187&lt;&gt;"/",VLOOKUP(R187,COST_Air_Bomb[#All],2),"/")</f>
        <v>/</v>
      </c>
      <c r="T187" s="638" t="str">
        <f>IF(R187&lt;&gt;"/",VLOOKUP(R187,COST_Air_Bomb[#All],3),"/")</f>
        <v>/</v>
      </c>
      <c r="U187" s="650">
        <f>IF(T$183="Error","Error",IF(S187&lt;&gt;"/",Q187*S187,0))</f>
        <v>0</v>
      </c>
      <c r="V187" s="649">
        <f>IF(T$183="Error","Error",IF(T187&lt;&gt;"/",Q187*T187,0))</f>
        <v>0</v>
      </c>
    </row>
    <row r="188" spans="1:51" s="637" customFormat="1" ht="15" customHeight="1" thickBot="1" x14ac:dyDescent="0.3">
      <c r="A188" s="636">
        <v>4</v>
      </c>
      <c r="B188" s="634" t="str">
        <f>IF(Paramètres!X9=0,"",Paramètres!X9)</f>
        <v/>
      </c>
      <c r="C188" s="635">
        <f t="shared" si="83"/>
        <v>0</v>
      </c>
      <c r="D188" s="741"/>
      <c r="E188" s="742"/>
      <c r="F188" s="647" t="str">
        <f t="shared" si="84"/>
        <v>/</v>
      </c>
      <c r="G188" s="648" t="str">
        <f>IF(I$183="Error","Error",IF(AND($E$183&lt;&gt;"/",$E$183&gt;'Paramètres - Admin'!$A5),'Paramètres - Admin'!$A6,"/"))</f>
        <v>/</v>
      </c>
      <c r="H188" s="622" t="str">
        <f>IF(G188&lt;&gt;"/",VLOOKUP(G188,COSTS_Bomb[#All],2),"/")</f>
        <v>/</v>
      </c>
      <c r="I188" s="638" t="str">
        <f>IF(G188&lt;&gt;"/",VLOOKUP(G188,COSTS_Bomb[#All],3),"/")</f>
        <v>/</v>
      </c>
      <c r="J188" s="650">
        <f t="shared" si="85"/>
        <v>0</v>
      </c>
      <c r="K188" s="629">
        <f>IF(I$101="Error","Error",IF(I188&lt;&gt;"/",F188*I188,0))</f>
        <v>0</v>
      </c>
      <c r="L188" s="636">
        <v>4</v>
      </c>
      <c r="M188" s="634" t="str">
        <f>IF(Paramètres!AA9=0,"",Paramètres!AA9)</f>
        <v/>
      </c>
      <c r="N188" s="635">
        <f>IF(N187&lt;&gt;0,N187+IF(AND(M187&lt;&gt;"",L187&lt;P$183),M187,0),IF(AND(M187&lt;&gt;"",L187&lt;P$183),M187,0))</f>
        <v>0</v>
      </c>
      <c r="O188" s="630"/>
      <c r="P188" s="631"/>
      <c r="Q188" s="647" t="str">
        <f>IF(R188&lt;&gt;"/",IF($T$183="Error","Error",$U$183+N188),"/")</f>
        <v>/</v>
      </c>
      <c r="R188" s="648" t="str">
        <f>IF(T$183="Error","Error",IF(AND($P$183&lt;&gt;"/",$P$183&gt;'Paramètres - Admin'!$A5),'Paramètres - Admin'!$A6,"/"))</f>
        <v>/</v>
      </c>
      <c r="S188" s="622" t="str">
        <f>IF(R188&lt;&gt;"/",VLOOKUP(R188,COST_Air_Bomb[#All],2),"/")</f>
        <v>/</v>
      </c>
      <c r="T188" s="638" t="str">
        <f>IF(R188&lt;&gt;"/",VLOOKUP(R188,COST_Air_Bomb[#All],3),"/")</f>
        <v>/</v>
      </c>
      <c r="U188" s="650">
        <f>IF(T$183="Error","Error",IF(S188&lt;&gt;"/",Q188*S188,0))</f>
        <v>0</v>
      </c>
      <c r="V188" s="649">
        <f>IF(T$183="Error","Error",IF(T188&lt;&gt;"/",Q188*T188,0))</f>
        <v>0</v>
      </c>
    </row>
    <row r="189" spans="1:51" s="637" customFormat="1" ht="15" customHeight="1" thickBot="1" x14ac:dyDescent="0.3">
      <c r="A189" s="636">
        <v>5</v>
      </c>
      <c r="B189" s="634" t="str">
        <f>IF(Paramètres!X10=0,"",Paramètres!X10)</f>
        <v/>
      </c>
      <c r="C189" s="635">
        <f t="shared" si="83"/>
        <v>0</v>
      </c>
      <c r="D189" s="741"/>
      <c r="E189" s="742"/>
      <c r="F189" s="647" t="str">
        <f t="shared" si="84"/>
        <v>/</v>
      </c>
      <c r="G189" s="648" t="str">
        <f>IF(I$183="Error","Error",IF(AND($E$183&lt;&gt;"/",$E$183&gt;'Paramètres - Admin'!$A6),'Paramètres - Admin'!$A7,"/"))</f>
        <v>/</v>
      </c>
      <c r="H189" s="622" t="str">
        <f>IF(G189&lt;&gt;"/",VLOOKUP(G189,COSTS_Bomb[#All],2),"/")</f>
        <v>/</v>
      </c>
      <c r="I189" s="638" t="str">
        <f>IF(G189&lt;&gt;"/",VLOOKUP(G189,COSTS_Bomb[#All],3),"/")</f>
        <v>/</v>
      </c>
      <c r="J189" s="650">
        <f t="shared" si="85"/>
        <v>0</v>
      </c>
      <c r="K189" s="629">
        <f>IF(I$101="Error","Error",IF(I189&lt;&gt;"/",F189*I189,0))</f>
        <v>0</v>
      </c>
      <c r="L189" s="1106"/>
      <c r="M189" s="1148"/>
      <c r="N189" s="1148"/>
      <c r="O189" s="1148"/>
      <c r="P189" s="1148"/>
      <c r="Q189" s="1148"/>
      <c r="R189" s="1148"/>
      <c r="S189" s="1149"/>
      <c r="T189" s="329" t="s">
        <v>31</v>
      </c>
      <c r="U189" s="113">
        <f>IF(T$183="Error","Error",SUM(U185:U188))</f>
        <v>0</v>
      </c>
      <c r="V189" s="727">
        <f>IF(T$183="Error","Error",SUM(V185:V188))</f>
        <v>0</v>
      </c>
    </row>
    <row r="190" spans="1:51" s="637" customFormat="1" ht="15" customHeight="1" thickBot="1" x14ac:dyDescent="0.3">
      <c r="A190" s="636">
        <v>6</v>
      </c>
      <c r="B190" s="634" t="str">
        <f>IF(Paramètres!X11=0,"",Paramètres!X11)</f>
        <v/>
      </c>
      <c r="C190" s="635">
        <f t="shared" si="83"/>
        <v>0</v>
      </c>
      <c r="D190" s="741"/>
      <c r="E190" s="742"/>
      <c r="F190" s="647" t="str">
        <f t="shared" si="84"/>
        <v>/</v>
      </c>
      <c r="G190" s="648" t="str">
        <f>IF(I$183="Error","Error",IF(AND($E$183&lt;&gt;"/",$E$183&gt;'Paramètres - Admin'!$A7),'Paramètres - Admin'!$A8,"/"))</f>
        <v>/</v>
      </c>
      <c r="H190" s="622" t="str">
        <f>IF(G190&lt;&gt;"/",VLOOKUP(G190,COSTS_Bomb[#All],2),"/")</f>
        <v>/</v>
      </c>
      <c r="I190" s="724" t="str">
        <f>IF(G190&lt;&gt;"/",VLOOKUP(G190,COSTS_Bomb[#All],3),"/")</f>
        <v>/</v>
      </c>
      <c r="J190" s="728">
        <f t="shared" si="85"/>
        <v>0</v>
      </c>
      <c r="K190" s="723">
        <f>IF(I$183="Error","Error",IF(I190&lt;&gt;"/",F190*I190,0))</f>
        <v>0</v>
      </c>
      <c r="L190" s="1100" t="s">
        <v>565</v>
      </c>
      <c r="M190" s="1101"/>
      <c r="N190" s="1102"/>
      <c r="O190" s="615" t="s">
        <v>38</v>
      </c>
      <c r="P190" s="616" t="s">
        <v>39</v>
      </c>
      <c r="Q190" s="643"/>
      <c r="R190" s="617"/>
      <c r="S190" s="618"/>
      <c r="T190" s="615" t="s">
        <v>256</v>
      </c>
      <c r="U190" s="619" t="s">
        <v>362</v>
      </c>
      <c r="V190" s="616" t="s">
        <v>257</v>
      </c>
    </row>
    <row r="191" spans="1:51" s="637" customFormat="1" ht="15" customHeight="1" thickBot="1" x14ac:dyDescent="0.3">
      <c r="A191" s="1106"/>
      <c r="B191" s="1148"/>
      <c r="C191" s="1148"/>
      <c r="D191" s="1148"/>
      <c r="E191" s="1148"/>
      <c r="F191" s="1148"/>
      <c r="G191" s="1148"/>
      <c r="H191" s="1149"/>
      <c r="I191" s="329" t="s">
        <v>31</v>
      </c>
      <c r="J191" s="113">
        <f>IF(I$183="Error","Error",SUM(J185:J190))</f>
        <v>0</v>
      </c>
      <c r="K191" s="727">
        <f>IF(I$183="Error","Error",SUM(K185:K190))</f>
        <v>0</v>
      </c>
      <c r="L191" s="1103"/>
      <c r="M191" s="1104"/>
      <c r="N191" s="1105"/>
      <c r="O191" s="620">
        <f>VLOOKUP($A$2,AVAILABLE_Traps[#All],MATCH(L190,AVAILABLE_Traps[#Headers],0))</f>
        <v>0</v>
      </c>
      <c r="P191" s="621">
        <f>VLOOKUP($A$2,AVAILABLE_Traps[#All],MATCH(L190,AVAILABLE_Traps[#Headers],0)+1)</f>
        <v>0</v>
      </c>
      <c r="Q191" s="644"/>
      <c r="R191" s="640"/>
      <c r="S191" s="641"/>
      <c r="T191" s="623">
        <f>IF(SUM(M193:M195)&gt;O191,"Error",SUM(M193:M195))</f>
        <v>0</v>
      </c>
      <c r="U191" s="624">
        <f>IF(T$191="Error","Error",O191-T191)</f>
        <v>0</v>
      </c>
      <c r="V191" s="642">
        <f>IF(T$191="Error","Error",SUM(Q193:Q195))</f>
        <v>0</v>
      </c>
    </row>
    <row r="192" spans="1:51" s="637" customFormat="1" ht="15" customHeight="1" thickBot="1" x14ac:dyDescent="0.3">
      <c r="A192" s="1100" t="s">
        <v>562</v>
      </c>
      <c r="B192" s="1101"/>
      <c r="C192" s="1102"/>
      <c r="D192" s="615" t="s">
        <v>38</v>
      </c>
      <c r="E192" s="616" t="s">
        <v>39</v>
      </c>
      <c r="F192" s="643"/>
      <c r="G192" s="617"/>
      <c r="H192" s="618"/>
      <c r="I192" s="615" t="s">
        <v>256</v>
      </c>
      <c r="J192" s="619" t="s">
        <v>362</v>
      </c>
      <c r="K192" s="616" t="s">
        <v>257</v>
      </c>
      <c r="L192" s="625" t="s">
        <v>30</v>
      </c>
      <c r="M192" s="632" t="s">
        <v>29</v>
      </c>
      <c r="N192" s="626"/>
      <c r="O192" s="645"/>
      <c r="P192" s="646"/>
      <c r="Q192" s="651" t="s">
        <v>29</v>
      </c>
      <c r="R192" s="652" t="s">
        <v>30</v>
      </c>
      <c r="S192" s="653" t="s">
        <v>258</v>
      </c>
      <c r="T192" s="653" t="s">
        <v>259</v>
      </c>
      <c r="U192" s="653" t="s">
        <v>232</v>
      </c>
      <c r="V192" s="654" t="s">
        <v>233</v>
      </c>
    </row>
    <row r="193" spans="1:51" s="637" customFormat="1" ht="15" customHeight="1" thickBot="1" x14ac:dyDescent="0.3">
      <c r="A193" s="1103"/>
      <c r="B193" s="1104"/>
      <c r="C193" s="1105"/>
      <c r="D193" s="620">
        <f>VLOOKUP($A$2,AVAILABLE_Traps[#All],MATCH(A192,AVAILABLE_Traps[#Headers],0))</f>
        <v>0</v>
      </c>
      <c r="E193" s="621">
        <f>VLOOKUP($A$2,AVAILABLE_Traps[#All],MATCH(A192,AVAILABLE_Traps[#Headers],0)+1)</f>
        <v>0</v>
      </c>
      <c r="F193" s="644"/>
      <c r="G193" s="640"/>
      <c r="H193" s="641"/>
      <c r="I193" s="623">
        <f>IF(SUM(B195:B195)&gt;D193,"Error",SUM(B195:B195))</f>
        <v>0</v>
      </c>
      <c r="J193" s="624">
        <f>IF(I$193="Error","Error",D193-I193)</f>
        <v>0</v>
      </c>
      <c r="K193" s="642">
        <f>IF(I$193="Error","Error",SUM(F195:F195))</f>
        <v>0</v>
      </c>
      <c r="L193" s="633">
        <v>1</v>
      </c>
      <c r="M193" s="634" t="str">
        <f>IF(Paramètres!AB6=0,"",Paramètres!AB6)</f>
        <v/>
      </c>
      <c r="N193" s="635">
        <f>IF(N192&lt;&gt;0,N192+IF(AND(M192&lt;&gt;"",L192&lt;P$191),M192,0),IF(AND(M192&lt;&gt;"",L192&lt;P$191),M192,0))</f>
        <v>0</v>
      </c>
      <c r="O193" s="627"/>
      <c r="P193" s="628"/>
      <c r="Q193" s="647" t="str">
        <f>IF(R193&lt;&gt;"/",IF($T$191="Error","Error",$U$191+N193),"/")</f>
        <v>/</v>
      </c>
      <c r="R193" s="648" t="str">
        <f>IF(T$191="Error","Error",IF(AND($P$191&lt;&gt;"/",$P$191&gt;'Paramètres - Admin'!$A2),'Paramètres - Admin'!$A3,"/"))</f>
        <v>/</v>
      </c>
      <c r="S193" s="622" t="str">
        <f>IF(R193&lt;&gt;"/",VLOOKUP(R193,COST_Seeking_Air_Mine[#All],2),"/")</f>
        <v>/</v>
      </c>
      <c r="T193" s="638" t="str">
        <f>IF(R193&lt;&gt;"/",VLOOKUP(R193,COST_Seeking_Air_Mine[#All],3),"/")</f>
        <v>/</v>
      </c>
      <c r="U193" s="650">
        <f>IF(T$191="Error","Error",IF(S193&lt;&gt;"/",Q193*S193,0))</f>
        <v>0</v>
      </c>
      <c r="V193" s="649">
        <f>IF(T$191="Error","Error",IF(T193&lt;&gt;"/",Q193*T193,0))</f>
        <v>0</v>
      </c>
    </row>
    <row r="194" spans="1:51" s="637" customFormat="1" ht="15" customHeight="1" thickBot="1" x14ac:dyDescent="0.3">
      <c r="A194" s="625" t="s">
        <v>30</v>
      </c>
      <c r="B194" s="632" t="s">
        <v>29</v>
      </c>
      <c r="C194" s="626"/>
      <c r="D194" s="645"/>
      <c r="E194" s="646"/>
      <c r="F194" s="651" t="s">
        <v>29</v>
      </c>
      <c r="G194" s="652" t="s">
        <v>30</v>
      </c>
      <c r="H194" s="653" t="s">
        <v>258</v>
      </c>
      <c r="I194" s="653" t="s">
        <v>259</v>
      </c>
      <c r="J194" s="653" t="s">
        <v>232</v>
      </c>
      <c r="K194" s="654" t="s">
        <v>233</v>
      </c>
      <c r="L194" s="636">
        <v>2</v>
      </c>
      <c r="M194" s="634" t="str">
        <f>IF(Paramètres!AB7=0,"",Paramètres!AB7)</f>
        <v/>
      </c>
      <c r="N194" s="635">
        <f>IF(N193&lt;&gt;0,N193+IF(AND(M193&lt;&gt;"",L193&lt;P$191),M193,0),IF(AND(M193&lt;&gt;"",L193&lt;P$191),M193,0))</f>
        <v>0</v>
      </c>
      <c r="O194" s="627"/>
      <c r="P194" s="628"/>
      <c r="Q194" s="647" t="str">
        <f>IF(R194&lt;&gt;"/",IF($T$191="Error","Error",$U$191+N194),"/")</f>
        <v>/</v>
      </c>
      <c r="R194" s="648" t="str">
        <f>IF(T$191="Error","Error",IF(AND($P$191&lt;&gt;"/",$P$191&gt;'Paramètres - Admin'!$A3),'Paramètres - Admin'!$A4,"/"))</f>
        <v>/</v>
      </c>
      <c r="S194" s="622" t="str">
        <f>IF(R194&lt;&gt;"/",VLOOKUP(R194,COST_Seeking_Air_Mine[#All],2),"/")</f>
        <v>/</v>
      </c>
      <c r="T194" s="638" t="str">
        <f>IF(R194&lt;&gt;"/",VLOOKUP(R194,COST_Seeking_Air_Mine[#All],3),"/")</f>
        <v>/</v>
      </c>
      <c r="U194" s="650">
        <f>IF(T$191="Error","Error",IF(S194&lt;&gt;"/",Q194*S194,0))</f>
        <v>0</v>
      </c>
      <c r="V194" s="649">
        <f>IF(T$191="Error","Error",IF(T194&lt;&gt;"/",Q194*T194,0))</f>
        <v>0</v>
      </c>
    </row>
    <row r="195" spans="1:51" s="637" customFormat="1" ht="15" customHeight="1" thickBot="1" x14ac:dyDescent="0.3">
      <c r="A195" s="633">
        <v>1</v>
      </c>
      <c r="B195" s="634" t="str">
        <f>IF(Paramètres!Y6=0,"",Paramètres!Y6)</f>
        <v/>
      </c>
      <c r="C195" s="635">
        <f>IF(C194&lt;&gt;0,C194+IF(AND(B194&lt;&gt;"",A194&lt;E$193),B194,0),IF(AND(B194&lt;&gt;"",A194&lt;E$193),B194,0))</f>
        <v>0</v>
      </c>
      <c r="D195" s="739"/>
      <c r="E195" s="740"/>
      <c r="F195" s="647" t="str">
        <f>IF(G195&lt;&gt;"/",IF($I$193="Error","Error",$J$193+C195),"/")</f>
        <v>/</v>
      </c>
      <c r="G195" s="648" t="str">
        <f>IF(I$193="Error","Error",IF(AND($E$193&lt;&gt;"/",$E$193&gt;'Paramètres - Admin'!$A2),'Paramètres - Admin'!$A3,"/"))</f>
        <v>/</v>
      </c>
      <c r="H195" s="622" t="str">
        <f>IF(G195&lt;&gt;"/",VLOOKUP(G195,COSTS_Spring_Trap[#All],2),"/")</f>
        <v>/</v>
      </c>
      <c r="I195" s="638" t="str">
        <f>IF(G195&lt;&gt;"/",VLOOKUP(G195,COSTS_Spring_Trap[#All],3),"/")</f>
        <v>/</v>
      </c>
      <c r="J195" s="650">
        <f>IF(I$193="Error","Error",IF(H195&lt;&gt;"/",F195*H195,0))</f>
        <v>0</v>
      </c>
      <c r="K195" s="649">
        <f>IF(I$193="Error","Error",IF(I195&lt;&gt;"/",F195*I195,0))</f>
        <v>0</v>
      </c>
      <c r="L195" s="636">
        <v>3</v>
      </c>
      <c r="M195" s="634" t="str">
        <f>IF(Paramètres!AB8=0,"",Paramètres!AB8)</f>
        <v/>
      </c>
      <c r="N195" s="635">
        <f>IF(N194&lt;&gt;0,N194+IF(AND(M194&lt;&gt;"",L194&lt;P$191),M194,0),IF(AND(M194&lt;&gt;"",L194&lt;P$191),M194,0))</f>
        <v>0</v>
      </c>
      <c r="O195" s="627"/>
      <c r="P195" s="628"/>
      <c r="Q195" s="647" t="str">
        <f>IF(R195&lt;&gt;"/",IF($T$191="Error","Error",$U$191+N195),"/")</f>
        <v>/</v>
      </c>
      <c r="R195" s="648" t="str">
        <f>IF(T$191="Error","Error",IF(AND($P$191&lt;&gt;"/",$P$191&gt;'Paramètres - Admin'!$A4),'Paramètres - Admin'!$A5,"/"))</f>
        <v>/</v>
      </c>
      <c r="S195" s="622" t="str">
        <f>IF(R195&lt;&gt;"/",VLOOKUP(R195,COST_Seeking_Air_Mine[#All],2),"/")</f>
        <v>/</v>
      </c>
      <c r="T195" s="638" t="str">
        <f>IF(R195&lt;&gt;"/",VLOOKUP(R195,COST_Seeking_Air_Mine[#All],3),"/")</f>
        <v>/</v>
      </c>
      <c r="U195" s="650">
        <f>IF(T$191="Error","Error",IF(S195&lt;&gt;"/",Q195*S195,0))</f>
        <v>0</v>
      </c>
      <c r="V195" s="649">
        <f>IF(T$191="Error","Error",IF(T195&lt;&gt;"/",Q195*T195,0))</f>
        <v>0</v>
      </c>
    </row>
    <row r="196" spans="1:51" s="637" customFormat="1" ht="15" customHeight="1" thickBot="1" x14ac:dyDescent="0.3">
      <c r="A196" s="1106"/>
      <c r="B196" s="1148"/>
      <c r="C196" s="1148"/>
      <c r="D196" s="1148"/>
      <c r="E196" s="1148"/>
      <c r="F196" s="1148"/>
      <c r="G196" s="1148"/>
      <c r="H196" s="1149"/>
      <c r="I196" s="329" t="s">
        <v>31</v>
      </c>
      <c r="J196" s="113">
        <f>IF(I$193="Error","Error",SUM(J195:J195))</f>
        <v>0</v>
      </c>
      <c r="K196" s="727">
        <f>IF(I$193="Error","Error",SUM(K195:K195))</f>
        <v>0</v>
      </c>
      <c r="L196" s="1106"/>
      <c r="M196" s="1148"/>
      <c r="N196" s="1148"/>
      <c r="O196" s="1148"/>
      <c r="P196" s="1148"/>
      <c r="Q196" s="1148"/>
      <c r="R196" s="1148"/>
      <c r="S196" s="1149"/>
      <c r="T196" s="329" t="s">
        <v>31</v>
      </c>
      <c r="U196" s="113">
        <f>IF(T$191="Error","Error",SUM(U193:U195))</f>
        <v>0</v>
      </c>
      <c r="V196" s="727">
        <f>IF(T$191="Error","Error",SUM(V193:V195))</f>
        <v>0</v>
      </c>
    </row>
    <row r="197" spans="1:51" s="637" customFormat="1" ht="15" customHeight="1" x14ac:dyDescent="0.25">
      <c r="A197" s="1100" t="s">
        <v>561</v>
      </c>
      <c r="B197" s="1101"/>
      <c r="C197" s="1102"/>
      <c r="D197" s="615" t="s">
        <v>38</v>
      </c>
      <c r="E197" s="616" t="s">
        <v>39</v>
      </c>
      <c r="F197" s="643"/>
      <c r="G197" s="617"/>
      <c r="H197" s="618"/>
      <c r="I197" s="615" t="s">
        <v>256</v>
      </c>
      <c r="J197" s="619" t="s">
        <v>362</v>
      </c>
      <c r="K197" s="616" t="s">
        <v>257</v>
      </c>
      <c r="L197" s="1100" t="s">
        <v>567</v>
      </c>
      <c r="M197" s="1101"/>
      <c r="N197" s="1102"/>
      <c r="O197" s="615" t="s">
        <v>38</v>
      </c>
      <c r="P197" s="616" t="s">
        <v>39</v>
      </c>
      <c r="Q197" s="643"/>
      <c r="R197" s="617"/>
      <c r="S197" s="618"/>
      <c r="T197" s="615" t="s">
        <v>256</v>
      </c>
      <c r="U197" s="619" t="s">
        <v>362</v>
      </c>
      <c r="V197" s="616" t="s">
        <v>257</v>
      </c>
    </row>
    <row r="198" spans="1:51" s="637" customFormat="1" ht="15" customHeight="1" thickBot="1" x14ac:dyDescent="0.3">
      <c r="A198" s="1103"/>
      <c r="B198" s="1104"/>
      <c r="C198" s="1105"/>
      <c r="D198" s="620">
        <f>VLOOKUP($A$2,AVAILABLE_Traps[#All],MATCH(A197,AVAILABLE_Traps[#Headers],0))</f>
        <v>0</v>
      </c>
      <c r="E198" s="621">
        <f>VLOOKUP($A$2,AVAILABLE_Traps[#All],MATCH(A197,AVAILABLE_Traps[#Headers],0)+1)</f>
        <v>0</v>
      </c>
      <c r="F198" s="644"/>
      <c r="G198" s="640"/>
      <c r="H198" s="641"/>
      <c r="I198" s="623">
        <f>IF(SUM(B200:B203)&gt;D198,"Error",SUM(B200:B203))</f>
        <v>0</v>
      </c>
      <c r="J198" s="624">
        <f>IF(I$198="Error","Error",D198-I198)</f>
        <v>0</v>
      </c>
      <c r="K198" s="642">
        <f>IF(I$198="Error","Error",SUM(F200:F203))</f>
        <v>0</v>
      </c>
      <c r="L198" s="1103"/>
      <c r="M198" s="1104"/>
      <c r="N198" s="1105"/>
      <c r="O198" s="620">
        <f>VLOOKUP($A$2,AVAILABLE_Traps[#All],MATCH(L197,AVAILABLE_Traps[#Headers],0))</f>
        <v>0</v>
      </c>
      <c r="P198" s="621">
        <f>VLOOKUP($A$2,AVAILABLE_Traps[#All],MATCH(L197,AVAILABLE_Traps[#Headers],0)+1)</f>
        <v>0</v>
      </c>
      <c r="Q198" s="644"/>
      <c r="R198" s="640"/>
      <c r="S198" s="641"/>
      <c r="T198" s="623">
        <f>IF(SUM(M200:M202)&gt;O198,"Error",SUM(M200:M202))</f>
        <v>0</v>
      </c>
      <c r="U198" s="624">
        <f>IF(T$198="Error","Error",O198-T198)</f>
        <v>0</v>
      </c>
      <c r="V198" s="642">
        <f>IF(T$198="Error","Error",SUM(Q200:Q202))</f>
        <v>0</v>
      </c>
    </row>
    <row r="199" spans="1:51" s="637" customFormat="1" ht="15" customHeight="1" thickBot="1" x14ac:dyDescent="0.3">
      <c r="A199" s="625" t="s">
        <v>30</v>
      </c>
      <c r="B199" s="632" t="s">
        <v>29</v>
      </c>
      <c r="C199" s="626"/>
      <c r="D199" s="645"/>
      <c r="E199" s="646"/>
      <c r="F199" s="651" t="s">
        <v>29</v>
      </c>
      <c r="G199" s="652" t="s">
        <v>30</v>
      </c>
      <c r="H199" s="653" t="s">
        <v>258</v>
      </c>
      <c r="I199" s="653" t="s">
        <v>259</v>
      </c>
      <c r="J199" s="653" t="s">
        <v>232</v>
      </c>
      <c r="K199" s="654" t="s">
        <v>233</v>
      </c>
      <c r="L199" s="625" t="s">
        <v>30</v>
      </c>
      <c r="M199" s="632" t="s">
        <v>29</v>
      </c>
      <c r="N199" s="626"/>
      <c r="O199" s="645"/>
      <c r="P199" s="646"/>
      <c r="Q199" s="651" t="s">
        <v>29</v>
      </c>
      <c r="R199" s="652" t="s">
        <v>30</v>
      </c>
      <c r="S199" s="653" t="s">
        <v>258</v>
      </c>
      <c r="T199" s="653" t="s">
        <v>259</v>
      </c>
      <c r="U199" s="653" t="s">
        <v>232</v>
      </c>
      <c r="V199" s="654" t="s">
        <v>233</v>
      </c>
    </row>
    <row r="200" spans="1:51" s="637" customFormat="1" ht="15" customHeight="1" x14ac:dyDescent="0.25">
      <c r="A200" s="633">
        <v>1</v>
      </c>
      <c r="B200" s="634" t="str">
        <f>IF(Paramètres!Z6=0,"",Paramètres!Z6)</f>
        <v/>
      </c>
      <c r="C200" s="635">
        <f>IF(C199&lt;&gt;0,C199+IF(AND(B199&lt;&gt;"",A199&lt;E$198),B199,0),IF(AND(B199&lt;&gt;"",A199&lt;E$198),B199,0))</f>
        <v>0</v>
      </c>
      <c r="D200" s="627"/>
      <c r="E200" s="628"/>
      <c r="F200" s="647" t="str">
        <f>IF(G200&lt;&gt;"/",IF($I$198="Error","Error",$J$198+C200),"/")</f>
        <v>/</v>
      </c>
      <c r="G200" s="648" t="str">
        <f>IF(I$198="Error","Error",IF(AND($E$198&lt;&gt;"/",$E$198&gt;'Paramètres - Admin'!$A2),'Paramètres - Admin'!$A3,"/"))</f>
        <v>/</v>
      </c>
      <c r="H200" s="622" t="str">
        <f>IF(G200&lt;&gt;"/",VLOOKUP(G200,COSTS_Giant_Bomb[#All],2),"/")</f>
        <v>/</v>
      </c>
      <c r="I200" s="638" t="str">
        <f>IF(G200&lt;&gt;"/",VLOOKUP(G200,COSTS_Giant_Bomb[#All],3),"/")</f>
        <v>/</v>
      </c>
      <c r="J200" s="650">
        <f>IF(I$198="Error","Error",IF(H200&lt;&gt;"/",F200*H200,0))</f>
        <v>0</v>
      </c>
      <c r="K200" s="649">
        <f>IF(I$198="Error","Error",IF(I200&lt;&gt;"/",F200*I200,0))</f>
        <v>0</v>
      </c>
      <c r="L200" s="633">
        <v>1</v>
      </c>
      <c r="M200" s="634" t="str">
        <f>IF(Paramètres!AC6=0,"",Paramètres!AC6)</f>
        <v/>
      </c>
      <c r="N200" s="635">
        <f>IF(N199&lt;&gt;0,N199+IF(AND(M199&lt;&gt;"",L199&lt;P$198),M199,0),IF(AND(M199&lt;&gt;"",L199&lt;P$198),M199,0))</f>
        <v>0</v>
      </c>
      <c r="O200" s="627"/>
      <c r="P200" s="628"/>
      <c r="Q200" s="647" t="str">
        <f>IF(R200&lt;&gt;"/",IF($T$198="Error","Error",$U$198+N200),"/")</f>
        <v>/</v>
      </c>
      <c r="R200" s="648" t="str">
        <f>IF(T$198="Error","Error",IF(AND($P$198&lt;&gt;"/",$P$198&gt;'Paramètres - Admin'!$A2),'Paramètres - Admin'!$A3,"/"))</f>
        <v>/</v>
      </c>
      <c r="S200" s="622" t="str">
        <f>IF(R200&lt;&gt;"/",VLOOKUP(R200,COST_Skeleton_Trap[#All],2),"/")</f>
        <v>/</v>
      </c>
      <c r="T200" s="638" t="str">
        <f>IF(R200&lt;&gt;"/",VLOOKUP(R200,COST_Skeleton_Trap[#All],3),"/")</f>
        <v>/</v>
      </c>
      <c r="U200" s="650">
        <f>IF(T$198="Error","Error",IF(S200&lt;&gt;"/",Q200*S200,0))</f>
        <v>0</v>
      </c>
      <c r="V200" s="649">
        <f>IF(T$198="Error","Error",IF(T200&lt;&gt;"/",Q200*T200,0))</f>
        <v>0</v>
      </c>
    </row>
    <row r="201" spans="1:51" s="637" customFormat="1" ht="15" customHeight="1" x14ac:dyDescent="0.25">
      <c r="A201" s="636">
        <v>2</v>
      </c>
      <c r="B201" s="634" t="str">
        <f>IF(Paramètres!Z7=0,"",Paramètres!Z7)</f>
        <v/>
      </c>
      <c r="C201" s="635">
        <f>IF(C200&lt;&gt;0,C200+IF(AND(B200&lt;&gt;"",A200&lt;E$198),B200,0),IF(AND(B200&lt;&gt;"",A200&lt;E$198),B200,0))</f>
        <v>0</v>
      </c>
      <c r="D201" s="630"/>
      <c r="E201" s="631"/>
      <c r="F201" s="647" t="str">
        <f>IF(G201&lt;&gt;"/",IF($I$198="Error","Error",$J$198+C201),"/")</f>
        <v>/</v>
      </c>
      <c r="G201" s="648" t="str">
        <f>IF(I$198="Error","Error",IF(AND($E$198&lt;&gt;"/",$E$198&gt;'Paramètres - Admin'!$A3),'Paramètres - Admin'!$A4,"/"))</f>
        <v>/</v>
      </c>
      <c r="H201" s="622" t="str">
        <f>IF(G201&lt;&gt;"/",VLOOKUP(G201,COSTS_Giant_Bomb[#All],2),"/")</f>
        <v>/</v>
      </c>
      <c r="I201" s="638" t="str">
        <f>IF(G201&lt;&gt;"/",VLOOKUP(G201,COSTS_Giant_Bomb[#All],3),"/")</f>
        <v>/</v>
      </c>
      <c r="J201" s="650">
        <f>IF(I$198="Error","Error",IF(H201&lt;&gt;"/",F201*H201,0))</f>
        <v>0</v>
      </c>
      <c r="K201" s="649">
        <f>IF(I$198="Error","Error",IF(I201&lt;&gt;"/",F201*I201,0))</f>
        <v>0</v>
      </c>
      <c r="L201" s="636">
        <v>2</v>
      </c>
      <c r="M201" s="634" t="str">
        <f>IF(Paramètres!AC7=0,"",Paramètres!AC7)</f>
        <v/>
      </c>
      <c r="N201" s="635">
        <f>IF(N200&lt;&gt;0,N200+IF(AND(M200&lt;&gt;"",L200&lt;P$198),M200,0),IF(AND(M200&lt;&gt;"",L200&lt;P$198),M200,0))</f>
        <v>0</v>
      </c>
      <c r="O201" s="630"/>
      <c r="P201" s="631"/>
      <c r="Q201" s="647" t="str">
        <f>IF(R201&lt;&gt;"/",IF($T$198="Error","Error",$U$198+N201),"/")</f>
        <v>/</v>
      </c>
      <c r="R201" s="648" t="str">
        <f>IF(T$198="Error","Error",IF(AND($P$198&lt;&gt;"/",$P$198&gt;'Paramètres - Admin'!$A3),'Paramètres - Admin'!$A4,"/"))</f>
        <v>/</v>
      </c>
      <c r="S201" s="622" t="str">
        <f>IF(R201&lt;&gt;"/",VLOOKUP(R201,COST_Skeleton_Trap[#All],2),"/")</f>
        <v>/</v>
      </c>
      <c r="T201" s="638" t="str">
        <f>IF(R201&lt;&gt;"/",VLOOKUP(R201,COST_Skeleton_Trap[#All],3),"/")</f>
        <v>/</v>
      </c>
      <c r="U201" s="650">
        <f>IF(T$198="Error","Error",IF(S201&lt;&gt;"/",Q201*S201,0))</f>
        <v>0</v>
      </c>
      <c r="V201" s="649">
        <f>IF(T$198="Error","Error",IF(T201&lt;&gt;"/",Q201*T201,0))</f>
        <v>0</v>
      </c>
    </row>
    <row r="202" spans="1:51" s="637" customFormat="1" ht="15" customHeight="1" thickBot="1" x14ac:dyDescent="0.3">
      <c r="A202" s="636">
        <v>3</v>
      </c>
      <c r="B202" s="634" t="str">
        <f>IF(Paramètres!Z8=0,"",Paramètres!Z8)</f>
        <v/>
      </c>
      <c r="C202" s="635">
        <f>IF(C201&lt;&gt;0,C201+IF(AND(B201&lt;&gt;"",A201&lt;E$198),B201,0),IF(AND(B201&lt;&gt;"",A201&lt;E$198),B201,0))</f>
        <v>0</v>
      </c>
      <c r="D202" s="630"/>
      <c r="E202" s="631"/>
      <c r="F202" s="647" t="str">
        <f>IF(G202&lt;&gt;"/",IF($I$198="Error","Error",$J$198+C202),"/")</f>
        <v>/</v>
      </c>
      <c r="G202" s="648" t="str">
        <f>IF(I$198="Error","Error",IF(AND($E$198&lt;&gt;"/",$E$198&gt;'Paramètres - Admin'!$A4),'Paramètres - Admin'!$A5,"/"))</f>
        <v>/</v>
      </c>
      <c r="H202" s="622" t="str">
        <f>IF(G202&lt;&gt;"/",VLOOKUP(G202,COSTS_Giant_Bomb[#All],2),"/")</f>
        <v>/</v>
      </c>
      <c r="I202" s="638" t="str">
        <f>IF(G202&lt;&gt;"/",VLOOKUP(G202,COSTS_Giant_Bomb[#All],3),"/")</f>
        <v>/</v>
      </c>
      <c r="J202" s="650">
        <f>IF(I$198="Error","Error",IF(H202&lt;&gt;"/",F202*H202,0))</f>
        <v>0</v>
      </c>
      <c r="K202" s="649">
        <f>IF(I$198="Error","Error",IF(I202&lt;&gt;"/",F202*I202,0))</f>
        <v>0</v>
      </c>
      <c r="L202" s="636">
        <v>3</v>
      </c>
      <c r="M202" s="634" t="str">
        <f>IF(Paramètres!AC8=0,"",Paramètres!AC8)</f>
        <v/>
      </c>
      <c r="N202" s="635">
        <f>IF(N201&lt;&gt;0,N201+IF(AND(M201&lt;&gt;"",L201&lt;P$198),M201,0),IF(AND(M201&lt;&gt;"",L201&lt;P$198),M201,0))</f>
        <v>0</v>
      </c>
      <c r="O202" s="630"/>
      <c r="P202" s="631"/>
      <c r="Q202" s="647" t="str">
        <f>IF(R202&lt;&gt;"/",IF($T$198="Error","Error",$U$198+N202),"/")</f>
        <v>/</v>
      </c>
      <c r="R202" s="648" t="str">
        <f>IF(T$198="Error","Error",IF(AND($P$198&lt;&gt;"/",$P$198&gt;'Paramètres - Admin'!$A4),'Paramètres - Admin'!$A5,"/"))</f>
        <v>/</v>
      </c>
      <c r="S202" s="622" t="str">
        <f>IF(R202&lt;&gt;"/",VLOOKUP(R202,COST_Skeleton_Trap[#All],2),"/")</f>
        <v>/</v>
      </c>
      <c r="T202" s="638" t="str">
        <f>IF(R202&lt;&gt;"/",VLOOKUP(R202,COST_Skeleton_Trap[#All],3),"/")</f>
        <v>/</v>
      </c>
      <c r="U202" s="650">
        <f>IF(T$198="Error","Error",IF(S202&lt;&gt;"/",Q202*S202,0))</f>
        <v>0</v>
      </c>
      <c r="V202" s="649">
        <f>IF(T$198="Error","Error",IF(T202&lt;&gt;"/",Q202*T202,0))</f>
        <v>0</v>
      </c>
    </row>
    <row r="203" spans="1:51" s="637" customFormat="1" ht="15" customHeight="1" thickBot="1" x14ac:dyDescent="0.3">
      <c r="A203" s="636">
        <v>4</v>
      </c>
      <c r="B203" s="634" t="str">
        <f>IF(Paramètres!Z9=0,"",Paramètres!Z9)</f>
        <v/>
      </c>
      <c r="C203" s="635">
        <f>IF(C202&lt;&gt;0,C202+IF(AND(B202&lt;&gt;"",A202&lt;E$198),B202,0),IF(AND(B202&lt;&gt;"",A202&lt;E$198),B202,0))</f>
        <v>0</v>
      </c>
      <c r="D203" s="630"/>
      <c r="E203" s="631"/>
      <c r="F203" s="647" t="str">
        <f>IF(G203&lt;&gt;"/",IF($I$198="Error","Error",$J$198+C203),"/")</f>
        <v>/</v>
      </c>
      <c r="G203" s="648" t="str">
        <f>IF(I$198="Error","Error",IF(AND($E$198&lt;&gt;"/",$E$198&gt;'Paramètres - Admin'!$A5),'Paramètres - Admin'!$A6,"/"))</f>
        <v>/</v>
      </c>
      <c r="H203" s="622" t="str">
        <f>IF(G203&lt;&gt;"/",VLOOKUP(G203,COSTS_Giant_Bomb[#All],2),"/")</f>
        <v>/</v>
      </c>
      <c r="I203" s="638" t="str">
        <f>IF(G203&lt;&gt;"/",VLOOKUP(G203,COSTS_Giant_Bomb[#All],3),"/")</f>
        <v>/</v>
      </c>
      <c r="J203" s="650">
        <f>IF(I$198="Error","Error",IF(H203&lt;&gt;"/",F203*H203,0))</f>
        <v>0</v>
      </c>
      <c r="K203" s="649">
        <f>IF(I$198="Error","Error",IF(I203&lt;&gt;"/",F203*I203,0))</f>
        <v>0</v>
      </c>
      <c r="L203" s="1106"/>
      <c r="M203" s="1148"/>
      <c r="N203" s="1148"/>
      <c r="O203" s="1148"/>
      <c r="P203" s="1148"/>
      <c r="Q203" s="1148"/>
      <c r="R203" s="1148"/>
      <c r="S203" s="1149"/>
      <c r="T203" s="329" t="s">
        <v>31</v>
      </c>
      <c r="U203" s="113">
        <f>IF(T$198="Error","Error",SUM(U200:U202))</f>
        <v>0</v>
      </c>
      <c r="V203" s="727">
        <f>IF(T$198="Error","Error",SUM(V200:V202))</f>
        <v>0</v>
      </c>
    </row>
    <row r="204" spans="1:51" s="637" customFormat="1" ht="15" customHeight="1" thickBot="1" x14ac:dyDescent="0.3">
      <c r="A204" s="1106"/>
      <c r="B204" s="1148"/>
      <c r="C204" s="1148"/>
      <c r="D204" s="1148"/>
      <c r="E204" s="1148"/>
      <c r="F204" s="1148"/>
      <c r="G204" s="1148"/>
      <c r="H204" s="1149"/>
      <c r="I204" s="329" t="s">
        <v>31</v>
      </c>
      <c r="J204" s="113">
        <f>IF(I$198="Error","Error",SUM(J200:J203))</f>
        <v>0</v>
      </c>
      <c r="K204" s="727">
        <f>IF(I$198="Error","Error",SUM(K200:K203))</f>
        <v>0</v>
      </c>
      <c r="L204" s="152"/>
      <c r="M204" s="152"/>
      <c r="N204" s="152"/>
      <c r="O204" s="152"/>
      <c r="P204" s="152"/>
      <c r="Q204" s="152"/>
      <c r="R204" s="152"/>
      <c r="S204" s="152"/>
      <c r="T204" s="152"/>
      <c r="U204" s="152"/>
      <c r="V204" s="152"/>
    </row>
    <row r="205" spans="1:51" s="637" customFormat="1" ht="15" customHeight="1" x14ac:dyDescent="0.25">
      <c r="AO205" s="152"/>
      <c r="AP205" s="152"/>
      <c r="AQ205" s="152"/>
      <c r="AR205" s="152"/>
      <c r="AS205" s="152"/>
      <c r="AT205" s="152"/>
      <c r="AU205" s="152"/>
      <c r="AV205" s="152"/>
      <c r="AW205" s="152"/>
      <c r="AX205" s="152"/>
      <c r="AY205" s="152"/>
    </row>
    <row r="206" spans="1:51" s="637" customFormat="1" ht="15" customHeight="1" thickBot="1" x14ac:dyDescent="0.3">
      <c r="AO206" s="152"/>
      <c r="AP206" s="152"/>
      <c r="AQ206" s="152"/>
      <c r="AR206" s="152"/>
      <c r="AS206" s="152"/>
      <c r="AT206" s="152"/>
      <c r="AU206" s="152"/>
      <c r="AV206" s="152"/>
      <c r="AW206" s="152"/>
      <c r="AX206" s="152"/>
      <c r="AY206" s="152"/>
    </row>
    <row r="207" spans="1:51" ht="20.100000000000001" customHeight="1" thickBot="1" x14ac:dyDescent="0.3">
      <c r="A207" s="1094" t="s">
        <v>226</v>
      </c>
      <c r="B207" s="1095"/>
      <c r="C207" s="1095"/>
      <c r="D207" s="1095"/>
      <c r="E207" s="1095"/>
      <c r="F207" s="1095"/>
      <c r="G207" s="1095"/>
      <c r="H207" s="1095"/>
      <c r="I207" s="1095"/>
      <c r="J207" s="1095"/>
      <c r="K207" s="1095"/>
      <c r="L207" s="1095"/>
      <c r="M207" s="1095"/>
      <c r="N207" s="1095"/>
      <c r="O207" s="1095"/>
      <c r="P207" s="1095"/>
      <c r="Q207" s="1095"/>
      <c r="R207" s="1095"/>
      <c r="S207" s="1095"/>
      <c r="T207" s="1095"/>
      <c r="U207" s="1095"/>
      <c r="V207" s="1096"/>
    </row>
    <row r="208" spans="1:51" ht="15" customHeight="1" thickBot="1" x14ac:dyDescent="0.3">
      <c r="A208" s="1156" t="s">
        <v>247</v>
      </c>
      <c r="B208" s="1157"/>
      <c r="C208" s="1157"/>
      <c r="D208" s="1157"/>
      <c r="E208" s="1157"/>
      <c r="F208" s="1157"/>
      <c r="G208" s="1157"/>
      <c r="H208" s="1157"/>
      <c r="I208" s="1157"/>
      <c r="J208" s="1157"/>
      <c r="K208" s="1157"/>
      <c r="L208" s="1157"/>
      <c r="M208" s="1157"/>
      <c r="N208" s="1157"/>
      <c r="O208" s="1157"/>
      <c r="P208" s="1157"/>
      <c r="Q208" s="1157"/>
      <c r="R208" s="1157"/>
      <c r="S208" s="1157"/>
      <c r="T208" s="1157"/>
      <c r="U208" s="1157"/>
      <c r="V208" s="1158"/>
    </row>
    <row r="209" spans="1:22" ht="15" customHeight="1" x14ac:dyDescent="0.25">
      <c r="A209" s="1100" t="s">
        <v>190</v>
      </c>
      <c r="B209" s="1101"/>
      <c r="C209" s="1102"/>
      <c r="D209" s="85" t="s">
        <v>38</v>
      </c>
      <c r="E209" s="86" t="s">
        <v>39</v>
      </c>
      <c r="F209" s="87"/>
      <c r="G209" s="88"/>
      <c r="H209" s="89"/>
      <c r="I209" s="615" t="s">
        <v>256</v>
      </c>
      <c r="J209" s="619" t="s">
        <v>362</v>
      </c>
      <c r="K209" s="616" t="s">
        <v>257</v>
      </c>
      <c r="L209" s="1100" t="s">
        <v>193</v>
      </c>
      <c r="M209" s="1101"/>
      <c r="N209" s="1102"/>
      <c r="O209" s="85" t="s">
        <v>38</v>
      </c>
      <c r="P209" s="86" t="s">
        <v>39</v>
      </c>
      <c r="Q209" s="87"/>
      <c r="R209" s="88"/>
      <c r="S209" s="89"/>
      <c r="T209" s="615" t="s">
        <v>256</v>
      </c>
      <c r="U209" s="619" t="s">
        <v>362</v>
      </c>
      <c r="V209" s="616" t="s">
        <v>257</v>
      </c>
    </row>
    <row r="210" spans="1:22" ht="15" customHeight="1" thickBot="1" x14ac:dyDescent="0.3">
      <c r="A210" s="1103"/>
      <c r="B210" s="1104"/>
      <c r="C210" s="1105"/>
      <c r="D210" s="95">
        <f>VLOOKUP($A$2,AVAILABLE_Upgrades_Spells[#All],MATCH(A209,AVAILABLE_Upgrades_Spells[#Headers],0))</f>
        <v>0</v>
      </c>
      <c r="E210" s="96">
        <f>VLOOKUP(IF(ISERROR(LOOKUP(MATCH(1,Paramètres!$K$6:$K$45,0),Paramètres!$A$6:$A$45)),0,LOOKUP(MATCH(1,Paramètres!$K$6:$K$45,0),Paramètres!$A$6:$A$45)),AVAILABLE_Upgrades_Spells[#All],MATCH(A209,AVAILABLE_Upgrades_Spells[#Headers],0)+1)</f>
        <v>0</v>
      </c>
      <c r="F210" s="230"/>
      <c r="G210" s="231"/>
      <c r="H210" s="232"/>
      <c r="I210" s="104">
        <f>IF(SUM(B212:B217)&gt;D210,"Error",SUM(B212:B217))</f>
        <v>0</v>
      </c>
      <c r="J210" s="105">
        <f>IF(I$210="Error","Error",D210-I210)</f>
        <v>0</v>
      </c>
      <c r="K210" s="233">
        <f>IF(I$210="Error","Error",SUM(F212:F217))</f>
        <v>0</v>
      </c>
      <c r="L210" s="1103"/>
      <c r="M210" s="1104"/>
      <c r="N210" s="1105"/>
      <c r="O210" s="95">
        <f>VLOOKUP($A$2,AVAILABLE_Upgrades_Spells[#All],MATCH(L209,AVAILABLE_Upgrades_Spells[#Headers],0))</f>
        <v>0</v>
      </c>
      <c r="P210" s="621">
        <f>VLOOKUP(IF(ISERROR(LOOKUP(MATCH(1,Paramètres!$K$6:$K$45,0),Paramètres!$A$6:$A$45)),0,LOOKUP(MATCH(1,Paramètres!$K$6:$K$45,0),Paramètres!$A$6:$A$45)),AVAILABLE_Upgrades_Spells[#All],MATCH(L209,AVAILABLE_Upgrades_Spells[#Headers],0)+1)</f>
        <v>0</v>
      </c>
      <c r="Q210" s="230"/>
      <c r="R210" s="231"/>
      <c r="S210" s="232"/>
      <c r="T210" s="104">
        <f>IF(SUM(M212:M214)&gt;O210,"Error",SUM(M212:M214))</f>
        <v>0</v>
      </c>
      <c r="U210" s="105">
        <f>IF(T$210="Error","Error",O210-T210)</f>
        <v>0</v>
      </c>
      <c r="V210" s="233">
        <f>IF(T$210="Error","Error",SUM(Q212:Q214))</f>
        <v>0</v>
      </c>
    </row>
    <row r="211" spans="1:22" ht="15" customHeight="1" thickBot="1" x14ac:dyDescent="0.3">
      <c r="A211" s="107" t="s">
        <v>30</v>
      </c>
      <c r="B211" s="144" t="s">
        <v>29</v>
      </c>
      <c r="C211" s="109"/>
      <c r="D211" s="257"/>
      <c r="E211" s="258"/>
      <c r="F211" s="262" t="s">
        <v>29</v>
      </c>
      <c r="G211" s="263" t="s">
        <v>30</v>
      </c>
      <c r="H211" s="653" t="s">
        <v>258</v>
      </c>
      <c r="I211" s="653" t="s">
        <v>259</v>
      </c>
      <c r="J211" s="653" t="s">
        <v>232</v>
      </c>
      <c r="K211" s="654" t="s">
        <v>233</v>
      </c>
      <c r="L211" s="625" t="s">
        <v>30</v>
      </c>
      <c r="M211" s="394" t="s">
        <v>29</v>
      </c>
      <c r="N211" s="720"/>
      <c r="O211" s="694"/>
      <c r="P211" s="695"/>
      <c r="Q211" s="546" t="s">
        <v>29</v>
      </c>
      <c r="R211" s="547" t="s">
        <v>30</v>
      </c>
      <c r="S211" s="272" t="s">
        <v>258</v>
      </c>
      <c r="T211" s="272" t="s">
        <v>259</v>
      </c>
      <c r="U211" s="272" t="s">
        <v>232</v>
      </c>
      <c r="V211" s="273" t="s">
        <v>233</v>
      </c>
    </row>
    <row r="212" spans="1:22" ht="15" customHeight="1" thickBot="1" x14ac:dyDescent="0.3">
      <c r="A212" s="145">
        <v>1</v>
      </c>
      <c r="B212" s="146" t="str">
        <f>IF(Paramètres!AG6=0,"",Paramètres!AG6)</f>
        <v/>
      </c>
      <c r="C212" s="147">
        <f>IF(C211&lt;&gt;0,C211+IF(AND(B211&lt;&gt;"",A211&lt;E$210),B211,0),IF(AND(B211&lt;&gt;"",A211&lt;E$210),B211,0))</f>
        <v>0</v>
      </c>
      <c r="D212" s="117"/>
      <c r="E212" s="118"/>
      <c r="F212" s="259" t="str">
        <f t="shared" ref="F212:F217" si="86">IF(G212&lt;&gt;"/",IF(I$210="Error","Error",$J$210+C212),"/")</f>
        <v>/</v>
      </c>
      <c r="G212" s="260" t="str">
        <f>IF(I$210="Error","Error",IF(AND($E$210&lt;&gt;"/",$E$210&gt;'Paramètres - Admin'!$A2),'Paramètres - Admin'!$A3,"/"))</f>
        <v>/</v>
      </c>
      <c r="H212" s="449" t="str">
        <f>IF(G212&lt;&gt;"/",VLOOKUP(G212,COSTS_Spell_Lightning[#All],2),"/")</f>
        <v>/</v>
      </c>
      <c r="I212" s="181" t="str">
        <f>IF(G212&lt;&gt;"/",VLOOKUP(G212,COSTS_Spell_Lightning[#All],3),"/")</f>
        <v>/</v>
      </c>
      <c r="J212" s="449">
        <f t="shared" ref="J212:J217" si="87">IF(I$210="Error","Error",IF(H212&lt;&gt;"/",F212*H212,0))</f>
        <v>0</v>
      </c>
      <c r="K212" s="261">
        <f t="shared" ref="K212:K217" si="88">IF(I$210="Error","Error",IF(I212&lt;&gt;"/",F212*I212,0))</f>
        <v>0</v>
      </c>
      <c r="L212" s="122">
        <v>1</v>
      </c>
      <c r="M212" s="116" t="str">
        <f>IF(Paramètres!AJ6=0,"",Paramètres!AJ6)</f>
        <v/>
      </c>
      <c r="N212" s="711">
        <f>IF(N211&lt;&gt;0,N211+IF(AND(M211&lt;&gt;"",L211&lt;P$210),M211,0),IF(AND(M211&lt;&gt;"",L211&lt;P$210),M211,0))</f>
        <v>0</v>
      </c>
      <c r="O212" s="707"/>
      <c r="P212" s="707"/>
      <c r="Q212" s="708" t="str">
        <f>IF(R212&lt;&gt;"/",IF(T$210="Error","Error",$U$210+N212),"/")</f>
        <v>/</v>
      </c>
      <c r="R212" s="548" t="str">
        <f>IF(T$210="Error","Error",IF(AND($P$210&lt;&gt;"/",$P$210&gt;'Paramètres - Admin'!$A2),'Paramètres - Admin'!$A3,"/"))</f>
        <v>/</v>
      </c>
      <c r="S212" s="440" t="str">
        <f>IF(R212&lt;&gt;"/",VLOOKUP(R212,COSTS_Spell_Jump[#All],2),"/")</f>
        <v>/</v>
      </c>
      <c r="T212" s="549" t="str">
        <f>IF(R212&lt;&gt;"/",VLOOKUP(R212,COSTS_Spell_Jump[#All],3),"/")</f>
        <v>/</v>
      </c>
      <c r="U212" s="440">
        <f>IF(T$210="Error","Error",IF(S212&lt;&gt;"/",Q212*S212,0))</f>
        <v>0</v>
      </c>
      <c r="V212" s="550">
        <f>IF(T$210="Error","Error",IF(T212&lt;&gt;"/",Q212*T212,0))</f>
        <v>0</v>
      </c>
    </row>
    <row r="213" spans="1:22" ht="15" customHeight="1" thickBot="1" x14ac:dyDescent="0.3">
      <c r="A213" s="148">
        <v>2</v>
      </c>
      <c r="B213" s="634" t="str">
        <f>IF(Paramètres!AG7=0,"",Paramètres!AG7)</f>
        <v/>
      </c>
      <c r="C213" s="635">
        <f t="shared" ref="C213:C217" si="89">IF(C212&lt;&gt;0,C212+IF(AND(B212&lt;&gt;"",A212&lt;E$210),B212,0),IF(AND(B212&lt;&gt;"",A212&lt;E$210),B212,0))</f>
        <v>0</v>
      </c>
      <c r="D213" s="627"/>
      <c r="E213" s="628"/>
      <c r="F213" s="647" t="str">
        <f t="shared" si="86"/>
        <v>/</v>
      </c>
      <c r="G213" s="648" t="str">
        <f>IF(I$210="Error","Error",IF(AND($E$210&lt;&gt;"/",$E$210&gt;'Paramètres - Admin'!$A3),'Paramètres - Admin'!$A4,"/"))</f>
        <v>/</v>
      </c>
      <c r="H213" s="449" t="str">
        <f>IF(G213&lt;&gt;"/",VLOOKUP(G213,COSTS_Spell_Lightning[#All],2),"/")</f>
        <v>/</v>
      </c>
      <c r="I213" s="638" t="str">
        <f>IF(G213&lt;&gt;"/",VLOOKUP(G213,COSTS_Spell_Lightning[#All],3),"/")</f>
        <v>/</v>
      </c>
      <c r="J213" s="449">
        <f t="shared" si="87"/>
        <v>0</v>
      </c>
      <c r="K213" s="649">
        <f t="shared" si="88"/>
        <v>0</v>
      </c>
      <c r="L213" s="705">
        <v>2</v>
      </c>
      <c r="M213" s="123" t="str">
        <f>IF(Paramètres!AJ7=0,"",Paramètres!AJ7)</f>
        <v/>
      </c>
      <c r="N213" s="711">
        <f t="shared" ref="N213:N214" si="90">IF(N212&lt;&gt;0,N212+IF(AND(M212&lt;&gt;"",L212&lt;P$210),M212,0),IF(AND(M212&lt;&gt;"",L212&lt;P$210),M212,0))</f>
        <v>0</v>
      </c>
      <c r="O213" s="630"/>
      <c r="P213" s="630"/>
      <c r="Q213" s="709" t="str">
        <f>IF(R213&lt;&gt;"/",IF(T$210="Error","Error",$U$210+N213),"/")</f>
        <v>/</v>
      </c>
      <c r="R213" s="120" t="str">
        <f>IF(T$210="Error","Error",IF(AND($P$210&lt;&gt;"/",$P$210&gt;'Paramètres - Admin'!$A3),'Paramètres - Admin'!$A4,"/"))</f>
        <v>/</v>
      </c>
      <c r="S213" s="441" t="str">
        <f>IF(R213&lt;&gt;"/",VLOOKUP(R213,COSTS_Spell_Jump[#All],2),"/")</f>
        <v>/</v>
      </c>
      <c r="T213" s="101" t="str">
        <f>IF(R213&lt;&gt;"/",VLOOKUP(R213,COSTS_Spell_Jump[#All],3),"/")</f>
        <v>/</v>
      </c>
      <c r="U213" s="441">
        <f>IF(T$210="Error","Error",IF(S213&lt;&gt;"/",Q213*S213,0))</f>
        <v>0</v>
      </c>
      <c r="V213" s="629">
        <f>IF(T$210="Error","Error",IF(T213&lt;&gt;"/",Q213*T213,0))</f>
        <v>0</v>
      </c>
    </row>
    <row r="214" spans="1:22" ht="15" customHeight="1" thickBot="1" x14ac:dyDescent="0.3">
      <c r="A214" s="148">
        <v>3</v>
      </c>
      <c r="B214" s="634" t="str">
        <f>IF(Paramètres!AG8=0,"",Paramètres!AG8)</f>
        <v/>
      </c>
      <c r="C214" s="635">
        <f t="shared" si="89"/>
        <v>0</v>
      </c>
      <c r="D214" s="627"/>
      <c r="E214" s="628"/>
      <c r="F214" s="647" t="str">
        <f t="shared" si="86"/>
        <v>/</v>
      </c>
      <c r="G214" s="648" t="str">
        <f>IF(I$210="Error","Error",IF(AND($E$210&lt;&gt;"/",$E$210&gt;'Paramètres - Admin'!$A4),'Paramètres - Admin'!$A5,"/"))</f>
        <v>/</v>
      </c>
      <c r="H214" s="449" t="str">
        <f>IF(G214&lt;&gt;"/",VLOOKUP(G214,COSTS_Spell_Lightning[#All],2),"/")</f>
        <v>/</v>
      </c>
      <c r="I214" s="638" t="str">
        <f>IF(G214&lt;&gt;"/",VLOOKUP(G214,COSTS_Spell_Lightning[#All],3),"/")</f>
        <v>/</v>
      </c>
      <c r="J214" s="449">
        <f t="shared" si="87"/>
        <v>0</v>
      </c>
      <c r="K214" s="649">
        <f t="shared" si="88"/>
        <v>0</v>
      </c>
      <c r="L214" s="706">
        <v>3</v>
      </c>
      <c r="M214" s="128" t="str">
        <f>IF(Paramètres!AJ8=0,"",Paramètres!AJ8)</f>
        <v/>
      </c>
      <c r="N214" s="711">
        <f t="shared" si="90"/>
        <v>0</v>
      </c>
      <c r="O214" s="129"/>
      <c r="P214" s="129"/>
      <c r="Q214" s="710" t="str">
        <f>IF(R214&lt;&gt;"/",IF(T$210="Error","Error",$U$210+N214),"/")</f>
        <v>/</v>
      </c>
      <c r="R214" s="130" t="str">
        <f>IF(T$210="Error","Error",IF(AND($P$210&lt;&gt;"/",$P$210&gt;'Paramètres - Admin'!$A4),'Paramètres - Admin'!$A5,"/"))</f>
        <v>/</v>
      </c>
      <c r="S214" s="442" t="str">
        <f>IF(R214&lt;&gt;"/",VLOOKUP(R214,COSTS_Spell_Jump[#All],2),"/")</f>
        <v>/</v>
      </c>
      <c r="T214" s="127" t="str">
        <f>IF(R214&lt;&gt;"/",VLOOKUP(R214,COSTS_Spell_Jump[#All],3),"/")</f>
        <v>/</v>
      </c>
      <c r="U214" s="442">
        <f>IF(T$210="Error","Error",IF(S214&lt;&gt;"/",Q214*S214,0))</f>
        <v>0</v>
      </c>
      <c r="V214" s="131">
        <f>IF(T$210="Error","Error",IF(T214&lt;&gt;"/",Q214*T214,0))</f>
        <v>0</v>
      </c>
    </row>
    <row r="215" spans="1:22" ht="15" customHeight="1" thickBot="1" x14ac:dyDescent="0.3">
      <c r="A215" s="148">
        <v>4</v>
      </c>
      <c r="B215" s="634" t="str">
        <f>IF(Paramètres!AG9=0,"",Paramètres!AG9)</f>
        <v/>
      </c>
      <c r="C215" s="635">
        <f t="shared" si="89"/>
        <v>0</v>
      </c>
      <c r="D215" s="627"/>
      <c r="E215" s="628"/>
      <c r="F215" s="647" t="str">
        <f t="shared" si="86"/>
        <v>/</v>
      </c>
      <c r="G215" s="648" t="str">
        <f>IF(I$210="Error","Error",IF(AND($E$210&lt;&gt;"/",$E$210&gt;'Paramètres - Admin'!$A5),'Paramètres - Admin'!$A6,"/"))</f>
        <v>/</v>
      </c>
      <c r="H215" s="449" t="str">
        <f>IF(G215&lt;&gt;"/",VLOOKUP(G215,COSTS_Spell_Lightning[#All],2),"/")</f>
        <v>/</v>
      </c>
      <c r="I215" s="638" t="str">
        <f>IF(G215&lt;&gt;"/",VLOOKUP(G215,COSTS_Spell_Lightning[#All],3),"/")</f>
        <v>/</v>
      </c>
      <c r="J215" s="449">
        <f t="shared" si="87"/>
        <v>0</v>
      </c>
      <c r="K215" s="649">
        <f t="shared" si="88"/>
        <v>0</v>
      </c>
      <c r="L215" s="1106"/>
      <c r="M215" s="1107"/>
      <c r="N215" s="1107"/>
      <c r="O215" s="1107"/>
      <c r="P215" s="1107"/>
      <c r="Q215" s="1107"/>
      <c r="R215" s="1107"/>
      <c r="S215" s="1108"/>
      <c r="T215" s="614" t="s">
        <v>31</v>
      </c>
      <c r="U215" s="443">
        <f>IF(T$210="Error","Error",SUM(U212:U214))</f>
        <v>0</v>
      </c>
      <c r="V215" s="655">
        <f>IF(T$210="Error","Error",SUM(V212:V214))</f>
        <v>0</v>
      </c>
    </row>
    <row r="216" spans="1:22" ht="15" customHeight="1" x14ac:dyDescent="0.25">
      <c r="A216" s="148">
        <v>5</v>
      </c>
      <c r="B216" s="634" t="str">
        <f>IF(Paramètres!AG10=0,"",Paramètres!AG10)</f>
        <v/>
      </c>
      <c r="C216" s="635">
        <f t="shared" si="89"/>
        <v>0</v>
      </c>
      <c r="D216" s="627"/>
      <c r="E216" s="628"/>
      <c r="F216" s="647" t="str">
        <f t="shared" si="86"/>
        <v>/</v>
      </c>
      <c r="G216" s="648" t="str">
        <f>IF(I$210="Error","Error",IF(AND($E$210&lt;&gt;"/",$E$210&gt;'Paramètres - Admin'!$A6),'Paramètres - Admin'!$A7,"/"))</f>
        <v>/</v>
      </c>
      <c r="H216" s="449" t="str">
        <f>IF(G216&lt;&gt;"/",VLOOKUP(G216,COSTS_Spell_Lightning[#All],2),"/")</f>
        <v>/</v>
      </c>
      <c r="I216" s="638" t="str">
        <f>IF(G216&lt;&gt;"/",VLOOKUP(G216,COSTS_Spell_Lightning[#All],3),"/")</f>
        <v>/</v>
      </c>
      <c r="J216" s="449">
        <f t="shared" si="87"/>
        <v>0</v>
      </c>
      <c r="K216" s="649">
        <f t="shared" si="88"/>
        <v>0</v>
      </c>
      <c r="L216" s="1100" t="s">
        <v>194</v>
      </c>
      <c r="M216" s="1101"/>
      <c r="N216" s="1102"/>
      <c r="O216" s="85" t="s">
        <v>38</v>
      </c>
      <c r="P216" s="86" t="s">
        <v>39</v>
      </c>
      <c r="Q216" s="87"/>
      <c r="R216" s="88"/>
      <c r="S216" s="89"/>
      <c r="T216" s="615" t="s">
        <v>256</v>
      </c>
      <c r="U216" s="619" t="s">
        <v>362</v>
      </c>
      <c r="V216" s="616" t="s">
        <v>257</v>
      </c>
    </row>
    <row r="217" spans="1:22" ht="15" customHeight="1" thickBot="1" x14ac:dyDescent="0.3">
      <c r="A217" s="148">
        <v>6</v>
      </c>
      <c r="B217" s="634" t="str">
        <f>IF(Paramètres!AG11=0,"",Paramètres!AG11)</f>
        <v/>
      </c>
      <c r="C217" s="635">
        <f t="shared" si="89"/>
        <v>0</v>
      </c>
      <c r="D217" s="627"/>
      <c r="E217" s="628"/>
      <c r="F217" s="647" t="str">
        <f t="shared" si="86"/>
        <v>/</v>
      </c>
      <c r="G217" s="648" t="str">
        <f>IF(I$210="Error","Error",IF(AND($E$210&lt;&gt;"/",$E$210&gt;'Paramètres - Admin'!$A7),'Paramètres - Admin'!$A8,"/"))</f>
        <v>/</v>
      </c>
      <c r="H217" s="449" t="str">
        <f>IF(G217&lt;&gt;"/",VLOOKUP(G217,COSTS_Spell_Lightning[#All],2),"/")</f>
        <v>/</v>
      </c>
      <c r="I217" s="724" t="str">
        <f>IF(G217&lt;&gt;"/",VLOOKUP(G217,COSTS_Spell_Lightning[#All],3),"/")</f>
        <v>/</v>
      </c>
      <c r="J217" s="725">
        <f t="shared" si="87"/>
        <v>0</v>
      </c>
      <c r="K217" s="726">
        <f t="shared" si="88"/>
        <v>0</v>
      </c>
      <c r="L217" s="1103"/>
      <c r="M217" s="1104"/>
      <c r="N217" s="1105"/>
      <c r="O217" s="95">
        <f>VLOOKUP($A$2,AVAILABLE_Upgrades_Spells[#All],MATCH(L216,AVAILABLE_Upgrades_Spells[#Headers],0))</f>
        <v>0</v>
      </c>
      <c r="P217" s="621">
        <f>VLOOKUP(IF(ISERROR(LOOKUP(MATCH(1,Paramètres!$K$6:$K$45,0),Paramètres!$A$6:$A$45)),0,LOOKUP(MATCH(1,Paramètres!$K$6:$K$45,0),Paramètres!$A$6:$A$45)),AVAILABLE_Upgrades_Spells[#All],MATCH(L216,AVAILABLE_Upgrades_Spells[#Headers],0)+1)</f>
        <v>0</v>
      </c>
      <c r="Q217" s="230"/>
      <c r="R217" s="231"/>
      <c r="S217" s="232"/>
      <c r="T217" s="104">
        <f>IF(SUM(M219:M223)&gt;O217,"Error",SUM(M219:M223))</f>
        <v>0</v>
      </c>
      <c r="U217" s="105">
        <f>IF(T$217="Error","Error",O217-T217)</f>
        <v>0</v>
      </c>
      <c r="V217" s="233">
        <f>IF(T$217="Error","Error",SUM(Q219:Q223))</f>
        <v>0</v>
      </c>
    </row>
    <row r="218" spans="1:22" ht="15" customHeight="1" thickBot="1" x14ac:dyDescent="0.3">
      <c r="A218" s="594"/>
      <c r="B218" s="595"/>
      <c r="C218" s="595"/>
      <c r="D218" s="595"/>
      <c r="E218" s="595"/>
      <c r="F218" s="595"/>
      <c r="G218" s="595"/>
      <c r="H218" s="596"/>
      <c r="I218" s="329" t="s">
        <v>31</v>
      </c>
      <c r="J218" s="452">
        <f>IF(I$210="Error","Error",SUM(J212:J217))</f>
        <v>0</v>
      </c>
      <c r="K218" s="727">
        <f>IF(I$210="Error","Error",SUM(K212:K217))</f>
        <v>0</v>
      </c>
      <c r="L218" s="235" t="s">
        <v>30</v>
      </c>
      <c r="M218" s="144" t="s">
        <v>29</v>
      </c>
      <c r="N218" s="109"/>
      <c r="O218" s="257"/>
      <c r="P218" s="258"/>
      <c r="Q218" s="262" t="s">
        <v>29</v>
      </c>
      <c r="R218" s="263" t="s">
        <v>30</v>
      </c>
      <c r="S218" s="653" t="s">
        <v>258</v>
      </c>
      <c r="T218" s="653" t="s">
        <v>259</v>
      </c>
      <c r="U218" s="653" t="s">
        <v>232</v>
      </c>
      <c r="V218" s="654" t="s">
        <v>233</v>
      </c>
    </row>
    <row r="219" spans="1:22" ht="15" customHeight="1" x14ac:dyDescent="0.25">
      <c r="A219" s="1100" t="s">
        <v>191</v>
      </c>
      <c r="B219" s="1101"/>
      <c r="C219" s="1102"/>
      <c r="D219" s="85" t="s">
        <v>38</v>
      </c>
      <c r="E219" s="86" t="s">
        <v>39</v>
      </c>
      <c r="F219" s="87"/>
      <c r="G219" s="88"/>
      <c r="H219" s="89"/>
      <c r="I219" s="615" t="s">
        <v>256</v>
      </c>
      <c r="J219" s="619" t="s">
        <v>362</v>
      </c>
      <c r="K219" s="616" t="s">
        <v>257</v>
      </c>
      <c r="L219" s="145">
        <v>1</v>
      </c>
      <c r="M219" s="146" t="str">
        <f>IF(Paramètres!AK6=0,"",Paramètres!AK6)</f>
        <v/>
      </c>
      <c r="N219" s="147">
        <f>IF(N218&lt;&gt;0,N218+IF(AND(M218&lt;&gt;"",L218&lt;P$217),M218,0),IF(AND(M218&lt;&gt;"",L218&lt;P$217),M218,0))</f>
        <v>0</v>
      </c>
      <c r="O219" s="117"/>
      <c r="P219" s="118"/>
      <c r="Q219" s="259" t="str">
        <f>IF(R219&lt;&gt;"/",IF(T$217="Error","Error",$U$217+N219),"/")</f>
        <v>/</v>
      </c>
      <c r="R219" s="260" t="str">
        <f>IF(T$217="Error","Error",IF(AND($P$217&lt;&gt;"/",$P$217&gt;'Paramètres - Admin'!$A2),'Paramètres - Admin'!$A3,"/"))</f>
        <v>/</v>
      </c>
      <c r="S219" s="449" t="str">
        <f>IF(R219&lt;&gt;"/",VLOOKUP(R219,COSTS_Spell_Freeze[#All],2),"/")</f>
        <v>/</v>
      </c>
      <c r="T219" s="181" t="str">
        <f>IF(R219&lt;&gt;"/",VLOOKUP(R219,COSTS_Spell_Freeze[#All],3),"/")</f>
        <v>/</v>
      </c>
      <c r="U219" s="449">
        <f>IF(T$217="Error","Error",IF(S219&lt;&gt;"/",Q219*S219,0))</f>
        <v>0</v>
      </c>
      <c r="V219" s="261">
        <f>IF(T$217="Error","Error",IF(T219&lt;&gt;"/",Q219*T219,0))</f>
        <v>0</v>
      </c>
    </row>
    <row r="220" spans="1:22" ht="15" customHeight="1" thickBot="1" x14ac:dyDescent="0.3">
      <c r="A220" s="1103"/>
      <c r="B220" s="1104"/>
      <c r="C220" s="1105"/>
      <c r="D220" s="95">
        <f>VLOOKUP($A$2,AVAILABLE_Upgrades_Spells[#All],MATCH(A219,AVAILABLE_Upgrades_Spells[#Headers],0))</f>
        <v>0</v>
      </c>
      <c r="E220" s="621">
        <f>VLOOKUP(IF(ISERROR(LOOKUP(MATCH(1,Paramètres!$K$6:$K$45,0),Paramètres!$A$6:$A$45)),0,LOOKUP(MATCH(1,Paramètres!$K$6:$K$45,0),Paramètres!$A$6:$A$45)),AVAILABLE_Upgrades_Spells[#All],MATCH(A219,AVAILABLE_Upgrades_Spells[#Headers],0)+1)</f>
        <v>0</v>
      </c>
      <c r="F220" s="230"/>
      <c r="G220" s="231"/>
      <c r="H220" s="232"/>
      <c r="I220" s="104">
        <f>IF(SUM(B222:B227)&gt;D220,"Error",SUM(B222:B227))</f>
        <v>0</v>
      </c>
      <c r="J220" s="105">
        <f>IF(I$220="Error","Error",D220-I220)</f>
        <v>0</v>
      </c>
      <c r="K220" s="233">
        <f>IF(I$220="Error","Error",SUM(F222:F227))</f>
        <v>0</v>
      </c>
      <c r="L220" s="148">
        <v>2</v>
      </c>
      <c r="M220" s="634" t="str">
        <f>IF(Paramètres!AK7=0,"",Paramètres!AK7)</f>
        <v/>
      </c>
      <c r="N220" s="635">
        <f t="shared" ref="N220:N223" si="91">IF(N219&lt;&gt;0,N219+IF(AND(M219&lt;&gt;"",L219&lt;P$217),M219,0),IF(AND(M219&lt;&gt;"",L219&lt;P$217),M219,0))</f>
        <v>0</v>
      </c>
      <c r="O220" s="627"/>
      <c r="P220" s="628"/>
      <c r="Q220" s="647" t="str">
        <f>IF(R220&lt;&gt;"/",IF(T$217="Error","Error",$U$217+N220),"/")</f>
        <v>/</v>
      </c>
      <c r="R220" s="648" t="str">
        <f>IF(T$217="Error","Error",IF(AND($P$217&lt;&gt;"/",$P$217&gt;'Paramètres - Admin'!$A3),'Paramètres - Admin'!$A4,"/"))</f>
        <v>/</v>
      </c>
      <c r="S220" s="449" t="str">
        <f>IF(R220&lt;&gt;"/",VLOOKUP(R220,COSTS_Spell_Freeze[#All],2),"/")</f>
        <v>/</v>
      </c>
      <c r="T220" s="638" t="str">
        <f>IF(R220&lt;&gt;"/",VLOOKUP(R220,COSTS_Spell_Freeze[#All],3),"/")</f>
        <v>/</v>
      </c>
      <c r="U220" s="449">
        <f>IF(T$217="Error","Error",IF(S220&lt;&gt;"/",Q220*S220,0))</f>
        <v>0</v>
      </c>
      <c r="V220" s="649">
        <f>IF(T$217="Error","Error",IF(T220&lt;&gt;"/",Q220*T220,0))</f>
        <v>0</v>
      </c>
    </row>
    <row r="221" spans="1:22" ht="15" customHeight="1" thickBot="1" x14ac:dyDescent="0.3">
      <c r="A221" s="107" t="s">
        <v>30</v>
      </c>
      <c r="B221" s="144" t="s">
        <v>29</v>
      </c>
      <c r="C221" s="109"/>
      <c r="D221" s="257"/>
      <c r="E221" s="258"/>
      <c r="F221" s="262" t="s">
        <v>29</v>
      </c>
      <c r="G221" s="263" t="s">
        <v>30</v>
      </c>
      <c r="H221" s="653" t="s">
        <v>258</v>
      </c>
      <c r="I221" s="653" t="s">
        <v>259</v>
      </c>
      <c r="J221" s="653" t="s">
        <v>232</v>
      </c>
      <c r="K221" s="654" t="s">
        <v>233</v>
      </c>
      <c r="L221" s="148">
        <v>3</v>
      </c>
      <c r="M221" s="634" t="str">
        <f>IF(Paramètres!AK8=0,"",Paramètres!AK8)</f>
        <v/>
      </c>
      <c r="N221" s="635">
        <f t="shared" si="91"/>
        <v>0</v>
      </c>
      <c r="O221" s="627"/>
      <c r="P221" s="628"/>
      <c r="Q221" s="647" t="str">
        <f>IF(R221&lt;&gt;"/",IF(T$217="Error","Error",$U$217+N221),"/")</f>
        <v>/</v>
      </c>
      <c r="R221" s="648" t="str">
        <f>IF(T$217="Error","Error",IF(AND($P$217&lt;&gt;"/",$P$217&gt;'Paramètres - Admin'!$A4),'Paramètres - Admin'!$A5,"/"))</f>
        <v>/</v>
      </c>
      <c r="S221" s="449" t="str">
        <f>IF(R221&lt;&gt;"/",VLOOKUP(R221,COSTS_Spell_Freeze[#All],2),"/")</f>
        <v>/</v>
      </c>
      <c r="T221" s="638" t="str">
        <f>IF(R221&lt;&gt;"/",VLOOKUP(R221,COSTS_Spell_Freeze[#All],3),"/")</f>
        <v>/</v>
      </c>
      <c r="U221" s="449">
        <f>IF(T$217="Error","Error",IF(S221&lt;&gt;"/",Q221*S221,0))</f>
        <v>0</v>
      </c>
      <c r="V221" s="649">
        <f>IF(T$217="Error","Error",IF(T221&lt;&gt;"/",Q221*T221,0))</f>
        <v>0</v>
      </c>
    </row>
    <row r="222" spans="1:22" ht="15" customHeight="1" x14ac:dyDescent="0.25">
      <c r="A222" s="145">
        <v>1</v>
      </c>
      <c r="B222" s="146" t="str">
        <f>IF(Paramètres!AH6=0,"",Paramètres!AH6)</f>
        <v/>
      </c>
      <c r="C222" s="147">
        <f>IF(C221&lt;&gt;0,C221+IF(AND(B221&lt;&gt;"",A221&lt;E$220),B221,0),IF(AND(B221&lt;&gt;"",A221&lt;E$220),B221,0))</f>
        <v>0</v>
      </c>
      <c r="D222" s="117"/>
      <c r="E222" s="118"/>
      <c r="F222" s="259" t="str">
        <f t="shared" ref="F222:F227" si="92">IF(G222&lt;&gt;"/",IF(I$220="Error","Error",$J$220+C222),"/")</f>
        <v>/</v>
      </c>
      <c r="G222" s="260" t="str">
        <f>IF(I$220="Error","Error",IF(AND($E$220&lt;&gt;"/",$E$220&gt;'Paramètres - Admin'!$A2),'Paramètres - Admin'!$A3,"/"))</f>
        <v>/</v>
      </c>
      <c r="H222" s="449" t="str">
        <f>IF(G222&lt;&gt;"/",VLOOKUP(G222,COSTS_Spell_Healing[#All],2),"/")</f>
        <v>/</v>
      </c>
      <c r="I222" s="181" t="str">
        <f>IF(G222&lt;&gt;"/",VLOOKUP(G222,COSTS_Spell_Healing[#All],3),"/")</f>
        <v>/</v>
      </c>
      <c r="J222" s="449">
        <f t="shared" ref="J222:J227" si="93">IF(I$220="Error","Error",IF(H222&lt;&gt;"/",F222*H222,0))</f>
        <v>0</v>
      </c>
      <c r="K222" s="261">
        <f t="shared" ref="K222:K227" si="94">IF(I$220="Error","Error",IF(I222&lt;&gt;"/",F222*I222,0))</f>
        <v>0</v>
      </c>
      <c r="L222" s="148">
        <v>4</v>
      </c>
      <c r="M222" s="634" t="str">
        <f>IF(Paramètres!AK9=0,"",Paramètres!AK9)</f>
        <v/>
      </c>
      <c r="N222" s="635">
        <f t="shared" si="91"/>
        <v>0</v>
      </c>
      <c r="O222" s="627"/>
      <c r="P222" s="628"/>
      <c r="Q222" s="647" t="str">
        <f>IF(R222&lt;&gt;"/",IF(T$217="Error","Error",$U$217+N222),"/")</f>
        <v>/</v>
      </c>
      <c r="R222" s="648" t="str">
        <f>IF(T$217="Error","Error",IF(AND($P$217&lt;&gt;"/",$P$217&gt;'Paramètres - Admin'!$A5),'Paramètres - Admin'!$A6,"/"))</f>
        <v>/</v>
      </c>
      <c r="S222" s="449" t="str">
        <f>IF(R222&lt;&gt;"/",VLOOKUP(R222,COSTS_Spell_Freeze[#All],2),"/")</f>
        <v>/</v>
      </c>
      <c r="T222" s="638" t="str">
        <f>IF(R222&lt;&gt;"/",VLOOKUP(R222,COSTS_Spell_Freeze[#All],3),"/")</f>
        <v>/</v>
      </c>
      <c r="U222" s="449">
        <f>IF(T$217="Error","Error",IF(S222&lt;&gt;"/",Q222*S222,0))</f>
        <v>0</v>
      </c>
      <c r="V222" s="649">
        <f>IF(T$217="Error","Error",IF(T222&lt;&gt;"/",Q222*T222,0))</f>
        <v>0</v>
      </c>
    </row>
    <row r="223" spans="1:22" ht="15" customHeight="1" thickBot="1" x14ac:dyDescent="0.3">
      <c r="A223" s="148">
        <v>2</v>
      </c>
      <c r="B223" s="634" t="str">
        <f>IF(Paramètres!AH7=0,"",Paramètres!AH7)</f>
        <v/>
      </c>
      <c r="C223" s="635">
        <f t="shared" ref="C223:C227" si="95">IF(C222&lt;&gt;0,C222+IF(AND(B222&lt;&gt;"",A222&lt;E$220),B222,0),IF(AND(B222&lt;&gt;"",A222&lt;E$220),B222,0))</f>
        <v>0</v>
      </c>
      <c r="D223" s="627"/>
      <c r="E223" s="628"/>
      <c r="F223" s="647" t="str">
        <f t="shared" si="92"/>
        <v>/</v>
      </c>
      <c r="G223" s="648" t="str">
        <f>IF(I$220="Error","Error",IF(AND($E$220&lt;&gt;"/",$E$220&gt;'Paramètres - Admin'!$A3),'Paramètres - Admin'!$A4,"/"))</f>
        <v>/</v>
      </c>
      <c r="H223" s="449" t="str">
        <f>IF(G223&lt;&gt;"/",VLOOKUP(G223,COSTS_Spell_Healing[#All],2),"/")</f>
        <v>/</v>
      </c>
      <c r="I223" s="638" t="str">
        <f>IF(G223&lt;&gt;"/",VLOOKUP(G223,COSTS_Spell_Healing[#All],3),"/")</f>
        <v>/</v>
      </c>
      <c r="J223" s="449">
        <f t="shared" si="93"/>
        <v>0</v>
      </c>
      <c r="K223" s="649">
        <f t="shared" si="94"/>
        <v>0</v>
      </c>
      <c r="L223" s="148">
        <v>5</v>
      </c>
      <c r="M223" s="634" t="str">
        <f>IF(Paramètres!AK10=0,"",Paramètres!AK10)</f>
        <v/>
      </c>
      <c r="N223" s="635">
        <f t="shared" si="91"/>
        <v>0</v>
      </c>
      <c r="O223" s="627"/>
      <c r="P223" s="628"/>
      <c r="Q223" s="647" t="str">
        <f>IF(R223&lt;&gt;"/",IF(T$217="Error","Error",$U$217+N223),"/")</f>
        <v>/</v>
      </c>
      <c r="R223" s="648" t="str">
        <f>IF(T$217="Error","Error",IF(AND($P$217&lt;&gt;"/",$P$217&gt;'Paramètres - Admin'!$A6),'Paramètres - Admin'!$A7,"/"))</f>
        <v>/</v>
      </c>
      <c r="S223" s="449" t="str">
        <f>IF(R223&lt;&gt;"/",VLOOKUP(R223,COSTS_Spell_Freeze[#All],2),"/")</f>
        <v>/</v>
      </c>
      <c r="T223" s="724" t="str">
        <f>IF(R223&lt;&gt;"/",VLOOKUP(R223,COSTS_Spell_Freeze[#All],3),"/")</f>
        <v>/</v>
      </c>
      <c r="U223" s="725">
        <f>IF(T$217="Error","Error",IF(S223&lt;&gt;"/",Q223*S223,0))</f>
        <v>0</v>
      </c>
      <c r="V223" s="726">
        <f>IF(T$217="Error","Error",IF(T223&lt;&gt;"/",Q223*T223,0))</f>
        <v>0</v>
      </c>
    </row>
    <row r="224" spans="1:22" ht="15" customHeight="1" thickBot="1" x14ac:dyDescent="0.3">
      <c r="A224" s="148">
        <v>3</v>
      </c>
      <c r="B224" s="634" t="str">
        <f>IF(Paramètres!AH8=0,"",Paramètres!AH8)</f>
        <v/>
      </c>
      <c r="C224" s="635">
        <f t="shared" si="95"/>
        <v>0</v>
      </c>
      <c r="D224" s="627"/>
      <c r="E224" s="628"/>
      <c r="F224" s="647" t="str">
        <f t="shared" si="92"/>
        <v>/</v>
      </c>
      <c r="G224" s="648" t="str">
        <f>IF(I$220="Error","Error",IF(AND($E$220&lt;&gt;"/",$E$220&gt;'Paramètres - Admin'!$A4),'Paramètres - Admin'!$A5,"/"))</f>
        <v>/</v>
      </c>
      <c r="H224" s="449" t="str">
        <f>IF(G224&lt;&gt;"/",VLOOKUP(G224,COSTS_Spell_Healing[#All],2),"/")</f>
        <v>/</v>
      </c>
      <c r="I224" s="638" t="str">
        <f>IF(G224&lt;&gt;"/",VLOOKUP(G224,COSTS_Spell_Healing[#All],3),"/")</f>
        <v>/</v>
      </c>
      <c r="J224" s="449">
        <f t="shared" si="93"/>
        <v>0</v>
      </c>
      <c r="K224" s="649">
        <f t="shared" si="94"/>
        <v>0</v>
      </c>
      <c r="L224" s="1106"/>
      <c r="M224" s="1148"/>
      <c r="N224" s="1148"/>
      <c r="O224" s="1148"/>
      <c r="P224" s="1148"/>
      <c r="Q224" s="1148"/>
      <c r="R224" s="1148"/>
      <c r="S224" s="1149"/>
      <c r="T224" s="329" t="s">
        <v>31</v>
      </c>
      <c r="U224" s="452">
        <f>IF(T$217="Error","Error",SUM(U219:U223))</f>
        <v>0</v>
      </c>
      <c r="V224" s="727">
        <f>IF(T$217="Error","Error",SUM(V219:V223))</f>
        <v>0</v>
      </c>
    </row>
    <row r="225" spans="1:22" ht="15" customHeight="1" x14ac:dyDescent="0.25">
      <c r="A225" s="148">
        <v>4</v>
      </c>
      <c r="B225" s="634" t="str">
        <f>IF(Paramètres!AH9=0,"",Paramètres!AH9)</f>
        <v/>
      </c>
      <c r="C225" s="635">
        <f t="shared" si="95"/>
        <v>0</v>
      </c>
      <c r="D225" s="627"/>
      <c r="E225" s="628"/>
      <c r="F225" s="647" t="str">
        <f t="shared" si="92"/>
        <v>/</v>
      </c>
      <c r="G225" s="648" t="str">
        <f>IF(I$220="Error","Error",IF(AND($E$220&lt;&gt;"/",$E$220&gt;'Paramètres - Admin'!$A5),'Paramètres - Admin'!$A6,"/"))</f>
        <v>/</v>
      </c>
      <c r="H225" s="449" t="str">
        <f>IF(G225&lt;&gt;"/",VLOOKUP(G225,COSTS_Spell_Healing[#All],2),"/")</f>
        <v>/</v>
      </c>
      <c r="I225" s="638" t="str">
        <f>IF(G225&lt;&gt;"/",VLOOKUP(G225,COSTS_Spell_Healing[#All],3),"/")</f>
        <v>/</v>
      </c>
      <c r="J225" s="449">
        <f t="shared" si="93"/>
        <v>0</v>
      </c>
      <c r="K225" s="649">
        <f t="shared" si="94"/>
        <v>0</v>
      </c>
    </row>
    <row r="226" spans="1:22" ht="15" customHeight="1" x14ac:dyDescent="0.25">
      <c r="A226" s="148">
        <v>5</v>
      </c>
      <c r="B226" s="634" t="str">
        <f>IF(Paramètres!AH10=0,"",Paramètres!AH10)</f>
        <v/>
      </c>
      <c r="C226" s="635">
        <f t="shared" si="95"/>
        <v>0</v>
      </c>
      <c r="D226" s="627"/>
      <c r="E226" s="628"/>
      <c r="F226" s="647" t="str">
        <f t="shared" si="92"/>
        <v>/</v>
      </c>
      <c r="G226" s="648" t="str">
        <f>IF(I$220="Error","Error",IF(AND($E$220&lt;&gt;"/",$E$220&gt;'Paramètres - Admin'!$A6),'Paramètres - Admin'!$A7,"/"))</f>
        <v>/</v>
      </c>
      <c r="H226" s="449" t="str">
        <f>IF(G226&lt;&gt;"/",VLOOKUP(G226,COSTS_Spell_Healing[#All],2),"/")</f>
        <v>/</v>
      </c>
      <c r="I226" s="638" t="str">
        <f>IF(G226&lt;&gt;"/",VLOOKUP(G226,COSTS_Spell_Healing[#All],3),"/")</f>
        <v>/</v>
      </c>
      <c r="J226" s="449">
        <f t="shared" si="93"/>
        <v>0</v>
      </c>
      <c r="K226" s="649">
        <f t="shared" si="94"/>
        <v>0</v>
      </c>
    </row>
    <row r="227" spans="1:22" ht="15" customHeight="1" thickBot="1" x14ac:dyDescent="0.3">
      <c r="A227" s="148">
        <v>6</v>
      </c>
      <c r="B227" s="634" t="str">
        <f>IF(Paramètres!AH11=0,"",Paramètres!AH11)</f>
        <v/>
      </c>
      <c r="C227" s="635">
        <f t="shared" si="95"/>
        <v>0</v>
      </c>
      <c r="D227" s="627"/>
      <c r="E227" s="628"/>
      <c r="F227" s="647" t="str">
        <f t="shared" si="92"/>
        <v>/</v>
      </c>
      <c r="G227" s="648" t="str">
        <f>IF(I$220="Error","Error",IF(AND($E$220&lt;&gt;"/",$E$220&gt;'Paramètres - Admin'!$A7),'Paramètres - Admin'!$A8,"/"))</f>
        <v>/</v>
      </c>
      <c r="H227" s="449" t="str">
        <f>IF(G227&lt;&gt;"/",VLOOKUP(G227,COSTS_Spell_Healing[#All],2),"/")</f>
        <v>/</v>
      </c>
      <c r="I227" s="724" t="str">
        <f>IF(G227&lt;&gt;"/",VLOOKUP(G227,COSTS_Spell_Healing[#All],3),"/")</f>
        <v>/</v>
      </c>
      <c r="J227" s="725">
        <f t="shared" si="93"/>
        <v>0</v>
      </c>
      <c r="K227" s="726">
        <f t="shared" si="94"/>
        <v>0</v>
      </c>
    </row>
    <row r="228" spans="1:22" ht="15" customHeight="1" thickBot="1" x14ac:dyDescent="0.3">
      <c r="A228" s="594"/>
      <c r="B228" s="595"/>
      <c r="C228" s="595"/>
      <c r="D228" s="595"/>
      <c r="E228" s="595"/>
      <c r="F228" s="595"/>
      <c r="G228" s="595"/>
      <c r="H228" s="596"/>
      <c r="I228" s="329" t="s">
        <v>31</v>
      </c>
      <c r="J228" s="452">
        <f>IF(I$220="Error","Error",SUM(J222:J227))</f>
        <v>0</v>
      </c>
      <c r="K228" s="727">
        <f>IF(I$220="Error","Error",SUM(K222:K227))</f>
        <v>0</v>
      </c>
    </row>
    <row r="229" spans="1:22" ht="15" customHeight="1" x14ac:dyDescent="0.25">
      <c r="A229" s="1100" t="s">
        <v>192</v>
      </c>
      <c r="B229" s="1101"/>
      <c r="C229" s="1102"/>
      <c r="D229" s="85" t="s">
        <v>38</v>
      </c>
      <c r="E229" s="86" t="s">
        <v>39</v>
      </c>
      <c r="F229" s="87"/>
      <c r="G229" s="88"/>
      <c r="H229" s="89"/>
      <c r="I229" s="615" t="s">
        <v>256</v>
      </c>
      <c r="J229" s="619" t="s">
        <v>362</v>
      </c>
      <c r="K229" s="616" t="s">
        <v>257</v>
      </c>
    </row>
    <row r="230" spans="1:22" ht="15" customHeight="1" thickBot="1" x14ac:dyDescent="0.3">
      <c r="A230" s="1103"/>
      <c r="B230" s="1104"/>
      <c r="C230" s="1105"/>
      <c r="D230" s="95">
        <f>VLOOKUP($A$2,AVAILABLE_Upgrades_Spells[#All],MATCH(A229,AVAILABLE_Upgrades_Spells[#Headers],0))</f>
        <v>0</v>
      </c>
      <c r="E230" s="621">
        <f>VLOOKUP(IF(ISERROR(LOOKUP(MATCH(1,Paramètres!$K$6:$K$45,0),Paramètres!$A$6:$A$45)),0,LOOKUP(MATCH(1,Paramètres!$K$6:$K$45,0),Paramètres!$A$6:$A$45)),AVAILABLE_Upgrades_Spells[#All],MATCH(A229,AVAILABLE_Upgrades_Spells[#Headers],0)+1)</f>
        <v>0</v>
      </c>
      <c r="F230" s="230"/>
      <c r="G230" s="231"/>
      <c r="H230" s="232"/>
      <c r="I230" s="104">
        <f>IF(SUM(B232:B236)&gt;D230,"Error",SUM(B232:B236))</f>
        <v>0</v>
      </c>
      <c r="J230" s="105">
        <f>IF(I$230="Error","Error",D230-I230)</f>
        <v>0</v>
      </c>
      <c r="K230" s="233">
        <f>IF(I$230="Error","Error",SUM(F232:F236))</f>
        <v>0</v>
      </c>
    </row>
    <row r="231" spans="1:22" ht="15" customHeight="1" thickBot="1" x14ac:dyDescent="0.3">
      <c r="A231" s="107" t="s">
        <v>30</v>
      </c>
      <c r="B231" s="144" t="s">
        <v>29</v>
      </c>
      <c r="C231" s="109"/>
      <c r="D231" s="257"/>
      <c r="E231" s="258"/>
      <c r="F231" s="262" t="s">
        <v>29</v>
      </c>
      <c r="G231" s="263" t="s">
        <v>30</v>
      </c>
      <c r="H231" s="653" t="s">
        <v>258</v>
      </c>
      <c r="I231" s="653" t="s">
        <v>259</v>
      </c>
      <c r="J231" s="653" t="s">
        <v>232</v>
      </c>
      <c r="K231" s="654" t="s">
        <v>233</v>
      </c>
    </row>
    <row r="232" spans="1:22" ht="15" customHeight="1" x14ac:dyDescent="0.25">
      <c r="A232" s="145">
        <v>1</v>
      </c>
      <c r="B232" s="146" t="str">
        <f>IF(Paramètres!AI6=0,"",Paramètres!AI6)</f>
        <v/>
      </c>
      <c r="C232" s="147">
        <f>IF(C231&lt;&gt;0,C231+IF(AND(B231&lt;&gt;"",A231&lt;E$230),B231,0),IF(AND(B231&lt;&gt;"",A231&lt;E$230),B231,0))</f>
        <v>0</v>
      </c>
      <c r="D232" s="117"/>
      <c r="E232" s="118"/>
      <c r="F232" s="259" t="str">
        <f>IF(G232&lt;&gt;"/",IF(I$230="Error","Error",$J$230+C232),"/")</f>
        <v>/</v>
      </c>
      <c r="G232" s="260" t="str">
        <f>IF(I$230="Error","Error",IF(AND($E$230&lt;&gt;"/",$E$230&gt;'Paramètres - Admin'!$A2),'Paramètres - Admin'!$A3,"/"))</f>
        <v>/</v>
      </c>
      <c r="H232" s="449" t="str">
        <f>IF(G232&lt;&gt;"/",VLOOKUP(G232,COSTS_Spell_Rage[#All],2),"/")</f>
        <v>/</v>
      </c>
      <c r="I232" s="181" t="str">
        <f>IF(G232&lt;&gt;"/",VLOOKUP(G232,COSTS_Spell_Rage[#All],3),"/")</f>
        <v>/</v>
      </c>
      <c r="J232" s="449">
        <f>IF(I$230="Error","Error",IF(H232&lt;&gt;"/",F232*H232,0))</f>
        <v>0</v>
      </c>
      <c r="K232" s="261">
        <f>IF(I$230="Error","Error",IF(I232&lt;&gt;"/",F232*I232,0))</f>
        <v>0</v>
      </c>
    </row>
    <row r="233" spans="1:22" ht="15" customHeight="1" x14ac:dyDescent="0.25">
      <c r="A233" s="148">
        <v>2</v>
      </c>
      <c r="B233" s="634" t="str">
        <f>IF(Paramètres!AI7=0,"",Paramètres!AI7)</f>
        <v/>
      </c>
      <c r="C233" s="635">
        <f t="shared" ref="C233:C236" si="96">IF(C232&lt;&gt;0,C232+IF(AND(B232&lt;&gt;"",A232&lt;E$230),B232,0),IF(AND(B232&lt;&gt;"",A232&lt;E$230),B232,0))</f>
        <v>0</v>
      </c>
      <c r="D233" s="627"/>
      <c r="E233" s="628"/>
      <c r="F233" s="647" t="str">
        <f>IF(G233&lt;&gt;"/",IF(I$230="Error","Error",$J$230+C233),"/")</f>
        <v>/</v>
      </c>
      <c r="G233" s="648" t="str">
        <f>IF(I$230="Error","Error",IF(AND($E$230&lt;&gt;"/",$E$230&gt;'Paramètres - Admin'!$A3),'Paramètres - Admin'!$A4,"/"))</f>
        <v>/</v>
      </c>
      <c r="H233" s="449" t="str">
        <f>IF(G233&lt;&gt;"/",VLOOKUP(G233,COSTS_Spell_Rage[#All],2),"/")</f>
        <v>/</v>
      </c>
      <c r="I233" s="638" t="str">
        <f>IF(G233&lt;&gt;"/",VLOOKUP(G233,COSTS_Spell_Rage[#All],3),"/")</f>
        <v>/</v>
      </c>
      <c r="J233" s="449">
        <f>IF(I$230="Error","Error",IF(H233&lt;&gt;"/",F233*H233,0))</f>
        <v>0</v>
      </c>
      <c r="K233" s="649">
        <f>IF(I$230="Error","Error",IF(I233&lt;&gt;"/",F233*I233,0))</f>
        <v>0</v>
      </c>
    </row>
    <row r="234" spans="1:22" ht="15" customHeight="1" x14ac:dyDescent="0.25">
      <c r="A234" s="148">
        <v>3</v>
      </c>
      <c r="B234" s="634" t="str">
        <f>IF(Paramètres!AI8=0,"",Paramètres!AI8)</f>
        <v/>
      </c>
      <c r="C234" s="635">
        <f t="shared" si="96"/>
        <v>0</v>
      </c>
      <c r="D234" s="627"/>
      <c r="E234" s="628"/>
      <c r="F234" s="647" t="str">
        <f>IF(G234&lt;&gt;"/",IF(I$230="Error","Error",$J$230+C234),"/")</f>
        <v>/</v>
      </c>
      <c r="G234" s="648" t="str">
        <f>IF(I$230="Error","Error",IF(AND($E$230&lt;&gt;"/",$E$230&gt;'Paramètres - Admin'!$A4),'Paramètres - Admin'!$A5,"/"))</f>
        <v>/</v>
      </c>
      <c r="H234" s="449" t="str">
        <f>IF(G234&lt;&gt;"/",VLOOKUP(G234,COSTS_Spell_Rage[#All],2),"/")</f>
        <v>/</v>
      </c>
      <c r="I234" s="638" t="str">
        <f>IF(G234&lt;&gt;"/",VLOOKUP(G234,COSTS_Spell_Rage[#All],3),"/")</f>
        <v>/</v>
      </c>
      <c r="J234" s="449">
        <f>IF(I$230="Error","Error",IF(H234&lt;&gt;"/",F234*H234,0))</f>
        <v>0</v>
      </c>
      <c r="K234" s="649">
        <f>IF(I$230="Error","Error",IF(I234&lt;&gt;"/",F234*I234,0))</f>
        <v>0</v>
      </c>
    </row>
    <row r="235" spans="1:22" ht="15" customHeight="1" x14ac:dyDescent="0.25">
      <c r="A235" s="148">
        <v>4</v>
      </c>
      <c r="B235" s="634" t="str">
        <f>IF(Paramètres!AI9=0,"",Paramètres!AI9)</f>
        <v/>
      </c>
      <c r="C235" s="635">
        <f t="shared" si="96"/>
        <v>0</v>
      </c>
      <c r="D235" s="627"/>
      <c r="E235" s="628"/>
      <c r="F235" s="647" t="str">
        <f>IF(G235&lt;&gt;"/",IF(I$230="Error","Error",$J$230+C235),"/")</f>
        <v>/</v>
      </c>
      <c r="G235" s="648" t="str">
        <f>IF(I$230="Error","Error",IF(AND($E$230&lt;&gt;"/",$E$230&gt;'Paramètres - Admin'!$A5),'Paramètres - Admin'!$A6,"/"))</f>
        <v>/</v>
      </c>
      <c r="H235" s="449" t="str">
        <f>IF(G235&lt;&gt;"/",VLOOKUP(G235,COSTS_Spell_Rage[#All],2),"/")</f>
        <v>/</v>
      </c>
      <c r="I235" s="638" t="str">
        <f>IF(G235&lt;&gt;"/",VLOOKUP(G235,COSTS_Spell_Rage[#All],3),"/")</f>
        <v>/</v>
      </c>
      <c r="J235" s="449">
        <f>IF(I$230="Error","Error",IF(H235&lt;&gt;"/",F235*H235,0))</f>
        <v>0</v>
      </c>
      <c r="K235" s="649">
        <f>IF(I$230="Error","Error",IF(I235&lt;&gt;"/",F235*I235,0))</f>
        <v>0</v>
      </c>
    </row>
    <row r="236" spans="1:22" ht="15" customHeight="1" thickBot="1" x14ac:dyDescent="0.3">
      <c r="A236" s="148">
        <v>5</v>
      </c>
      <c r="B236" s="634" t="str">
        <f>IF(Paramètres!AI10=0,"",Paramètres!AI10)</f>
        <v/>
      </c>
      <c r="C236" s="635">
        <f t="shared" si="96"/>
        <v>0</v>
      </c>
      <c r="D236" s="627"/>
      <c r="E236" s="628"/>
      <c r="F236" s="647" t="str">
        <f>IF(G236&lt;&gt;"/",IF(I$230="Error","Error",$J$230+C236),"/")</f>
        <v>/</v>
      </c>
      <c r="G236" s="648" t="str">
        <f>IF(I$230="Error","Error",IF(AND($E$230&lt;&gt;"/",$E$230&gt;'Paramètres - Admin'!$A6),'Paramètres - Admin'!$A7,"/"))</f>
        <v>/</v>
      </c>
      <c r="H236" s="449" t="str">
        <f>IF(G236&lt;&gt;"/",VLOOKUP(G236,COSTS_Spell_Rage[#All],2),"/")</f>
        <v>/</v>
      </c>
      <c r="I236" s="724" t="str">
        <f>IF(G236&lt;&gt;"/",VLOOKUP(G236,COSTS_Spell_Rage[#All],3),"/")</f>
        <v>/</v>
      </c>
      <c r="J236" s="725">
        <f>IF(I$230="Error","Error",IF(H236&lt;&gt;"/",F236*H236,0))</f>
        <v>0</v>
      </c>
      <c r="K236" s="726">
        <f>IF(I$230="Error","Error",IF(I236&lt;&gt;"/",F236*I236,0))</f>
        <v>0</v>
      </c>
    </row>
    <row r="237" spans="1:22" ht="15" customHeight="1" thickBot="1" x14ac:dyDescent="0.3">
      <c r="A237" s="1106"/>
      <c r="B237" s="1148"/>
      <c r="C237" s="1148"/>
      <c r="D237" s="1148"/>
      <c r="E237" s="1148"/>
      <c r="F237" s="1148"/>
      <c r="G237" s="1148"/>
      <c r="H237" s="1149"/>
      <c r="I237" s="329" t="s">
        <v>31</v>
      </c>
      <c r="J237" s="452">
        <f>IF(I$230="Error","Error",SUM(J232:J236))</f>
        <v>0</v>
      </c>
      <c r="K237" s="727">
        <f>IF(I$230="Error","Error",SUM(K232:K236))</f>
        <v>0</v>
      </c>
    </row>
    <row r="239" spans="1:22" ht="15" customHeight="1" thickBot="1" x14ac:dyDescent="0.3"/>
    <row r="240" spans="1:22" ht="20.100000000000001" customHeight="1" thickBot="1" x14ac:dyDescent="0.3">
      <c r="A240" s="1094" t="s">
        <v>240</v>
      </c>
      <c r="B240" s="1095"/>
      <c r="C240" s="1095"/>
      <c r="D240" s="1095"/>
      <c r="E240" s="1095"/>
      <c r="F240" s="1095"/>
      <c r="G240" s="1095"/>
      <c r="H240" s="1095"/>
      <c r="I240" s="1095"/>
      <c r="J240" s="1095"/>
      <c r="K240" s="1095"/>
      <c r="L240" s="1095"/>
      <c r="M240" s="1095"/>
      <c r="N240" s="1095"/>
      <c r="O240" s="1095"/>
      <c r="P240" s="1095"/>
      <c r="Q240" s="1095"/>
      <c r="R240" s="1095"/>
      <c r="S240" s="1095"/>
      <c r="T240" s="1095"/>
      <c r="U240" s="1095"/>
      <c r="V240" s="1096"/>
    </row>
    <row r="241" spans="1:51" ht="15" customHeight="1" thickBot="1" x14ac:dyDescent="0.3">
      <c r="A241" s="1156" t="s">
        <v>247</v>
      </c>
      <c r="B241" s="1157"/>
      <c r="C241" s="1157"/>
      <c r="D241" s="1157"/>
      <c r="E241" s="1157"/>
      <c r="F241" s="1157"/>
      <c r="G241" s="1157"/>
      <c r="H241" s="1157"/>
      <c r="I241" s="1157"/>
      <c r="J241" s="1157"/>
      <c r="K241" s="1157"/>
      <c r="L241" s="1157"/>
      <c r="M241" s="1157"/>
      <c r="N241" s="1157"/>
      <c r="O241" s="1157"/>
      <c r="P241" s="1157"/>
      <c r="Q241" s="1157"/>
      <c r="R241" s="1157"/>
      <c r="S241" s="1157"/>
      <c r="T241" s="1157"/>
      <c r="U241" s="1157"/>
      <c r="V241" s="1158"/>
    </row>
    <row r="242" spans="1:51" ht="15" customHeight="1" x14ac:dyDescent="0.25">
      <c r="A242" s="1100" t="s">
        <v>195</v>
      </c>
      <c r="B242" s="1101"/>
      <c r="C242" s="1102"/>
      <c r="D242" s="85" t="s">
        <v>38</v>
      </c>
      <c r="E242" s="86" t="s">
        <v>39</v>
      </c>
      <c r="F242" s="87"/>
      <c r="G242" s="88"/>
      <c r="H242" s="89"/>
      <c r="I242" s="615" t="s">
        <v>256</v>
      </c>
      <c r="J242" s="619" t="s">
        <v>362</v>
      </c>
      <c r="K242" s="616" t="s">
        <v>257</v>
      </c>
      <c r="L242" s="1100" t="s">
        <v>186</v>
      </c>
      <c r="M242" s="1101"/>
      <c r="N242" s="1102"/>
      <c r="O242" s="85" t="s">
        <v>38</v>
      </c>
      <c r="P242" s="86" t="s">
        <v>39</v>
      </c>
      <c r="Q242" s="87"/>
      <c r="R242" s="88"/>
      <c r="S242" s="89"/>
      <c r="T242" s="615" t="s">
        <v>256</v>
      </c>
      <c r="U242" s="619" t="s">
        <v>362</v>
      </c>
      <c r="V242" s="616" t="s">
        <v>257</v>
      </c>
    </row>
    <row r="243" spans="1:51" ht="15" customHeight="1" thickBot="1" x14ac:dyDescent="0.3">
      <c r="A243" s="1103"/>
      <c r="B243" s="1104"/>
      <c r="C243" s="1105"/>
      <c r="D243" s="95">
        <f>VLOOKUP($A$2,AVAILABLE_Upgrades_Normal_Troops[#All],MATCH(A242,AVAILABLE_Upgrades_Normal_Troops[#Headers],0))</f>
        <v>0</v>
      </c>
      <c r="E243" s="96">
        <f>VLOOKUP(IF(ISERROR(LOOKUP(MATCH(1,Paramètres!$K$6:$K$45,0),Paramètres!$A$6:$A$45)),0,LOOKUP(MATCH(1,Paramètres!$K$6:$K$45,0),Paramètres!$A$6:$A$45)),AVAILABLE_Upgrades_Normal_Troops[#All],MATCH(A242,AVAILABLE_Upgrades_Normal_Troops[#Headers],0)+1)</f>
        <v>0</v>
      </c>
      <c r="F243" s="230"/>
      <c r="G243" s="231"/>
      <c r="H243" s="232"/>
      <c r="I243" s="104">
        <f>IF(SUM(B245:B251)&gt;D243,"Error",SUM(B245:B251))</f>
        <v>0</v>
      </c>
      <c r="J243" s="105">
        <f>IF(I$243="Error","Error",D243-I243)</f>
        <v>0</v>
      </c>
      <c r="K243" s="233">
        <f>IF(I$243="Error","Error",SUM(F245:F251))</f>
        <v>0</v>
      </c>
      <c r="L243" s="1103"/>
      <c r="M243" s="1104"/>
      <c r="N243" s="1105"/>
      <c r="O243" s="95">
        <f>VLOOKUP($A$2,AVAILABLE_Upgrades_Normal_Troops[#All],MATCH(L242,AVAILABLE_Upgrades_Normal_Troops[#Headers],0))</f>
        <v>0</v>
      </c>
      <c r="P243" s="621">
        <f>VLOOKUP(IF(ISERROR(LOOKUP(MATCH(1,Paramètres!$K$6:$K$45,0),Paramètres!$A$6:$A$45)),0,LOOKUP(MATCH(1,Paramètres!$K$6:$K$45,0),Paramètres!$A$6:$A$45)),AVAILABLE_Upgrades_Normal_Troops[#All],MATCH(L242,AVAILABLE_Upgrades_Normal_Troops[#Headers],0)+1)</f>
        <v>0</v>
      </c>
      <c r="Q243" s="230"/>
      <c r="R243" s="231"/>
      <c r="S243" s="232"/>
      <c r="T243" s="104">
        <f>IF(SUM(M245:M250)&gt;O243,"Error",SUM(M245:M250))</f>
        <v>0</v>
      </c>
      <c r="U243" s="105">
        <f>IF(T$243="Error","Error",O243-T243)</f>
        <v>0</v>
      </c>
      <c r="V243" s="233">
        <f>IF(T$243="Error","Error",SUM(Q245:Q250))</f>
        <v>0</v>
      </c>
    </row>
    <row r="244" spans="1:51" ht="15" customHeight="1" thickBot="1" x14ac:dyDescent="0.3">
      <c r="A244" s="625" t="s">
        <v>30</v>
      </c>
      <c r="B244" s="394" t="s">
        <v>29</v>
      </c>
      <c r="C244" s="720"/>
      <c r="D244" s="694"/>
      <c r="E244" s="695"/>
      <c r="F244" s="546" t="s">
        <v>29</v>
      </c>
      <c r="G244" s="547" t="s">
        <v>30</v>
      </c>
      <c r="H244" s="272" t="s">
        <v>258</v>
      </c>
      <c r="I244" s="272" t="s">
        <v>259</v>
      </c>
      <c r="J244" s="272" t="s">
        <v>232</v>
      </c>
      <c r="K244" s="273" t="s">
        <v>233</v>
      </c>
      <c r="L244" s="625" t="s">
        <v>30</v>
      </c>
      <c r="M244" s="394" t="s">
        <v>29</v>
      </c>
      <c r="N244" s="720"/>
      <c r="O244" s="694"/>
      <c r="P244" s="695"/>
      <c r="Q244" s="546" t="s">
        <v>29</v>
      </c>
      <c r="R244" s="547" t="s">
        <v>30</v>
      </c>
      <c r="S244" s="272" t="s">
        <v>258</v>
      </c>
      <c r="T244" s="272" t="s">
        <v>259</v>
      </c>
      <c r="U244" s="272" t="s">
        <v>232</v>
      </c>
      <c r="V244" s="273" t="s">
        <v>233</v>
      </c>
    </row>
    <row r="245" spans="1:51" ht="15" customHeight="1" thickBot="1" x14ac:dyDescent="0.3">
      <c r="A245" s="122">
        <v>1</v>
      </c>
      <c r="B245" s="116" t="str">
        <f>IF(Paramètres!AO6=0,"",Paramètres!AO6)</f>
        <v/>
      </c>
      <c r="C245" s="711">
        <f>IF(C244&lt;&gt;0,C244+IF(AND(B244&lt;&gt;"",A244&lt;E$243),B244,0),IF(AND(B244&lt;&gt;"",A244&lt;E$243),B244,0))</f>
        <v>0</v>
      </c>
      <c r="D245" s="707"/>
      <c r="E245" s="707"/>
      <c r="F245" s="708" t="str">
        <f t="shared" ref="F245:F251" si="97">IF(G245&lt;&gt;"/",IF(I$243="Error","Error",$J$243+C245),"/")</f>
        <v>/</v>
      </c>
      <c r="G245" s="548" t="str">
        <f>IF(I$243="Error","Error",IF(AND($E$243&lt;&gt;"/",$E$243&gt;'Paramètres - Admin'!$A2),'Paramètres - Admin'!$A3,"/"))</f>
        <v>/</v>
      </c>
      <c r="H245" s="440" t="str">
        <f>IF(G245&lt;&gt;"/",VLOOKUP(G245,COSTS_Barbarian[#All],2),"/")</f>
        <v>/</v>
      </c>
      <c r="I245" s="549" t="str">
        <f>IF(G245&lt;&gt;"/",VLOOKUP(G245,COSTS_Barbarian[#All],3),"/")</f>
        <v>/</v>
      </c>
      <c r="J245" s="440">
        <f t="shared" ref="J245:J251" si="98">IF(I$243="Error","Error",IF(H245&lt;&gt;"/",F245*H245,0))</f>
        <v>0</v>
      </c>
      <c r="K245" s="550">
        <f t="shared" ref="K245:K251" si="99">IF(I$243="Error","Error",IF(I245&lt;&gt;"/",F245*I245,0))</f>
        <v>0</v>
      </c>
      <c r="L245" s="122">
        <v>1</v>
      </c>
      <c r="M245" s="116" t="str">
        <f>IF(Paramètres!AT6=0,"",Paramètres!AT6)</f>
        <v/>
      </c>
      <c r="N245" s="711">
        <f>IF(N244&lt;&gt;0,N244+IF(AND(M244&lt;&gt;"",L244&lt;P$243),M244,0),IF(AND(M244&lt;&gt;"",L244&lt;P$243),M244,0))</f>
        <v>0</v>
      </c>
      <c r="O245" s="707"/>
      <c r="P245" s="707"/>
      <c r="Q245" s="708" t="str">
        <f t="shared" ref="Q245:Q250" si="100">IF(R245&lt;&gt;"/",IF(T$243="Error","Error",$U$243+N245),"/")</f>
        <v>/</v>
      </c>
      <c r="R245" s="548" t="str">
        <f>IF(T$243="Error","Error",IF(AND($P$243&lt;&gt;"/",$P$243&gt;'Paramètres - Admin'!$A2),'Paramètres - Admin'!$A3,"/"))</f>
        <v>/</v>
      </c>
      <c r="S245" s="440" t="str">
        <f>IF(R245&lt;&gt;"/",VLOOKUP(R245,COSTS_Balloon[#All],2),"/")</f>
        <v>/</v>
      </c>
      <c r="T245" s="549" t="str">
        <f>IF(R245&lt;&gt;"/",VLOOKUP(R245,COSTS_Balloon[#All],3),"/")</f>
        <v>/</v>
      </c>
      <c r="U245" s="440">
        <f t="shared" ref="U245:U250" si="101">IF(T$243="Error","Error",IF(S245&lt;&gt;"/",Q245*S245,0))</f>
        <v>0</v>
      </c>
      <c r="V245" s="550">
        <f t="shared" ref="V245:V250" si="102">IF(T$243="Error","Error",IF(T245&lt;&gt;"/",Q245*T245,0))</f>
        <v>0</v>
      </c>
    </row>
    <row r="246" spans="1:51" ht="15" customHeight="1" thickBot="1" x14ac:dyDescent="0.3">
      <c r="A246" s="700">
        <v>2</v>
      </c>
      <c r="B246" s="123" t="str">
        <f>IF(Paramètres!AO7=0,"",Paramètres!AO7)</f>
        <v/>
      </c>
      <c r="C246" s="711">
        <f t="shared" ref="C246:C251" si="103">IF(C245&lt;&gt;0,C245+IF(AND(B245&lt;&gt;"",A245&lt;E$243),B245,0),IF(AND(B245&lt;&gt;"",A245&lt;E$243),B245,0))</f>
        <v>0</v>
      </c>
      <c r="D246" s="630"/>
      <c r="E246" s="630"/>
      <c r="F246" s="709" t="str">
        <f t="shared" si="97"/>
        <v>/</v>
      </c>
      <c r="G246" s="120" t="str">
        <f>IF(I$243="Error","Error",IF(AND($E$243&lt;&gt;"/",$E$243&gt;'Paramètres - Admin'!$A3),'Paramètres - Admin'!$A4,"/"))</f>
        <v>/</v>
      </c>
      <c r="H246" s="441" t="str">
        <f>IF(G246&lt;&gt;"/",VLOOKUP(G246,COSTS_Barbarian[#All],2),"/")</f>
        <v>/</v>
      </c>
      <c r="I246" s="101" t="str">
        <f>IF(G246&lt;&gt;"/",VLOOKUP(G246,COSTS_Barbarian[#All],3),"/")</f>
        <v>/</v>
      </c>
      <c r="J246" s="441">
        <f t="shared" si="98"/>
        <v>0</v>
      </c>
      <c r="K246" s="629">
        <f t="shared" si="99"/>
        <v>0</v>
      </c>
      <c r="L246" s="700">
        <v>2</v>
      </c>
      <c r="M246" s="123" t="str">
        <f>IF(Paramètres!AT7=0,"",Paramètres!AT7)</f>
        <v/>
      </c>
      <c r="N246" s="711">
        <f t="shared" ref="N246:N250" si="104">IF(N245&lt;&gt;0,N245+IF(AND(M245&lt;&gt;"",L245&lt;P$243),M245,0),IF(AND(M245&lt;&gt;"",L245&lt;P$243),M245,0))</f>
        <v>0</v>
      </c>
      <c r="O246" s="630"/>
      <c r="P246" s="630"/>
      <c r="Q246" s="709" t="str">
        <f t="shared" si="100"/>
        <v>/</v>
      </c>
      <c r="R246" s="120" t="str">
        <f>IF(T$243="Error","Error",IF(AND($P$243&lt;&gt;"/",$P$243&gt;'Paramètres - Admin'!$A3),'Paramètres - Admin'!$A4,"/"))</f>
        <v>/</v>
      </c>
      <c r="S246" s="441" t="str">
        <f>IF(R246&lt;&gt;"/",VLOOKUP(R246,COSTS_Balloon[#All],2),"/")</f>
        <v>/</v>
      </c>
      <c r="T246" s="101" t="str">
        <f>IF(R246&lt;&gt;"/",VLOOKUP(R246,COSTS_Balloon[#All],3),"/")</f>
        <v>/</v>
      </c>
      <c r="U246" s="441">
        <f t="shared" si="101"/>
        <v>0</v>
      </c>
      <c r="V246" s="629">
        <f t="shared" si="102"/>
        <v>0</v>
      </c>
    </row>
    <row r="247" spans="1:51" ht="15" customHeight="1" thickBot="1" x14ac:dyDescent="0.3">
      <c r="A247" s="700">
        <v>3</v>
      </c>
      <c r="B247" s="123" t="str">
        <f>IF(Paramètres!AO8=0,"",Paramètres!AO8)</f>
        <v/>
      </c>
      <c r="C247" s="711">
        <f t="shared" si="103"/>
        <v>0</v>
      </c>
      <c r="D247" s="630"/>
      <c r="E247" s="630"/>
      <c r="F247" s="709" t="str">
        <f t="shared" si="97"/>
        <v>/</v>
      </c>
      <c r="G247" s="120" t="str">
        <f>IF(I$243="Error","Error",IF(AND($E$243&lt;&gt;"/",$E$243&gt;'Paramètres - Admin'!$A4),'Paramètres - Admin'!$A5,"/"))</f>
        <v>/</v>
      </c>
      <c r="H247" s="441" t="str">
        <f>IF(G247&lt;&gt;"/",VLOOKUP(G247,COSTS_Barbarian[#All],2),"/")</f>
        <v>/</v>
      </c>
      <c r="I247" s="101" t="str">
        <f>IF(G247&lt;&gt;"/",VLOOKUP(G247,COSTS_Barbarian[#All],3),"/")</f>
        <v>/</v>
      </c>
      <c r="J247" s="441">
        <f t="shared" si="98"/>
        <v>0</v>
      </c>
      <c r="K247" s="629">
        <f t="shared" si="99"/>
        <v>0</v>
      </c>
      <c r="L247" s="700">
        <v>3</v>
      </c>
      <c r="M247" s="123" t="str">
        <f>IF(Paramètres!AT8=0,"",Paramètres!AT8)</f>
        <v/>
      </c>
      <c r="N247" s="711">
        <f t="shared" si="104"/>
        <v>0</v>
      </c>
      <c r="O247" s="630"/>
      <c r="P247" s="630"/>
      <c r="Q247" s="709" t="str">
        <f t="shared" si="100"/>
        <v>/</v>
      </c>
      <c r="R247" s="120" t="str">
        <f>IF(T$243="Error","Error",IF(AND($P$243&lt;&gt;"/",$P$243&gt;'Paramètres - Admin'!$A4),'Paramètres - Admin'!$A5,"/"))</f>
        <v>/</v>
      </c>
      <c r="S247" s="441" t="str">
        <f>IF(R247&lt;&gt;"/",VLOOKUP(R247,COSTS_Balloon[#All],2),"/")</f>
        <v>/</v>
      </c>
      <c r="T247" s="101" t="str">
        <f>IF(R247&lt;&gt;"/",VLOOKUP(R247,COSTS_Balloon[#All],3),"/")</f>
        <v>/</v>
      </c>
      <c r="U247" s="441">
        <f t="shared" si="101"/>
        <v>0</v>
      </c>
      <c r="V247" s="629">
        <f t="shared" si="102"/>
        <v>0</v>
      </c>
    </row>
    <row r="248" spans="1:51" ht="15" customHeight="1" thickBot="1" x14ac:dyDescent="0.3">
      <c r="A248" s="700">
        <v>4</v>
      </c>
      <c r="B248" s="123" t="str">
        <f>IF(Paramètres!AO9=0,"",Paramètres!AO9)</f>
        <v/>
      </c>
      <c r="C248" s="711">
        <f t="shared" si="103"/>
        <v>0</v>
      </c>
      <c r="D248" s="630"/>
      <c r="E248" s="630"/>
      <c r="F248" s="709" t="str">
        <f t="shared" si="97"/>
        <v>/</v>
      </c>
      <c r="G248" s="120" t="str">
        <f>IF(I$243="Error","Error",IF(AND($E$243&lt;&gt;"/",$E$243&gt;'Paramètres - Admin'!$A5),'Paramètres - Admin'!$A6,"/"))</f>
        <v>/</v>
      </c>
      <c r="H248" s="441" t="str">
        <f>IF(G248&lt;&gt;"/",VLOOKUP(G248,COSTS_Barbarian[#All],2),"/")</f>
        <v>/</v>
      </c>
      <c r="I248" s="101" t="str">
        <f>IF(G248&lt;&gt;"/",VLOOKUP(G248,COSTS_Barbarian[#All],3),"/")</f>
        <v>/</v>
      </c>
      <c r="J248" s="441">
        <f t="shared" si="98"/>
        <v>0</v>
      </c>
      <c r="K248" s="629">
        <f t="shared" si="99"/>
        <v>0</v>
      </c>
      <c r="L248" s="700">
        <v>4</v>
      </c>
      <c r="M248" s="123" t="str">
        <f>IF(Paramètres!AT9=0,"",Paramètres!AT9)</f>
        <v/>
      </c>
      <c r="N248" s="711">
        <f t="shared" si="104"/>
        <v>0</v>
      </c>
      <c r="O248" s="630"/>
      <c r="P248" s="630"/>
      <c r="Q248" s="709" t="str">
        <f t="shared" si="100"/>
        <v>/</v>
      </c>
      <c r="R248" s="120" t="str">
        <f>IF(T$243="Error","Error",IF(AND($P$243&lt;&gt;"/",$P$243&gt;'Paramètres - Admin'!$A5),'Paramètres - Admin'!$A6,"/"))</f>
        <v>/</v>
      </c>
      <c r="S248" s="441" t="str">
        <f>IF(R248&lt;&gt;"/",VLOOKUP(R248,COSTS_Balloon[#All],2),"/")</f>
        <v>/</v>
      </c>
      <c r="T248" s="101" t="str">
        <f>IF(R248&lt;&gt;"/",VLOOKUP(R248,COSTS_Balloon[#All],3),"/")</f>
        <v>/</v>
      </c>
      <c r="U248" s="441">
        <f t="shared" si="101"/>
        <v>0</v>
      </c>
      <c r="V248" s="629">
        <f t="shared" si="102"/>
        <v>0</v>
      </c>
    </row>
    <row r="249" spans="1:51" ht="15" customHeight="1" thickBot="1" x14ac:dyDescent="0.3">
      <c r="A249" s="700">
        <v>5</v>
      </c>
      <c r="B249" s="123" t="str">
        <f>IF(Paramètres!AO10=0,"",Paramètres!AO10)</f>
        <v/>
      </c>
      <c r="C249" s="711">
        <f t="shared" si="103"/>
        <v>0</v>
      </c>
      <c r="D249" s="630"/>
      <c r="E249" s="630"/>
      <c r="F249" s="709" t="str">
        <f t="shared" si="97"/>
        <v>/</v>
      </c>
      <c r="G249" s="120" t="str">
        <f>IF(I$243="Error","Error",IF(AND($E$243&lt;&gt;"/",$E$243&gt;'Paramètres - Admin'!$A6),'Paramètres - Admin'!$A7,"/"))</f>
        <v>/</v>
      </c>
      <c r="H249" s="441" t="str">
        <f>IF(G249&lt;&gt;"/",VLOOKUP(G249,COSTS_Barbarian[#All],2),"/")</f>
        <v>/</v>
      </c>
      <c r="I249" s="101" t="str">
        <f>IF(G249&lt;&gt;"/",VLOOKUP(G249,COSTS_Barbarian[#All],3),"/")</f>
        <v>/</v>
      </c>
      <c r="J249" s="441">
        <f t="shared" si="98"/>
        <v>0</v>
      </c>
      <c r="K249" s="629">
        <f t="shared" si="99"/>
        <v>0</v>
      </c>
      <c r="L249" s="700">
        <v>5</v>
      </c>
      <c r="M249" s="123" t="str">
        <f>IF(Paramètres!AT10=0,"",Paramètres!AT10)</f>
        <v/>
      </c>
      <c r="N249" s="711">
        <f t="shared" si="104"/>
        <v>0</v>
      </c>
      <c r="O249" s="630"/>
      <c r="P249" s="630"/>
      <c r="Q249" s="709" t="str">
        <f t="shared" si="100"/>
        <v>/</v>
      </c>
      <c r="R249" s="120" t="str">
        <f>IF(T$243="Error","Error",IF(AND($P$243&lt;&gt;"/",$P$243&gt;'Paramètres - Admin'!$A6),'Paramètres - Admin'!$A7,"/"))</f>
        <v>/</v>
      </c>
      <c r="S249" s="441" t="str">
        <f>IF(R249&lt;&gt;"/",VLOOKUP(R249,COSTS_Balloon[#All],2),"/")</f>
        <v>/</v>
      </c>
      <c r="T249" s="101" t="str">
        <f>IF(R249&lt;&gt;"/",VLOOKUP(R249,COSTS_Balloon[#All],3),"/")</f>
        <v>/</v>
      </c>
      <c r="U249" s="441">
        <f t="shared" si="101"/>
        <v>0</v>
      </c>
      <c r="V249" s="629">
        <f t="shared" si="102"/>
        <v>0</v>
      </c>
      <c r="AO249" s="637"/>
      <c r="AP249" s="637"/>
      <c r="AQ249" s="637"/>
      <c r="AR249" s="637"/>
      <c r="AS249" s="637"/>
      <c r="AT249" s="637"/>
      <c r="AU249" s="637"/>
      <c r="AV249" s="637"/>
      <c r="AW249" s="637"/>
      <c r="AX249" s="637"/>
      <c r="AY249" s="637"/>
    </row>
    <row r="250" spans="1:51" ht="15" customHeight="1" thickBot="1" x14ac:dyDescent="0.3">
      <c r="A250" s="700">
        <v>6</v>
      </c>
      <c r="B250" s="123" t="str">
        <f>IF(Paramètres!AO11=0,"",Paramètres!AO11)</f>
        <v/>
      </c>
      <c r="C250" s="711">
        <f t="shared" si="103"/>
        <v>0</v>
      </c>
      <c r="D250" s="630"/>
      <c r="E250" s="630"/>
      <c r="F250" s="709" t="str">
        <f t="shared" si="97"/>
        <v>/</v>
      </c>
      <c r="G250" s="120" t="str">
        <f>IF(I$243="Error","Error",IF(AND($E$243&lt;&gt;"/",$E$243&gt;'Paramètres - Admin'!$A7),'Paramètres - Admin'!$A8,"/"))</f>
        <v>/</v>
      </c>
      <c r="H250" s="441" t="str">
        <f>IF(G250&lt;&gt;"/",VLOOKUP(G250,COSTS_Barbarian[#All],2),"/")</f>
        <v>/</v>
      </c>
      <c r="I250" s="101" t="str">
        <f>IF(G250&lt;&gt;"/",VLOOKUP(G250,COSTS_Barbarian[#All],3),"/")</f>
        <v>/</v>
      </c>
      <c r="J250" s="441">
        <f t="shared" si="98"/>
        <v>0</v>
      </c>
      <c r="K250" s="629">
        <f t="shared" si="99"/>
        <v>0</v>
      </c>
      <c r="L250" s="701">
        <v>6</v>
      </c>
      <c r="M250" s="128" t="str">
        <f>IF(Paramètres!AT11=0,"",Paramètres!AT11)</f>
        <v/>
      </c>
      <c r="N250" s="711">
        <f t="shared" si="104"/>
        <v>0</v>
      </c>
      <c r="O250" s="129"/>
      <c r="P250" s="129"/>
      <c r="Q250" s="710" t="str">
        <f t="shared" si="100"/>
        <v>/</v>
      </c>
      <c r="R250" s="130" t="str">
        <f>IF(T$243="Error","Error",IF(AND($P$243&lt;&gt;"/",$P$243&gt;'Paramètres - Admin'!$A7),'Paramètres - Admin'!$A8,"/"))</f>
        <v>/</v>
      </c>
      <c r="S250" s="442" t="str">
        <f>IF(R250&lt;&gt;"/",VLOOKUP(R250,COSTS_Balloon[#All],2),"/")</f>
        <v>/</v>
      </c>
      <c r="T250" s="127" t="str">
        <f>IF(R250&lt;&gt;"/",VLOOKUP(R250,COSTS_Balloon[#All],3),"/")</f>
        <v>/</v>
      </c>
      <c r="U250" s="442">
        <f t="shared" si="101"/>
        <v>0</v>
      </c>
      <c r="V250" s="131">
        <f t="shared" si="102"/>
        <v>0</v>
      </c>
    </row>
    <row r="251" spans="1:51" s="637" customFormat="1" ht="15" customHeight="1" thickBot="1" x14ac:dyDescent="0.3">
      <c r="A251" s="701">
        <v>7</v>
      </c>
      <c r="B251" s="128" t="str">
        <f>IF(Paramètres!AO12=0,"",Paramètres!AO12)</f>
        <v/>
      </c>
      <c r="C251" s="711">
        <f t="shared" si="103"/>
        <v>0</v>
      </c>
      <c r="D251" s="129"/>
      <c r="E251" s="129"/>
      <c r="F251" s="710" t="str">
        <f t="shared" si="97"/>
        <v>/</v>
      </c>
      <c r="G251" s="130" t="str">
        <f>IF(I$243="Error","Error",IF(AND($E$243&lt;&gt;"/",$E$243&gt;'Paramètres - Admin'!$A8),'Paramètres - Admin'!$A9,"/"))</f>
        <v>/</v>
      </c>
      <c r="H251" s="442" t="str">
        <f>IF(G251&lt;&gt;"/",VLOOKUP(G251,COSTS_Barbarian[#All],2),"/")</f>
        <v>/</v>
      </c>
      <c r="I251" s="127" t="str">
        <f>IF(G251&lt;&gt;"/",VLOOKUP(G251,COSTS_Barbarian[#All],3),"/")</f>
        <v>/</v>
      </c>
      <c r="J251" s="442">
        <f t="shared" si="98"/>
        <v>0</v>
      </c>
      <c r="K251" s="131">
        <f t="shared" si="99"/>
        <v>0</v>
      </c>
      <c r="L251" s="698"/>
      <c r="M251" s="698"/>
      <c r="N251" s="698"/>
      <c r="O251" s="698"/>
      <c r="P251" s="698"/>
      <c r="Q251" s="698"/>
      <c r="R251" s="698"/>
      <c r="S251" s="699"/>
      <c r="T251" s="614" t="s">
        <v>31</v>
      </c>
      <c r="U251" s="443">
        <f>IF(T$243="Error","Error",SUM(U245:U250))</f>
        <v>0</v>
      </c>
      <c r="V251" s="268">
        <f>IF(T$243="Error","Error",SUM(V245:V250))</f>
        <v>0</v>
      </c>
      <c r="AO251" s="152"/>
      <c r="AP251" s="152"/>
      <c r="AQ251" s="152"/>
      <c r="AR251" s="152"/>
      <c r="AS251" s="152"/>
      <c r="AT251" s="152"/>
      <c r="AU251" s="152"/>
      <c r="AV251" s="152"/>
      <c r="AW251" s="152"/>
      <c r="AX251" s="152"/>
      <c r="AY251" s="152"/>
    </row>
    <row r="252" spans="1:51" ht="15" customHeight="1" thickBot="1" x14ac:dyDescent="0.3">
      <c r="A252" s="721"/>
      <c r="B252" s="698"/>
      <c r="C252" s="698"/>
      <c r="D252" s="698"/>
      <c r="E252" s="698"/>
      <c r="F252" s="698"/>
      <c r="G252" s="698"/>
      <c r="H252" s="699"/>
      <c r="I252" s="614" t="s">
        <v>31</v>
      </c>
      <c r="J252" s="443">
        <f>IF(I$243="Error","Error",SUM(J245:J251))</f>
        <v>0</v>
      </c>
      <c r="K252" s="268">
        <f>IF(I$243="Error","Error",SUM(K245:K251))</f>
        <v>0</v>
      </c>
      <c r="L252" s="1100" t="s">
        <v>185</v>
      </c>
      <c r="M252" s="1101"/>
      <c r="N252" s="1102"/>
      <c r="O252" s="85" t="s">
        <v>38</v>
      </c>
      <c r="P252" s="86" t="s">
        <v>39</v>
      </c>
      <c r="Q252" s="87"/>
      <c r="R252" s="88"/>
      <c r="S252" s="89"/>
      <c r="T252" s="615" t="s">
        <v>256</v>
      </c>
      <c r="U252" s="619" t="s">
        <v>362</v>
      </c>
      <c r="V252" s="616" t="s">
        <v>257</v>
      </c>
    </row>
    <row r="253" spans="1:51" ht="15" customHeight="1" thickBot="1" x14ac:dyDescent="0.3">
      <c r="A253" s="1100" t="s">
        <v>50</v>
      </c>
      <c r="B253" s="1101"/>
      <c r="C253" s="1102"/>
      <c r="D253" s="85" t="s">
        <v>38</v>
      </c>
      <c r="E253" s="86" t="s">
        <v>39</v>
      </c>
      <c r="F253" s="87"/>
      <c r="G253" s="88"/>
      <c r="H253" s="89"/>
      <c r="I253" s="615" t="s">
        <v>256</v>
      </c>
      <c r="J253" s="619" t="s">
        <v>362</v>
      </c>
      <c r="K253" s="616" t="s">
        <v>257</v>
      </c>
      <c r="L253" s="1103"/>
      <c r="M253" s="1104"/>
      <c r="N253" s="1105"/>
      <c r="O253" s="95">
        <f>VLOOKUP($A$2,AVAILABLE_Upgrades_Normal_Troops[#All],MATCH(L252,AVAILABLE_Upgrades_Normal_Troops[#Headers],0))</f>
        <v>0</v>
      </c>
      <c r="P253" s="621">
        <f>VLOOKUP(IF(ISERROR(LOOKUP(MATCH(1,Paramètres!$K$6:$K$45,0),Paramètres!$A$6:$A$45)),0,LOOKUP(MATCH(1,Paramètres!$K$6:$K$45,0),Paramètres!$A$6:$A$45)),AVAILABLE_Upgrades_Normal_Troops[#All],MATCH(L252,AVAILABLE_Upgrades_Normal_Troops[#Headers],0)+1)</f>
        <v>0</v>
      </c>
      <c r="Q253" s="230"/>
      <c r="R253" s="231"/>
      <c r="S253" s="232"/>
      <c r="T253" s="104">
        <f>IF(SUM(M255:M260)&gt;O253,"Error",SUM(M255:M260))</f>
        <v>0</v>
      </c>
      <c r="U253" s="105">
        <f>IF(T$253="Error","Error",O253-T253)</f>
        <v>0</v>
      </c>
      <c r="V253" s="233">
        <f>IF(T$253="Error","Error",SUM(Q255:Q260))</f>
        <v>0</v>
      </c>
    </row>
    <row r="254" spans="1:51" ht="15" customHeight="1" thickBot="1" x14ac:dyDescent="0.3">
      <c r="A254" s="1103"/>
      <c r="B254" s="1104"/>
      <c r="C254" s="1105"/>
      <c r="D254" s="95">
        <f>VLOOKUP($A$2,AVAILABLE_Upgrades_Normal_Troops[#All],MATCH(A253,AVAILABLE_Upgrades_Normal_Troops[#Headers],0))</f>
        <v>0</v>
      </c>
      <c r="E254" s="621">
        <f>VLOOKUP(IF(ISERROR(LOOKUP(MATCH(1,Paramètres!$K$6:$K$45,0),Paramètres!$A$6:$A$45)),0,LOOKUP(MATCH(1,Paramètres!$K$6:$K$45,0),Paramètres!$A$6:$A$45)),AVAILABLE_Upgrades_Normal_Troops[#All],MATCH(A253,AVAILABLE_Upgrades_Normal_Troops[#Headers],0)+1)</f>
        <v>0</v>
      </c>
      <c r="F254" s="230"/>
      <c r="G254" s="231"/>
      <c r="H254" s="232"/>
      <c r="I254" s="104">
        <f>IF(SUM(B256:B262)&gt;D254,"Error",SUM(B256:B262))</f>
        <v>0</v>
      </c>
      <c r="J254" s="105">
        <f>IF(I$254="Error","Error",D254-I254)</f>
        <v>0</v>
      </c>
      <c r="K254" s="233">
        <f>IF(I$254="Error","Error",SUM(F256:F262))</f>
        <v>0</v>
      </c>
      <c r="L254" s="625" t="s">
        <v>30</v>
      </c>
      <c r="M254" s="394" t="s">
        <v>29</v>
      </c>
      <c r="N254" s="720"/>
      <c r="O254" s="694"/>
      <c r="P254" s="695"/>
      <c r="Q254" s="546" t="s">
        <v>29</v>
      </c>
      <c r="R254" s="547" t="s">
        <v>30</v>
      </c>
      <c r="S254" s="272" t="s">
        <v>258</v>
      </c>
      <c r="T254" s="272" t="s">
        <v>259</v>
      </c>
      <c r="U254" s="272" t="s">
        <v>232</v>
      </c>
      <c r="V254" s="273" t="s">
        <v>233</v>
      </c>
    </row>
    <row r="255" spans="1:51" ht="15" customHeight="1" thickBot="1" x14ac:dyDescent="0.3">
      <c r="A255" s="625" t="s">
        <v>30</v>
      </c>
      <c r="B255" s="394" t="s">
        <v>29</v>
      </c>
      <c r="C255" s="720"/>
      <c r="D255" s="694"/>
      <c r="E255" s="695"/>
      <c r="F255" s="546" t="s">
        <v>29</v>
      </c>
      <c r="G255" s="547" t="s">
        <v>30</v>
      </c>
      <c r="H255" s="272" t="s">
        <v>258</v>
      </c>
      <c r="I255" s="272" t="s">
        <v>259</v>
      </c>
      <c r="J255" s="272" t="s">
        <v>232</v>
      </c>
      <c r="K255" s="273" t="s">
        <v>233</v>
      </c>
      <c r="L255" s="122">
        <v>1</v>
      </c>
      <c r="M255" s="116" t="str">
        <f>IF(Paramètres!AU6=0,"",Paramètres!AU6)</f>
        <v/>
      </c>
      <c r="N255" s="711">
        <f>IF(N254&lt;&gt;0,N254+IF(AND(M254&lt;&gt;"",L254&lt;P$253),M254,0),IF(AND(M254&lt;&gt;"",L254&lt;P$253),M254,0))</f>
        <v>0</v>
      </c>
      <c r="O255" s="707"/>
      <c r="P255" s="707"/>
      <c r="Q255" s="708" t="str">
        <f t="shared" ref="Q255:Q260" si="105">IF(R255&lt;&gt;"/",IF(T$253="Error","Error",$U$253+N255),"/")</f>
        <v>/</v>
      </c>
      <c r="R255" s="548" t="str">
        <f>IF(T$253="Error","Error",IF(AND($P$253&lt;&gt;"/",$P$253&gt;'Paramètres - Admin'!$A2),'Paramètres - Admin'!$A3,"/"))</f>
        <v>/</v>
      </c>
      <c r="S255" s="440" t="str">
        <f>IF(R255&lt;&gt;"/",VLOOKUP(R255,COSTS_Wizard[#All],2),"/")</f>
        <v>/</v>
      </c>
      <c r="T255" s="549" t="str">
        <f>IF(R255&lt;&gt;"/",VLOOKUP(R255,COSTS_Wizard[#All],3),"/")</f>
        <v>/</v>
      </c>
      <c r="U255" s="440">
        <f t="shared" ref="U255:U260" si="106">IF(T$253="Error","Error",IF(S255&lt;&gt;"/",Q255*S255,0))</f>
        <v>0</v>
      </c>
      <c r="V255" s="550">
        <f t="shared" ref="V255:V260" si="107">IF(T$253="Error","Error",IF(T255&lt;&gt;"/",Q255*T255,0))</f>
        <v>0</v>
      </c>
    </row>
    <row r="256" spans="1:51" ht="15" customHeight="1" thickBot="1" x14ac:dyDescent="0.3">
      <c r="A256" s="122">
        <v>1</v>
      </c>
      <c r="B256" s="116" t="str">
        <f>IF(Paramètres!AP6=0,"",Paramètres!AP6)</f>
        <v/>
      </c>
      <c r="C256" s="711">
        <f>IF(C255&lt;&gt;0,C255+IF(AND(B255&lt;&gt;"",A255&lt;E$254),B255,0),IF(AND(B255&lt;&gt;"",A255&lt;E$254),B255,0))</f>
        <v>0</v>
      </c>
      <c r="D256" s="707"/>
      <c r="E256" s="707"/>
      <c r="F256" s="708" t="str">
        <f t="shared" ref="F256:F262" si="108">IF(G256&lt;&gt;"/",IF(I$254="Error","Error",$J$254+C256),"/")</f>
        <v>/</v>
      </c>
      <c r="G256" s="548" t="str">
        <f>IF(I$254="Error","Error",IF(AND($E$254&lt;&gt;"/",$E$254&gt;'Paramètres - Admin'!$A2),'Paramètres - Admin'!$A3,"/"))</f>
        <v>/</v>
      </c>
      <c r="H256" s="440" t="str">
        <f>IF(G256&lt;&gt;"/",VLOOKUP(G256,COSTS_Archer[#All],2),"/")</f>
        <v>/</v>
      </c>
      <c r="I256" s="549" t="str">
        <f>IF(G256&lt;&gt;"/",VLOOKUP(G256,COSTS_Archer[#All],3),"/")</f>
        <v>/</v>
      </c>
      <c r="J256" s="440">
        <f t="shared" ref="J256:J262" si="109">IF(I$254="Error","Error",IF(H256&lt;&gt;"/",F256*H256,0))</f>
        <v>0</v>
      </c>
      <c r="K256" s="550">
        <f t="shared" ref="K256:K262" si="110">IF(I$254="Error","Error",IF(I256&lt;&gt;"/",F256*I256,0))</f>
        <v>0</v>
      </c>
      <c r="L256" s="700">
        <v>2</v>
      </c>
      <c r="M256" s="123" t="str">
        <f>IF(Paramètres!AU7=0,"",Paramètres!AU7)</f>
        <v/>
      </c>
      <c r="N256" s="711">
        <f t="shared" ref="N256:N260" si="111">IF(N255&lt;&gt;0,N255+IF(AND(M255&lt;&gt;"",L255&lt;P$253),M255,0),IF(AND(M255&lt;&gt;"",L255&lt;P$253),M255,0))</f>
        <v>0</v>
      </c>
      <c r="O256" s="630"/>
      <c r="P256" s="630"/>
      <c r="Q256" s="709" t="str">
        <f t="shared" si="105"/>
        <v>/</v>
      </c>
      <c r="R256" s="120" t="str">
        <f>IF(T$253="Error","Error",IF(AND($P$253&lt;&gt;"/",$P$253&gt;'Paramètres - Admin'!$A3),'Paramètres - Admin'!$A4,"/"))</f>
        <v>/</v>
      </c>
      <c r="S256" s="441" t="str">
        <f>IF(R256&lt;&gt;"/",VLOOKUP(R256,COSTS_Wizard[#All],2),"/")</f>
        <v>/</v>
      </c>
      <c r="T256" s="101" t="str">
        <f>IF(R256&lt;&gt;"/",VLOOKUP(R256,COSTS_Wizard[#All],3),"/")</f>
        <v>/</v>
      </c>
      <c r="U256" s="441">
        <f t="shared" si="106"/>
        <v>0</v>
      </c>
      <c r="V256" s="629">
        <f t="shared" si="107"/>
        <v>0</v>
      </c>
    </row>
    <row r="257" spans="1:51" ht="15" customHeight="1" thickBot="1" x14ac:dyDescent="0.3">
      <c r="A257" s="700">
        <v>2</v>
      </c>
      <c r="B257" s="123" t="str">
        <f>IF(Paramètres!AP7=0,"",Paramètres!AP7)</f>
        <v/>
      </c>
      <c r="C257" s="711">
        <f t="shared" ref="C257:C262" si="112">IF(C256&lt;&gt;0,C256+IF(AND(B256&lt;&gt;"",A256&lt;E$254),B256,0),IF(AND(B256&lt;&gt;"",A256&lt;E$254),B256,0))</f>
        <v>0</v>
      </c>
      <c r="D257" s="630"/>
      <c r="E257" s="630"/>
      <c r="F257" s="709" t="str">
        <f t="shared" si="108"/>
        <v>/</v>
      </c>
      <c r="G257" s="120" t="str">
        <f>IF(I$254="Error","Error",IF(AND($E$254&lt;&gt;"/",$E$254&gt;'Paramètres - Admin'!$A3),'Paramètres - Admin'!$A4,"/"))</f>
        <v>/</v>
      </c>
      <c r="H257" s="441" t="str">
        <f>IF(G257&lt;&gt;"/",VLOOKUP(G257,COSTS_Archer[#All],2),"/")</f>
        <v>/</v>
      </c>
      <c r="I257" s="101" t="str">
        <f>IF(G257&lt;&gt;"/",VLOOKUP(G257,COSTS_Archer[#All],3),"/")</f>
        <v>/</v>
      </c>
      <c r="J257" s="441">
        <f t="shared" si="109"/>
        <v>0</v>
      </c>
      <c r="K257" s="629">
        <f t="shared" si="110"/>
        <v>0</v>
      </c>
      <c r="L257" s="700">
        <v>3</v>
      </c>
      <c r="M257" s="123" t="str">
        <f>IF(Paramètres!AU8=0,"",Paramètres!AU8)</f>
        <v/>
      </c>
      <c r="N257" s="711">
        <f t="shared" si="111"/>
        <v>0</v>
      </c>
      <c r="O257" s="630"/>
      <c r="P257" s="630"/>
      <c r="Q257" s="709" t="str">
        <f t="shared" si="105"/>
        <v>/</v>
      </c>
      <c r="R257" s="120" t="str">
        <f>IF(T$253="Error","Error",IF(AND($P$253&lt;&gt;"/",$P$253&gt;'Paramètres - Admin'!$A4),'Paramètres - Admin'!$A5,"/"))</f>
        <v>/</v>
      </c>
      <c r="S257" s="441" t="str">
        <f>IF(R257&lt;&gt;"/",VLOOKUP(R257,COSTS_Wizard[#All],2),"/")</f>
        <v>/</v>
      </c>
      <c r="T257" s="101" t="str">
        <f>IF(R257&lt;&gt;"/",VLOOKUP(R257,COSTS_Wizard[#All],3),"/")</f>
        <v>/</v>
      </c>
      <c r="U257" s="441">
        <f t="shared" si="106"/>
        <v>0</v>
      </c>
      <c r="V257" s="629">
        <f t="shared" si="107"/>
        <v>0</v>
      </c>
    </row>
    <row r="258" spans="1:51" ht="15" customHeight="1" thickBot="1" x14ac:dyDescent="0.3">
      <c r="A258" s="700">
        <v>3</v>
      </c>
      <c r="B258" s="123" t="str">
        <f>IF(Paramètres!AP8=0,"",Paramètres!AP8)</f>
        <v/>
      </c>
      <c r="C258" s="711">
        <f t="shared" si="112"/>
        <v>0</v>
      </c>
      <c r="D258" s="630"/>
      <c r="E258" s="630"/>
      <c r="F258" s="709" t="str">
        <f t="shared" si="108"/>
        <v>/</v>
      </c>
      <c r="G258" s="120" t="str">
        <f>IF(I$254="Error","Error",IF(AND($E$254&lt;&gt;"/",$E$254&gt;'Paramètres - Admin'!$A4),'Paramètres - Admin'!$A5,"/"))</f>
        <v>/</v>
      </c>
      <c r="H258" s="441" t="str">
        <f>IF(G258&lt;&gt;"/",VLOOKUP(G258,COSTS_Archer[#All],2),"/")</f>
        <v>/</v>
      </c>
      <c r="I258" s="101" t="str">
        <f>IF(G258&lt;&gt;"/",VLOOKUP(G258,COSTS_Archer[#All],3),"/")</f>
        <v>/</v>
      </c>
      <c r="J258" s="441">
        <f t="shared" si="109"/>
        <v>0</v>
      </c>
      <c r="K258" s="629">
        <f t="shared" si="110"/>
        <v>0</v>
      </c>
      <c r="L258" s="700">
        <v>4</v>
      </c>
      <c r="M258" s="123" t="str">
        <f>IF(Paramètres!AU9=0,"",Paramètres!AU9)</f>
        <v/>
      </c>
      <c r="N258" s="711">
        <f t="shared" si="111"/>
        <v>0</v>
      </c>
      <c r="O258" s="630"/>
      <c r="P258" s="630"/>
      <c r="Q258" s="709" t="str">
        <f t="shared" si="105"/>
        <v>/</v>
      </c>
      <c r="R258" s="120" t="str">
        <f>IF(T$253="Error","Error",IF(AND($P$253&lt;&gt;"/",$P$253&gt;'Paramètres - Admin'!$A5),'Paramètres - Admin'!$A6,"/"))</f>
        <v>/</v>
      </c>
      <c r="S258" s="441" t="str">
        <f>IF(R258&lt;&gt;"/",VLOOKUP(R258,COSTS_Wizard[#All],2),"/")</f>
        <v>/</v>
      </c>
      <c r="T258" s="101" t="str">
        <f>IF(R258&lt;&gt;"/",VLOOKUP(R258,COSTS_Wizard[#All],3),"/")</f>
        <v>/</v>
      </c>
      <c r="U258" s="441">
        <f t="shared" si="106"/>
        <v>0</v>
      </c>
      <c r="V258" s="629">
        <f t="shared" si="107"/>
        <v>0</v>
      </c>
    </row>
    <row r="259" spans="1:51" ht="15" customHeight="1" thickBot="1" x14ac:dyDescent="0.3">
      <c r="A259" s="700">
        <v>4</v>
      </c>
      <c r="B259" s="123" t="str">
        <f>IF(Paramètres!AP9=0,"",Paramètres!AP9)</f>
        <v/>
      </c>
      <c r="C259" s="711">
        <f t="shared" si="112"/>
        <v>0</v>
      </c>
      <c r="D259" s="630"/>
      <c r="E259" s="630"/>
      <c r="F259" s="709" t="str">
        <f t="shared" si="108"/>
        <v>/</v>
      </c>
      <c r="G259" s="120" t="str">
        <f>IF(I$254="Error","Error",IF(AND($E$254&lt;&gt;"/",$E$254&gt;'Paramètres - Admin'!$A5),'Paramètres - Admin'!$A6,"/"))</f>
        <v>/</v>
      </c>
      <c r="H259" s="441" t="str">
        <f>IF(G259&lt;&gt;"/",VLOOKUP(G259,COSTS_Archer[#All],2),"/")</f>
        <v>/</v>
      </c>
      <c r="I259" s="101" t="str">
        <f>IF(G259&lt;&gt;"/",VLOOKUP(G259,COSTS_Archer[#All],3),"/")</f>
        <v>/</v>
      </c>
      <c r="J259" s="441">
        <f t="shared" si="109"/>
        <v>0</v>
      </c>
      <c r="K259" s="629">
        <f t="shared" si="110"/>
        <v>0</v>
      </c>
      <c r="L259" s="700">
        <v>5</v>
      </c>
      <c r="M259" s="123" t="str">
        <f>IF(Paramètres!AU10=0,"",Paramètres!AU10)</f>
        <v/>
      </c>
      <c r="N259" s="711">
        <f t="shared" si="111"/>
        <v>0</v>
      </c>
      <c r="O259" s="630"/>
      <c r="P259" s="630"/>
      <c r="Q259" s="709" t="str">
        <f t="shared" si="105"/>
        <v>/</v>
      </c>
      <c r="R259" s="120" t="str">
        <f>IF(T$253="Error","Error",IF(AND($P$253&lt;&gt;"/",$P$253&gt;'Paramètres - Admin'!$A6),'Paramètres - Admin'!$A7,"/"))</f>
        <v>/</v>
      </c>
      <c r="S259" s="441" t="str">
        <f>IF(R259&lt;&gt;"/",VLOOKUP(R259,COSTS_Wizard[#All],2),"/")</f>
        <v>/</v>
      </c>
      <c r="T259" s="101" t="str">
        <f>IF(R259&lt;&gt;"/",VLOOKUP(R259,COSTS_Wizard[#All],3),"/")</f>
        <v>/</v>
      </c>
      <c r="U259" s="441">
        <f t="shared" si="106"/>
        <v>0</v>
      </c>
      <c r="V259" s="629">
        <f t="shared" si="107"/>
        <v>0</v>
      </c>
    </row>
    <row r="260" spans="1:51" ht="15" customHeight="1" thickBot="1" x14ac:dyDescent="0.3">
      <c r="A260" s="700">
        <v>5</v>
      </c>
      <c r="B260" s="123" t="str">
        <f>IF(Paramètres!AP10=0,"",Paramètres!AP10)</f>
        <v/>
      </c>
      <c r="C260" s="711">
        <f t="shared" si="112"/>
        <v>0</v>
      </c>
      <c r="D260" s="630"/>
      <c r="E260" s="630"/>
      <c r="F260" s="709" t="str">
        <f t="shared" si="108"/>
        <v>/</v>
      </c>
      <c r="G260" s="120" t="str">
        <f>IF(I$254="Error","Error",IF(AND($E$254&lt;&gt;"/",$E$254&gt;'Paramètres - Admin'!$A6),'Paramètres - Admin'!$A7,"/"))</f>
        <v>/</v>
      </c>
      <c r="H260" s="441" t="str">
        <f>IF(G260&lt;&gt;"/",VLOOKUP(G260,COSTS_Archer[#All],2),"/")</f>
        <v>/</v>
      </c>
      <c r="I260" s="101" t="str">
        <f>IF(G260&lt;&gt;"/",VLOOKUP(G260,COSTS_Archer[#All],3),"/")</f>
        <v>/</v>
      </c>
      <c r="J260" s="441">
        <f t="shared" si="109"/>
        <v>0</v>
      </c>
      <c r="K260" s="629">
        <f t="shared" si="110"/>
        <v>0</v>
      </c>
      <c r="L260" s="701">
        <v>6</v>
      </c>
      <c r="M260" s="128" t="str">
        <f>IF(Paramètres!AU11=0,"",Paramètres!AU11)</f>
        <v/>
      </c>
      <c r="N260" s="711">
        <f t="shared" si="111"/>
        <v>0</v>
      </c>
      <c r="O260" s="129"/>
      <c r="P260" s="129"/>
      <c r="Q260" s="710" t="str">
        <f t="shared" si="105"/>
        <v>/</v>
      </c>
      <c r="R260" s="130" t="str">
        <f>IF(T$253="Error","Error",IF(AND($P$253&lt;&gt;"/",$P$253&gt;'Paramètres - Admin'!$A7),'Paramètres - Admin'!$A8,"/"))</f>
        <v>/</v>
      </c>
      <c r="S260" s="442" t="str">
        <f>IF(R260&lt;&gt;"/",VLOOKUP(R260,COSTS_Wizard[#All],2),"/")</f>
        <v>/</v>
      </c>
      <c r="T260" s="127" t="str">
        <f>IF(R260&lt;&gt;"/",VLOOKUP(R260,COSTS_Wizard[#All],3),"/")</f>
        <v>/</v>
      </c>
      <c r="U260" s="442">
        <f t="shared" si="106"/>
        <v>0</v>
      </c>
      <c r="V260" s="131">
        <f t="shared" si="107"/>
        <v>0</v>
      </c>
      <c r="AO260" s="637"/>
      <c r="AP260" s="637"/>
      <c r="AQ260" s="637"/>
      <c r="AR260" s="637"/>
      <c r="AS260" s="637"/>
      <c r="AT260" s="637"/>
      <c r="AU260" s="637"/>
      <c r="AV260" s="637"/>
      <c r="AW260" s="637"/>
      <c r="AX260" s="637"/>
      <c r="AY260" s="637"/>
    </row>
    <row r="261" spans="1:51" ht="15" customHeight="1" thickBot="1" x14ac:dyDescent="0.3">
      <c r="A261" s="700">
        <v>6</v>
      </c>
      <c r="B261" s="123" t="str">
        <f>IF(Paramètres!AP11=0,"",Paramètres!AP11)</f>
        <v/>
      </c>
      <c r="C261" s="711">
        <f t="shared" si="112"/>
        <v>0</v>
      </c>
      <c r="D261" s="630"/>
      <c r="E261" s="630"/>
      <c r="F261" s="709" t="str">
        <f t="shared" si="108"/>
        <v>/</v>
      </c>
      <c r="G261" s="120" t="str">
        <f>IF(I$254="Error","Error",IF(AND($E$254&lt;&gt;"/",$E$254&gt;'Paramètres - Admin'!$A7),'Paramètres - Admin'!$A8,"/"))</f>
        <v>/</v>
      </c>
      <c r="H261" s="441" t="str">
        <f>IF(G261&lt;&gt;"/",VLOOKUP(G261,COSTS_Archer[#All],2),"/")</f>
        <v>/</v>
      </c>
      <c r="I261" s="101" t="str">
        <f>IF(G261&lt;&gt;"/",VLOOKUP(G261,COSTS_Archer[#All],3),"/")</f>
        <v>/</v>
      </c>
      <c r="J261" s="441">
        <f t="shared" si="109"/>
        <v>0</v>
      </c>
      <c r="K261" s="629">
        <f t="shared" si="110"/>
        <v>0</v>
      </c>
      <c r="L261" s="698"/>
      <c r="M261" s="698"/>
      <c r="N261" s="698"/>
      <c r="O261" s="698"/>
      <c r="P261" s="698"/>
      <c r="Q261" s="698"/>
      <c r="R261" s="698"/>
      <c r="S261" s="699"/>
      <c r="T261" s="614" t="s">
        <v>31</v>
      </c>
      <c r="U261" s="443">
        <f>IF(T$253="Error","Error",SUM(U255:U260))</f>
        <v>0</v>
      </c>
      <c r="V261" s="268">
        <f>IF(T$253="Error","Error",SUM(V255:V260))</f>
        <v>0</v>
      </c>
    </row>
    <row r="262" spans="1:51" s="637" customFormat="1" ht="15" customHeight="1" thickBot="1" x14ac:dyDescent="0.3">
      <c r="A262" s="701">
        <v>7</v>
      </c>
      <c r="B262" s="128" t="str">
        <f>IF(Paramètres!AP12=0,"",Paramètres!AP12)</f>
        <v/>
      </c>
      <c r="C262" s="711">
        <f t="shared" si="112"/>
        <v>0</v>
      </c>
      <c r="D262" s="129"/>
      <c r="E262" s="129"/>
      <c r="F262" s="710" t="str">
        <f t="shared" si="108"/>
        <v>/</v>
      </c>
      <c r="G262" s="130" t="str">
        <f>IF(I$254="Error","Error",IF(AND($E$254&lt;&gt;"/",$E$254&gt;'Paramètres - Admin'!$A8),'Paramètres - Admin'!$A9,"/"))</f>
        <v>/</v>
      </c>
      <c r="H262" s="442" t="str">
        <f>IF(G262&lt;&gt;"/",VLOOKUP(G262,COSTS_Archer[#All],2),"/")</f>
        <v>/</v>
      </c>
      <c r="I262" s="127" t="str">
        <f>IF(G262&lt;&gt;"/",VLOOKUP(G262,COSTS_Archer[#All],3),"/")</f>
        <v>/</v>
      </c>
      <c r="J262" s="442">
        <f t="shared" si="109"/>
        <v>0</v>
      </c>
      <c r="K262" s="131">
        <f t="shared" si="110"/>
        <v>0</v>
      </c>
      <c r="L262" s="1100" t="s">
        <v>184</v>
      </c>
      <c r="M262" s="1101"/>
      <c r="N262" s="1102"/>
      <c r="O262" s="85" t="s">
        <v>38</v>
      </c>
      <c r="P262" s="86" t="s">
        <v>39</v>
      </c>
      <c r="Q262" s="87"/>
      <c r="R262" s="88"/>
      <c r="S262" s="89"/>
      <c r="T262" s="615" t="s">
        <v>256</v>
      </c>
      <c r="U262" s="619" t="s">
        <v>362</v>
      </c>
      <c r="V262" s="616" t="s">
        <v>257</v>
      </c>
      <c r="AO262" s="152"/>
      <c r="AP262" s="152"/>
      <c r="AQ262" s="152"/>
      <c r="AR262" s="152"/>
      <c r="AS262" s="152"/>
      <c r="AT262" s="152"/>
      <c r="AU262" s="152"/>
      <c r="AV262" s="152"/>
      <c r="AW262" s="152"/>
      <c r="AX262" s="152"/>
      <c r="AY262" s="152"/>
    </row>
    <row r="263" spans="1:51" ht="15" customHeight="1" thickBot="1" x14ac:dyDescent="0.3">
      <c r="A263" s="721"/>
      <c r="B263" s="698"/>
      <c r="C263" s="698"/>
      <c r="D263" s="698"/>
      <c r="E263" s="698"/>
      <c r="F263" s="698"/>
      <c r="G263" s="698"/>
      <c r="H263" s="699"/>
      <c r="I263" s="614" t="s">
        <v>31</v>
      </c>
      <c r="J263" s="443">
        <f>IF(I$254="Error","Error",SUM(J256:J262))</f>
        <v>0</v>
      </c>
      <c r="K263" s="268">
        <f>IF(I$254="Error","Error",SUM(K256:K262))</f>
        <v>0</v>
      </c>
      <c r="L263" s="1103"/>
      <c r="M263" s="1104"/>
      <c r="N263" s="1105"/>
      <c r="O263" s="95">
        <f>VLOOKUP($A$2,AVAILABLE_Upgrades_Normal_Troops[#All],MATCH(L262,AVAILABLE_Upgrades_Normal_Troops[#Headers],0))</f>
        <v>0</v>
      </c>
      <c r="P263" s="621">
        <f>VLOOKUP(IF(ISERROR(LOOKUP(MATCH(1,Paramètres!$K$6:$K$45,0),Paramètres!$A$6:$A$45)),0,LOOKUP(MATCH(1,Paramètres!$K$6:$K$45,0),Paramètres!$A$6:$A$45)),AVAILABLE_Upgrades_Normal_Troops[#All],MATCH(L262,AVAILABLE_Upgrades_Normal_Troops[#Headers],0)+1)</f>
        <v>0</v>
      </c>
      <c r="Q263" s="230"/>
      <c r="R263" s="231"/>
      <c r="S263" s="232"/>
      <c r="T263" s="104">
        <f>IF(SUM(M265:M268)&gt;O263,"Error",SUM(M265:M268))</f>
        <v>0</v>
      </c>
      <c r="U263" s="105">
        <f>IF(T$263="Error","Error",O263-T263)</f>
        <v>0</v>
      </c>
      <c r="V263" s="233">
        <f>IF(T$263="Error","Error",SUM(Q265:Q268))</f>
        <v>0</v>
      </c>
    </row>
    <row r="264" spans="1:51" ht="15" customHeight="1" thickBot="1" x14ac:dyDescent="0.3">
      <c r="A264" s="1100" t="s">
        <v>189</v>
      </c>
      <c r="B264" s="1101"/>
      <c r="C264" s="1102"/>
      <c r="D264" s="85" t="s">
        <v>38</v>
      </c>
      <c r="E264" s="86" t="s">
        <v>39</v>
      </c>
      <c r="F264" s="87"/>
      <c r="G264" s="88"/>
      <c r="H264" s="89"/>
      <c r="I264" s="615" t="s">
        <v>256</v>
      </c>
      <c r="J264" s="619" t="s">
        <v>362</v>
      </c>
      <c r="K264" s="616" t="s">
        <v>257</v>
      </c>
      <c r="L264" s="625" t="s">
        <v>30</v>
      </c>
      <c r="M264" s="394" t="s">
        <v>29</v>
      </c>
      <c r="N264" s="720"/>
      <c r="O264" s="694"/>
      <c r="P264" s="695"/>
      <c r="Q264" s="546" t="s">
        <v>29</v>
      </c>
      <c r="R264" s="547" t="s">
        <v>30</v>
      </c>
      <c r="S264" s="272" t="s">
        <v>258</v>
      </c>
      <c r="T264" s="272" t="s">
        <v>259</v>
      </c>
      <c r="U264" s="272" t="s">
        <v>232</v>
      </c>
      <c r="V264" s="273" t="s">
        <v>233</v>
      </c>
    </row>
    <row r="265" spans="1:51" ht="15" customHeight="1" thickBot="1" x14ac:dyDescent="0.3">
      <c r="A265" s="1103"/>
      <c r="B265" s="1104"/>
      <c r="C265" s="1105"/>
      <c r="D265" s="95">
        <f>VLOOKUP($A$2,AVAILABLE_Upgrades_Normal_Troops[#All],MATCH(A264,AVAILABLE_Upgrades_Normal_Troops[#Headers],0))</f>
        <v>0</v>
      </c>
      <c r="E265" s="621">
        <f>VLOOKUP(IF(ISERROR(LOOKUP(MATCH(1,Paramètres!$K$6:$K$45,0),Paramètres!$A$6:$A$45)),0,LOOKUP(MATCH(1,Paramètres!$K$6:$K$45,0),Paramètres!$A$6:$A$45)),AVAILABLE_Upgrades_Normal_Troops[#All],MATCH(A264,AVAILABLE_Upgrades_Normal_Troops[#Headers],0)+1)</f>
        <v>0</v>
      </c>
      <c r="F265" s="230"/>
      <c r="G265" s="231"/>
      <c r="H265" s="232"/>
      <c r="I265" s="104">
        <f>IF(SUM(B267:B272)&gt;D265,"Error",SUM(B267:B272))</f>
        <v>0</v>
      </c>
      <c r="J265" s="105">
        <f>IF(I$265="Error","Error",D265-I265)</f>
        <v>0</v>
      </c>
      <c r="K265" s="233">
        <f>IF(I$265="Error","Error",SUM(F267:F272))</f>
        <v>0</v>
      </c>
      <c r="L265" s="122">
        <v>1</v>
      </c>
      <c r="M265" s="116" t="str">
        <f>IF(Paramètres!AV6=0,"",Paramètres!AV6)</f>
        <v/>
      </c>
      <c r="N265" s="711">
        <f>IF(N264&lt;&gt;0,N264+IF(AND(M264&lt;&gt;"",L264&lt;P$263),M264,0),IF(AND(M264&lt;&gt;"",L264&lt;P$263),M264,0))</f>
        <v>0</v>
      </c>
      <c r="O265" s="707"/>
      <c r="P265" s="707"/>
      <c r="Q265" s="708" t="str">
        <f>IF(R265&lt;&gt;"/",IF(T$263="Error","Error",$U$263+N265),"/")</f>
        <v>/</v>
      </c>
      <c r="R265" s="548" t="str">
        <f>IF(T$263="Error","Error",IF(AND($P$263&lt;&gt;"/",$P$263&gt;'Paramètres - Admin'!$A2),'Paramètres - Admin'!$A3,"/"))</f>
        <v>/</v>
      </c>
      <c r="S265" s="440" t="str">
        <f>IF(R265&lt;&gt;"/",VLOOKUP(R265,COSTS_Healer[#All],2),"/")</f>
        <v>/</v>
      </c>
      <c r="T265" s="549" t="str">
        <f>IF(R265&lt;&gt;"/",VLOOKUP(R265,COSTS_Healer[#All],3),"/")</f>
        <v>/</v>
      </c>
      <c r="U265" s="440">
        <f>IF(T$263="Error","Error",IF(S265&lt;&gt;"/",Q265*S265,0))</f>
        <v>0</v>
      </c>
      <c r="V265" s="550">
        <f>IF(T$263="Error","Error",IF(T265&lt;&gt;"/",Q265*T265,0))</f>
        <v>0</v>
      </c>
    </row>
    <row r="266" spans="1:51" ht="15" customHeight="1" thickBot="1" x14ac:dyDescent="0.3">
      <c r="A266" s="625" t="s">
        <v>30</v>
      </c>
      <c r="B266" s="394" t="s">
        <v>29</v>
      </c>
      <c r="C266" s="720"/>
      <c r="D266" s="694"/>
      <c r="E266" s="695"/>
      <c r="F266" s="546" t="s">
        <v>29</v>
      </c>
      <c r="G266" s="547" t="s">
        <v>30</v>
      </c>
      <c r="H266" s="272" t="s">
        <v>258</v>
      </c>
      <c r="I266" s="272" t="s">
        <v>259</v>
      </c>
      <c r="J266" s="272" t="s">
        <v>232</v>
      </c>
      <c r="K266" s="273" t="s">
        <v>233</v>
      </c>
      <c r="L266" s="700">
        <v>2</v>
      </c>
      <c r="M266" s="123" t="str">
        <f>IF(Paramètres!AV7=0,"",Paramètres!AV7)</f>
        <v/>
      </c>
      <c r="N266" s="711">
        <f t="shared" ref="N266:N268" si="113">IF(N265&lt;&gt;0,N265+IF(AND(M265&lt;&gt;"",L265&lt;P$263),M265,0),IF(AND(M265&lt;&gt;"",L265&lt;P$263),M265,0))</f>
        <v>0</v>
      </c>
      <c r="O266" s="630"/>
      <c r="P266" s="630"/>
      <c r="Q266" s="709" t="str">
        <f>IF(R266&lt;&gt;"/",IF(T$263="Error","Error",$U$263+N266),"/")</f>
        <v>/</v>
      </c>
      <c r="R266" s="120" t="str">
        <f>IF(T$263="Error","Error",IF(AND($P$263&lt;&gt;"/",$P$263&gt;'Paramètres - Admin'!$A3),'Paramètres - Admin'!$A4,"/"))</f>
        <v>/</v>
      </c>
      <c r="S266" s="441" t="str">
        <f>IF(R266&lt;&gt;"/",VLOOKUP(R266,COSTS_Healer[#All],2),"/")</f>
        <v>/</v>
      </c>
      <c r="T266" s="101" t="str">
        <f>IF(R266&lt;&gt;"/",VLOOKUP(R266,COSTS_Healer[#All],3),"/")</f>
        <v>/</v>
      </c>
      <c r="U266" s="441">
        <f>IF(T$263="Error","Error",IF(S266&lt;&gt;"/",Q266*S266,0))</f>
        <v>0</v>
      </c>
      <c r="V266" s="629">
        <f>IF(T$263="Error","Error",IF(T266&lt;&gt;"/",Q266*T266,0))</f>
        <v>0</v>
      </c>
    </row>
    <row r="267" spans="1:51" ht="15" customHeight="1" thickBot="1" x14ac:dyDescent="0.3">
      <c r="A267" s="122">
        <v>1</v>
      </c>
      <c r="B267" s="116" t="str">
        <f>IF(Paramètres!AQ6=0,"",Paramètres!AQ6)</f>
        <v/>
      </c>
      <c r="C267" s="711">
        <f>IF(C266&lt;&gt;0,C266+IF(AND(B266&lt;&gt;"",A266&lt;E$265),B266,0),IF(AND(B266&lt;&gt;"",A266&lt;E$265),B266,0))</f>
        <v>0</v>
      </c>
      <c r="D267" s="707"/>
      <c r="E267" s="707"/>
      <c r="F267" s="708" t="str">
        <f t="shared" ref="F267:F272" si="114">IF(G267&lt;&gt;"/",IF(I$265="Error","Error",$J$265+C267),"/")</f>
        <v>/</v>
      </c>
      <c r="G267" s="548" t="str">
        <f>IF(I$265="Error","Error",IF(AND($E$265&lt;&gt;"/",$E$265&gt;'Paramètres - Admin'!$A2),'Paramètres - Admin'!$A3,"/"))</f>
        <v>/</v>
      </c>
      <c r="H267" s="440" t="str">
        <f>IF(G267&lt;&gt;"/",VLOOKUP(G267,COSTS_Goblin[#All],2),"/")</f>
        <v>/</v>
      </c>
      <c r="I267" s="549" t="str">
        <f>IF(G267&lt;&gt;"/",VLOOKUP(G267,COSTS_Goblin[#All],3),"/")</f>
        <v>/</v>
      </c>
      <c r="J267" s="440">
        <f t="shared" ref="J267:J272" si="115">IF(I$265="Error","Error",IF(H267&lt;&gt;"/",F267*H267,0))</f>
        <v>0</v>
      </c>
      <c r="K267" s="550">
        <f t="shared" ref="K267:K272" si="116">IF(I$265="Error","Error",IF(I267&lt;&gt;"/",F267*I267,0))</f>
        <v>0</v>
      </c>
      <c r="L267" s="700">
        <v>3</v>
      </c>
      <c r="M267" s="123" t="str">
        <f>IF(Paramètres!AV8=0,"",Paramètres!AV8)</f>
        <v/>
      </c>
      <c r="N267" s="711">
        <f t="shared" si="113"/>
        <v>0</v>
      </c>
      <c r="O267" s="630"/>
      <c r="P267" s="630"/>
      <c r="Q267" s="709" t="str">
        <f>IF(R267&lt;&gt;"/",IF(T$263="Error","Error",$U$263+N267),"/")</f>
        <v>/</v>
      </c>
      <c r="R267" s="120" t="str">
        <f>IF(T$263="Error","Error",IF(AND($P$263&lt;&gt;"/",$P$263&gt;'Paramètres - Admin'!$A4),'Paramètres - Admin'!$A5,"/"))</f>
        <v>/</v>
      </c>
      <c r="S267" s="441" t="str">
        <f>IF(R267&lt;&gt;"/",VLOOKUP(R267,COSTS_Healer[#All],2),"/")</f>
        <v>/</v>
      </c>
      <c r="T267" s="101" t="str">
        <f>IF(R267&lt;&gt;"/",VLOOKUP(R267,COSTS_Healer[#All],3),"/")</f>
        <v>/</v>
      </c>
      <c r="U267" s="441">
        <f>IF(T$263="Error","Error",IF(S267&lt;&gt;"/",Q267*S267,0))</f>
        <v>0</v>
      </c>
      <c r="V267" s="629">
        <f>IF(T$263="Error","Error",IF(T267&lt;&gt;"/",Q267*T267,0))</f>
        <v>0</v>
      </c>
    </row>
    <row r="268" spans="1:51" ht="15" customHeight="1" thickBot="1" x14ac:dyDescent="0.3">
      <c r="A268" s="700">
        <v>2</v>
      </c>
      <c r="B268" s="123" t="str">
        <f>IF(Paramètres!AQ7=0,"",Paramètres!AQ7)</f>
        <v/>
      </c>
      <c r="C268" s="711">
        <f t="shared" ref="C268:C272" si="117">IF(C267&lt;&gt;0,C267+IF(AND(B267&lt;&gt;"",A267&lt;E$265),B267,0),IF(AND(B267&lt;&gt;"",A267&lt;E$265),B267,0))</f>
        <v>0</v>
      </c>
      <c r="D268" s="630"/>
      <c r="E268" s="630"/>
      <c r="F268" s="709" t="str">
        <f t="shared" si="114"/>
        <v>/</v>
      </c>
      <c r="G268" s="120" t="str">
        <f>IF(I$265="Error","Error",IF(AND($E$265&lt;&gt;"/",$E$265&gt;'Paramètres - Admin'!$A3),'Paramètres - Admin'!$A4,"/"))</f>
        <v>/</v>
      </c>
      <c r="H268" s="441" t="str">
        <f>IF(G268&lt;&gt;"/",VLOOKUP(G268,COSTS_Goblin[#All],2),"/")</f>
        <v>/</v>
      </c>
      <c r="I268" s="101" t="str">
        <f>IF(G268&lt;&gt;"/",VLOOKUP(G268,COSTS_Goblin[#All],3),"/")</f>
        <v>/</v>
      </c>
      <c r="J268" s="441">
        <f t="shared" si="115"/>
        <v>0</v>
      </c>
      <c r="K268" s="629">
        <f t="shared" si="116"/>
        <v>0</v>
      </c>
      <c r="L268" s="701">
        <v>4</v>
      </c>
      <c r="M268" s="128" t="str">
        <f>IF(Paramètres!AV9=0,"",Paramètres!AV9)</f>
        <v/>
      </c>
      <c r="N268" s="711">
        <f t="shared" si="113"/>
        <v>0</v>
      </c>
      <c r="O268" s="630"/>
      <c r="P268" s="630"/>
      <c r="Q268" s="709" t="str">
        <f>IF(R268&lt;&gt;"/",IF(T$263="Error","Error",$U$263+N268),"/")</f>
        <v>/</v>
      </c>
      <c r="R268" s="120" t="str">
        <f>IF(T$263="Error","Error",IF(AND($P$263&lt;&gt;"/",$P$263&gt;'Paramètres - Admin'!$A5),'Paramètres - Admin'!$A6,"/"))</f>
        <v>/</v>
      </c>
      <c r="S268" s="441" t="str">
        <f>IF(R268&lt;&gt;"/",VLOOKUP(R268,COSTS_Healer[#All],2),"/")</f>
        <v>/</v>
      </c>
      <c r="T268" s="722" t="str">
        <f>IF(R268&lt;&gt;"/",VLOOKUP(R268,COSTS_Healer[#All],3),"/")</f>
        <v>/</v>
      </c>
      <c r="U268" s="450">
        <f>IF(T$263="Error","Error",IF(S268&lt;&gt;"/",Q268*S268,0))</f>
        <v>0</v>
      </c>
      <c r="V268" s="723">
        <f>IF(T$263="Error","Error",IF(T268&lt;&gt;"/",Q268*T268,0))</f>
        <v>0</v>
      </c>
    </row>
    <row r="269" spans="1:51" ht="15" customHeight="1" thickBot="1" x14ac:dyDescent="0.3">
      <c r="A269" s="700">
        <v>3</v>
      </c>
      <c r="B269" s="123" t="str">
        <f>IF(Paramètres!AQ8=0,"",Paramètres!AQ8)</f>
        <v/>
      </c>
      <c r="C269" s="711">
        <f t="shared" si="117"/>
        <v>0</v>
      </c>
      <c r="D269" s="630"/>
      <c r="E269" s="630"/>
      <c r="F269" s="709" t="str">
        <f t="shared" si="114"/>
        <v>/</v>
      </c>
      <c r="G269" s="120" t="str">
        <f>IF(I$265="Error","Error",IF(AND($E$265&lt;&gt;"/",$E$265&gt;'Paramètres - Admin'!$A4),'Paramètres - Admin'!$A5,"/"))</f>
        <v>/</v>
      </c>
      <c r="H269" s="441" t="str">
        <f>IF(G269&lt;&gt;"/",VLOOKUP(G269,COSTS_Goblin[#All],2),"/")</f>
        <v>/</v>
      </c>
      <c r="I269" s="101" t="str">
        <f>IF(G269&lt;&gt;"/",VLOOKUP(G269,COSTS_Goblin[#All],3),"/")</f>
        <v>/</v>
      </c>
      <c r="J269" s="441">
        <f t="shared" si="115"/>
        <v>0</v>
      </c>
      <c r="K269" s="629">
        <f t="shared" si="116"/>
        <v>0</v>
      </c>
      <c r="L269" s="698"/>
      <c r="M269" s="698"/>
      <c r="N269" s="698"/>
      <c r="O269" s="698"/>
      <c r="P269" s="698"/>
      <c r="Q269" s="698"/>
      <c r="R269" s="698"/>
      <c r="S269" s="699"/>
      <c r="T269" s="329" t="s">
        <v>31</v>
      </c>
      <c r="U269" s="452">
        <f>IF(T$263="Error","Error",SUM(U265:U268))</f>
        <v>0</v>
      </c>
      <c r="V269" s="727">
        <f>IF(T$263="Error","Error",SUM(V265:V268))</f>
        <v>0</v>
      </c>
    </row>
    <row r="270" spans="1:51" ht="15" customHeight="1" thickBot="1" x14ac:dyDescent="0.3">
      <c r="A270" s="700">
        <v>4</v>
      </c>
      <c r="B270" s="123" t="str">
        <f>IF(Paramètres!AQ9=0,"",Paramètres!AQ9)</f>
        <v/>
      </c>
      <c r="C270" s="711">
        <f t="shared" si="117"/>
        <v>0</v>
      </c>
      <c r="D270" s="630"/>
      <c r="E270" s="630"/>
      <c r="F270" s="709" t="str">
        <f t="shared" si="114"/>
        <v>/</v>
      </c>
      <c r="G270" s="120" t="str">
        <f>IF(I$265="Error","Error",IF(AND($E$265&lt;&gt;"/",$E$265&gt;'Paramètres - Admin'!$A5),'Paramètres - Admin'!$A6,"/"))</f>
        <v>/</v>
      </c>
      <c r="H270" s="441" t="str">
        <f>IF(G270&lt;&gt;"/",VLOOKUP(G270,COSTS_Goblin[#All],2),"/")</f>
        <v>/</v>
      </c>
      <c r="I270" s="101" t="str">
        <f>IF(G270&lt;&gt;"/",VLOOKUP(G270,COSTS_Goblin[#All],3),"/")</f>
        <v>/</v>
      </c>
      <c r="J270" s="441">
        <f t="shared" si="115"/>
        <v>0</v>
      </c>
      <c r="K270" s="629">
        <f t="shared" si="116"/>
        <v>0</v>
      </c>
      <c r="L270" s="1100" t="s">
        <v>57</v>
      </c>
      <c r="M270" s="1101"/>
      <c r="N270" s="1102"/>
      <c r="O270" s="615" t="s">
        <v>38</v>
      </c>
      <c r="P270" s="616" t="s">
        <v>39</v>
      </c>
      <c r="Q270" s="87"/>
      <c r="R270" s="617"/>
      <c r="S270" s="618"/>
      <c r="T270" s="615" t="s">
        <v>256</v>
      </c>
      <c r="U270" s="619" t="s">
        <v>362</v>
      </c>
      <c r="V270" s="616" t="s">
        <v>257</v>
      </c>
    </row>
    <row r="271" spans="1:51" ht="15" customHeight="1" thickBot="1" x14ac:dyDescent="0.3">
      <c r="A271" s="700">
        <v>5</v>
      </c>
      <c r="B271" s="123" t="str">
        <f>IF(Paramètres!AQ10=0,"",Paramètres!AQ10)</f>
        <v/>
      </c>
      <c r="C271" s="711">
        <f t="shared" si="117"/>
        <v>0</v>
      </c>
      <c r="D271" s="630"/>
      <c r="E271" s="630"/>
      <c r="F271" s="709" t="str">
        <f t="shared" si="114"/>
        <v>/</v>
      </c>
      <c r="G271" s="120" t="str">
        <f>IF(I$265="Error","Error",IF(AND($E$265&lt;&gt;"/",$E$265&gt;'Paramètres - Admin'!$A6),'Paramètres - Admin'!$A7,"/"))</f>
        <v>/</v>
      </c>
      <c r="H271" s="441" t="str">
        <f>IF(G271&lt;&gt;"/",VLOOKUP(G271,COSTS_Goblin[#All],2),"/")</f>
        <v>/</v>
      </c>
      <c r="I271" s="101" t="str">
        <f>IF(G271&lt;&gt;"/",VLOOKUP(G271,COSTS_Goblin[#All],3),"/")</f>
        <v>/</v>
      </c>
      <c r="J271" s="441">
        <f t="shared" si="115"/>
        <v>0</v>
      </c>
      <c r="K271" s="629">
        <f t="shared" si="116"/>
        <v>0</v>
      </c>
      <c r="L271" s="1103"/>
      <c r="M271" s="1104"/>
      <c r="N271" s="1105"/>
      <c r="O271" s="620">
        <f>VLOOKUP($A$2,AVAILABLE_Upgrades_Normal_Troops[#All],MATCH(L270,AVAILABLE_Upgrades_Normal_Troops[#Headers],0))</f>
        <v>0</v>
      </c>
      <c r="P271" s="621">
        <f>VLOOKUP(IF(ISERROR(LOOKUP(MATCH(1,Paramètres!$K$6:$K$45,0),Paramètres!$A$6:$A$45)),0,LOOKUP(MATCH(1,Paramètres!$K$6:$K$45,0),Paramètres!$A$6:$A$45)),AVAILABLE_Upgrades_Normal_Troops[#All],MATCH(L270,AVAILABLE_Upgrades_Normal_Troops[#Headers],0)+1)</f>
        <v>0</v>
      </c>
      <c r="Q271" s="738"/>
      <c r="R271" s="326"/>
      <c r="S271" s="327"/>
      <c r="T271" s="620">
        <f>IF(SUM(M273:M277)&gt;O271,"Error",SUM(M273:M277))</f>
        <v>0</v>
      </c>
      <c r="U271" s="264">
        <f>IF(T$271="Error","Error",O271-T271)</f>
        <v>0</v>
      </c>
      <c r="V271" s="265">
        <f>IF(T$271="Error","Error",SUM(Q273:Q277))</f>
        <v>0</v>
      </c>
    </row>
    <row r="272" spans="1:51" ht="15" customHeight="1" thickBot="1" x14ac:dyDescent="0.3">
      <c r="A272" s="701">
        <v>6</v>
      </c>
      <c r="B272" s="128" t="str">
        <f>IF(Paramètres!AQ11=0,"",Paramètres!AQ11)</f>
        <v/>
      </c>
      <c r="C272" s="711">
        <f t="shared" si="117"/>
        <v>0</v>
      </c>
      <c r="D272" s="129"/>
      <c r="E272" s="129"/>
      <c r="F272" s="710" t="str">
        <f t="shared" si="114"/>
        <v>/</v>
      </c>
      <c r="G272" s="130" t="str">
        <f>IF(I$265="Error","Error",IF(AND($E$265&lt;&gt;"/",$E$265&gt;'Paramètres - Admin'!$A7),'Paramètres - Admin'!$A8,"/"))</f>
        <v>/</v>
      </c>
      <c r="H272" s="442" t="str">
        <f>IF(G272&lt;&gt;"/",VLOOKUP(G272,COSTS_Goblin[#All],2),"/")</f>
        <v>/</v>
      </c>
      <c r="I272" s="127" t="str">
        <f>IF(G272&lt;&gt;"/",VLOOKUP(G272,COSTS_Goblin[#All],3),"/")</f>
        <v>/</v>
      </c>
      <c r="J272" s="442">
        <f t="shared" si="115"/>
        <v>0</v>
      </c>
      <c r="K272" s="131">
        <f t="shared" si="116"/>
        <v>0</v>
      </c>
      <c r="L272" s="625" t="s">
        <v>30</v>
      </c>
      <c r="M272" s="394" t="s">
        <v>29</v>
      </c>
      <c r="N272" s="720"/>
      <c r="O272" s="694"/>
      <c r="P272" s="695"/>
      <c r="Q272" s="546" t="s">
        <v>29</v>
      </c>
      <c r="R272" s="547" t="s">
        <v>30</v>
      </c>
      <c r="S272" s="272" t="s">
        <v>258</v>
      </c>
      <c r="T272" s="272" t="s">
        <v>259</v>
      </c>
      <c r="U272" s="272" t="s">
        <v>232</v>
      </c>
      <c r="V272" s="273" t="s">
        <v>233</v>
      </c>
    </row>
    <row r="273" spans="1:24" ht="15" customHeight="1" thickBot="1" x14ac:dyDescent="0.3">
      <c r="A273" s="721"/>
      <c r="B273" s="698"/>
      <c r="C273" s="698"/>
      <c r="D273" s="698"/>
      <c r="E273" s="698"/>
      <c r="F273" s="698"/>
      <c r="G273" s="698"/>
      <c r="H273" s="699"/>
      <c r="I273" s="614" t="s">
        <v>31</v>
      </c>
      <c r="J273" s="443">
        <f>IF(I$265="Error","Error",SUM(J267:J272))</f>
        <v>0</v>
      </c>
      <c r="K273" s="268">
        <f>IF(I$265="Error","Error",SUM(K267:K272))</f>
        <v>0</v>
      </c>
      <c r="L273" s="122">
        <v>1</v>
      </c>
      <c r="M273" s="116" t="str">
        <f>IF(Paramètres!AW6=0,"",Paramètres!AW6)</f>
        <v/>
      </c>
      <c r="N273" s="711">
        <f>IF(N272&lt;&gt;0,N272+IF(AND(M272&lt;&gt;"",L272&lt;P$271),M272,0),IF(AND(M272&lt;&gt;"",L272&lt;P$271),M272,0))</f>
        <v>0</v>
      </c>
      <c r="O273" s="707"/>
      <c r="P273" s="707"/>
      <c r="Q273" s="708" t="str">
        <f>IF(R273&lt;&gt;"/",IF(T$271="Error","Error",$U$271+N273),"/")</f>
        <v>/</v>
      </c>
      <c r="R273" s="548" t="str">
        <f>IF(T$271="Error","Error",IF(AND($P$271&lt;&gt;"/",$P$271&gt;'Paramètres - Admin'!$A2),'Paramètres - Admin'!$A3,"/"))</f>
        <v>/</v>
      </c>
      <c r="S273" s="440" t="str">
        <f>IF(R273&lt;&gt;"/",VLOOKUP(R273,COSTS_Dragon[#All],2),"/")</f>
        <v>/</v>
      </c>
      <c r="T273" s="549" t="str">
        <f>IF(R273&lt;&gt;"/",VLOOKUP(R273,COSTS_Dragon[#All],3),"/")</f>
        <v>/</v>
      </c>
      <c r="U273" s="440">
        <f>IF(T$271="Error","Error",IF(S273&lt;&gt;"/",Q273*S273,0))</f>
        <v>0</v>
      </c>
      <c r="V273" s="550">
        <f>IF(T$271="Error","Error",IF(T273&lt;&gt;"/",Q273*T273,0))</f>
        <v>0</v>
      </c>
    </row>
    <row r="274" spans="1:24" ht="15" customHeight="1" thickBot="1" x14ac:dyDescent="0.3">
      <c r="A274" s="1100" t="s">
        <v>188</v>
      </c>
      <c r="B274" s="1101"/>
      <c r="C274" s="1102"/>
      <c r="D274" s="85" t="s">
        <v>38</v>
      </c>
      <c r="E274" s="86" t="s">
        <v>39</v>
      </c>
      <c r="F274" s="87"/>
      <c r="G274" s="88"/>
      <c r="H274" s="89"/>
      <c r="I274" s="615" t="s">
        <v>256</v>
      </c>
      <c r="J274" s="619" t="s">
        <v>362</v>
      </c>
      <c r="K274" s="616" t="s">
        <v>257</v>
      </c>
      <c r="L274" s="700">
        <v>2</v>
      </c>
      <c r="M274" s="123" t="str">
        <f>IF(Paramètres!AW7=0,"",Paramètres!AW7)</f>
        <v/>
      </c>
      <c r="N274" s="711">
        <f t="shared" ref="N274:N275" si="118">IF(N273&lt;&gt;0,N273+IF(AND(M273&lt;&gt;"",L273&lt;P$271),M273,0),IF(AND(M273&lt;&gt;"",L273&lt;P$271),M273,0))</f>
        <v>0</v>
      </c>
      <c r="O274" s="630"/>
      <c r="P274" s="630"/>
      <c r="Q274" s="709" t="str">
        <f>IF(R274&lt;&gt;"/",IF(T$271="Error","Error",$U$271+N274),"/")</f>
        <v>/</v>
      </c>
      <c r="R274" s="120" t="str">
        <f>IF(T$271="Error","Error",IF(AND($P$271&lt;&gt;"/",$P$271&gt;'Paramètres - Admin'!$A3),'Paramètres - Admin'!$A4,"/"))</f>
        <v>/</v>
      </c>
      <c r="S274" s="441" t="str">
        <f>IF(R274&lt;&gt;"/",VLOOKUP(R274,COSTS_Dragon[#All],2),"/")</f>
        <v>/</v>
      </c>
      <c r="T274" s="101" t="str">
        <f>IF(R274&lt;&gt;"/",VLOOKUP(R274,COSTS_Dragon[#All],3),"/")</f>
        <v>/</v>
      </c>
      <c r="U274" s="441">
        <f>IF(T$271="Error","Error",IF(S274&lt;&gt;"/",Q274*S274,0))</f>
        <v>0</v>
      </c>
      <c r="V274" s="629">
        <f>IF(T$271="Error","Error",IF(T274&lt;&gt;"/",Q274*T274,0))</f>
        <v>0</v>
      </c>
    </row>
    <row r="275" spans="1:24" ht="15" customHeight="1" thickBot="1" x14ac:dyDescent="0.3">
      <c r="A275" s="1150"/>
      <c r="B275" s="1151"/>
      <c r="C275" s="1152"/>
      <c r="D275" s="623">
        <f>VLOOKUP($A$2,AVAILABLE_Upgrades_Normal_Troops[#All],MATCH(A274,AVAILABLE_Upgrades_Normal_Troops[#Headers],0))</f>
        <v>0</v>
      </c>
      <c r="E275" s="466">
        <f>VLOOKUP(IF(ISERROR(LOOKUP(MATCH(1,Paramètres!$K$6:$K$45,0),Paramètres!$A$6:$A$45)),0,LOOKUP(MATCH(1,Paramètres!$K$6:$K$45,0),Paramètres!$A$6:$A$45)),AVAILABLE_Upgrades_Normal_Troops[#All],MATCH(A274,AVAILABLE_Upgrades_Normal_Troops[#Headers],0)+1)</f>
        <v>0</v>
      </c>
      <c r="F275" s="230"/>
      <c r="G275" s="231"/>
      <c r="H275" s="232"/>
      <c r="I275" s="104">
        <f>IF(SUM(B277:B283)&gt;D275,"Error",SUM(B277:B283))</f>
        <v>0</v>
      </c>
      <c r="J275" s="105">
        <f>IF(I$275="Error","Error",D275-I275)</f>
        <v>0</v>
      </c>
      <c r="K275" s="233">
        <f>IF(I$275="Error","Error",SUM(F277:F283))</f>
        <v>0</v>
      </c>
      <c r="L275" s="700">
        <v>3</v>
      </c>
      <c r="M275" s="123" t="str">
        <f>IF(Paramètres!AW8=0,"",Paramètres!AW8)</f>
        <v/>
      </c>
      <c r="N275" s="711">
        <f t="shared" si="118"/>
        <v>0</v>
      </c>
      <c r="O275" s="630"/>
      <c r="P275" s="630"/>
      <c r="Q275" s="709" t="str">
        <f>IF(R275&lt;&gt;"/",IF(T$271="Error","Error",$U$271+N275),"/")</f>
        <v>/</v>
      </c>
      <c r="R275" s="120" t="str">
        <f>IF(T$271="Error","Error",IF(AND($P$271&lt;&gt;"/",$P$271&gt;'Paramètres - Admin'!$A4),'Paramètres - Admin'!$A5,"/"))</f>
        <v>/</v>
      </c>
      <c r="S275" s="441" t="str">
        <f>IF(R275&lt;&gt;"/",VLOOKUP(R275,COSTS_Dragon[#All],2),"/")</f>
        <v>/</v>
      </c>
      <c r="T275" s="101" t="str">
        <f>IF(R275&lt;&gt;"/",VLOOKUP(R275,COSTS_Dragon[#All],3),"/")</f>
        <v>/</v>
      </c>
      <c r="U275" s="441">
        <f>IF(T$271="Error","Error",IF(S275&lt;&gt;"/",Q275*S275,0))</f>
        <v>0</v>
      </c>
      <c r="V275" s="629">
        <f>IF(T$271="Error","Error",IF(T275&lt;&gt;"/",Q275*T275,0))</f>
        <v>0</v>
      </c>
    </row>
    <row r="276" spans="1:24" ht="15" customHeight="1" thickBot="1" x14ac:dyDescent="0.3">
      <c r="A276" s="752" t="s">
        <v>30</v>
      </c>
      <c r="B276" s="218" t="s">
        <v>29</v>
      </c>
      <c r="C276" s="753"/>
      <c r="D276" s="707"/>
      <c r="E276" s="707"/>
      <c r="F276" s="751" t="s">
        <v>29</v>
      </c>
      <c r="G276" s="751" t="s">
        <v>30</v>
      </c>
      <c r="H276" s="619" t="s">
        <v>258</v>
      </c>
      <c r="I276" s="619" t="s">
        <v>259</v>
      </c>
      <c r="J276" s="619" t="s">
        <v>232</v>
      </c>
      <c r="K276" s="616" t="s">
        <v>233</v>
      </c>
      <c r="L276" s="1011">
        <v>3</v>
      </c>
      <c r="M276" s="123" t="str">
        <f>IF(Paramètres!AW9=0,"",Paramètres!AW9)</f>
        <v/>
      </c>
      <c r="N276" s="711">
        <f t="shared" ref="N276" si="119">IF(N275&lt;&gt;0,N275+IF(AND(M275&lt;&gt;"",L275&lt;P$271),M275,0),IF(AND(M275&lt;&gt;"",L275&lt;P$271),M275,0))</f>
        <v>0</v>
      </c>
      <c r="O276" s="630"/>
      <c r="P276" s="630"/>
      <c r="Q276" s="709" t="str">
        <f>IF(R276&lt;&gt;"/",IF(T$271="Error","Error",$U$271+N276),"/")</f>
        <v>/</v>
      </c>
      <c r="R276" s="120" t="str">
        <f>IF(T$271="Error","Error",IF(AND($P$271&lt;&gt;"/",$P$271&gt;'Paramètres - Admin'!$A5),'Paramètres - Admin'!$A6,"/"))</f>
        <v>/</v>
      </c>
      <c r="S276" s="441" t="str">
        <f>IF(R276&lt;&gt;"/",VLOOKUP(R276,COSTS_Dragon[#All],2),"/")</f>
        <v>/</v>
      </c>
      <c r="T276" s="101" t="str">
        <f>IF(R276&lt;&gt;"/",VLOOKUP(R276,COSTS_Dragon[#All],3),"/")</f>
        <v>/</v>
      </c>
      <c r="U276" s="441">
        <f>IF(T$271="Error","Error",IF(S276&lt;&gt;"/",Q276*S276,0))</f>
        <v>0</v>
      </c>
      <c r="V276" s="629">
        <f>IF(T$271="Error","Error",IF(T276&lt;&gt;"/",Q276*T276,0))</f>
        <v>0</v>
      </c>
    </row>
    <row r="277" spans="1:24" ht="15" customHeight="1" thickBot="1" x14ac:dyDescent="0.3">
      <c r="A277" s="636">
        <v>1</v>
      </c>
      <c r="B277" s="123" t="str">
        <f>IF(Paramètres!AR6=0,"",Paramètres!AR6)</f>
        <v/>
      </c>
      <c r="C277" s="691">
        <f>IF(C276&lt;&gt;0,C276+IF(AND(B276&lt;&gt;"",A276&lt;E$275),B276,0),IF(AND(B276&lt;&gt;"",A276&lt;E$275),B276,0))</f>
        <v>0</v>
      </c>
      <c r="D277" s="630"/>
      <c r="E277" s="630"/>
      <c r="F277" s="709" t="str">
        <f t="shared" ref="F277:F283" si="120">IF(G277&lt;&gt;"/",IF(I$275="Error","Error",$J$275+C277),"/")</f>
        <v>/</v>
      </c>
      <c r="G277" s="120" t="str">
        <f>IF(I$275="Error","Error",IF(AND($E$275&lt;&gt;"/",$E$275&gt;'Paramètres - Admin'!$A2),'Paramètres - Admin'!$A3,"/"))</f>
        <v>/</v>
      </c>
      <c r="H277" s="441" t="str">
        <f>IF(G277&lt;&gt;"/",VLOOKUP(G277,COSTS_Giant[#All],2),"/")</f>
        <v>/</v>
      </c>
      <c r="I277" s="101" t="str">
        <f>IF(G277&lt;&gt;"/",VLOOKUP(G277,COSTS_Giant[#All],3),"/")</f>
        <v>/</v>
      </c>
      <c r="J277" s="441">
        <f t="shared" ref="J277:J283" si="121">IF(I$275="Error","Error",IF(H277&lt;&gt;"/",F277*H277,0))</f>
        <v>0</v>
      </c>
      <c r="K277" s="629">
        <f t="shared" ref="K277:K283" si="122">IF(I$275="Error","Error",IF(I277&lt;&gt;"/",F277*I277,0))</f>
        <v>0</v>
      </c>
      <c r="L277" s="750">
        <v>5</v>
      </c>
      <c r="M277" s="128" t="str">
        <f>IF(Paramètres!AW10=0,"",Paramètres!AW10)</f>
        <v/>
      </c>
      <c r="N277" s="711">
        <f>IF(N276&lt;&gt;0,N276+IF(AND(M276&lt;&gt;"",L276&lt;P$271),M276,0),IF(AND(M276&lt;&gt;"",L276&lt;P$271),M276,0))</f>
        <v>0</v>
      </c>
      <c r="O277" s="129"/>
      <c r="P277" s="129"/>
      <c r="Q277" s="710" t="str">
        <f>IF(R277&lt;&gt;"/",IF(T$271="Error","Error",$U$271+N277),"/")</f>
        <v>/</v>
      </c>
      <c r="R277" s="130" t="str">
        <f>IF(T$271="Error","Error",IF(AND($P$271&lt;&gt;"/",$P$271&gt;'Paramètres - Admin'!$A6),'Paramètres - Admin'!$A7,"/"))</f>
        <v>/</v>
      </c>
      <c r="S277" s="442" t="str">
        <f>IF(R277&lt;&gt;"/",VLOOKUP(R277,COSTS_Dragon[#All],2),"/")</f>
        <v>/</v>
      </c>
      <c r="T277" s="127" t="str">
        <f>IF(R277&lt;&gt;"/",VLOOKUP(R277,COSTS_Dragon[#All],3),"/")</f>
        <v>/</v>
      </c>
      <c r="U277" s="442">
        <f>IF(T$271="Error","Error",IF(S277&lt;&gt;"/",Q277*S277,0))</f>
        <v>0</v>
      </c>
      <c r="V277" s="131">
        <f>IF(T$271="Error","Error",IF(T277&lt;&gt;"/",Q277*T277,0))</f>
        <v>0</v>
      </c>
      <c r="X277" s="637"/>
    </row>
    <row r="278" spans="1:24" ht="15" customHeight="1" thickBot="1" x14ac:dyDescent="0.3">
      <c r="A278" s="636">
        <v>2</v>
      </c>
      <c r="B278" s="123" t="str">
        <f>IF(Paramètres!AR7=0,"",Paramètres!AR7)</f>
        <v/>
      </c>
      <c r="C278" s="691">
        <f t="shared" ref="C278:C283" si="123">IF(C277&lt;&gt;0,C277+IF(AND(B277&lt;&gt;"",A277&lt;E$275),B277,0),IF(AND(B277&lt;&gt;"",A277&lt;E$275),B277,0))</f>
        <v>0</v>
      </c>
      <c r="D278" s="630"/>
      <c r="E278" s="630"/>
      <c r="F278" s="709" t="str">
        <f t="shared" si="120"/>
        <v>/</v>
      </c>
      <c r="G278" s="120" t="str">
        <f>IF(I$275="Error","Error",IF(AND($E$275&lt;&gt;"/",$E$275&gt;'Paramètres - Admin'!$A3),'Paramètres - Admin'!$A4,"/"))</f>
        <v>/</v>
      </c>
      <c r="H278" s="441" t="str">
        <f>IF(G278&lt;&gt;"/",VLOOKUP(G278,COSTS_Giant[#All],2),"/")</f>
        <v>/</v>
      </c>
      <c r="I278" s="101" t="str">
        <f>IF(G278&lt;&gt;"/",VLOOKUP(G278,COSTS_Giant[#All],3),"/")</f>
        <v>/</v>
      </c>
      <c r="J278" s="441">
        <f t="shared" si="121"/>
        <v>0</v>
      </c>
      <c r="K278" s="629">
        <f t="shared" si="122"/>
        <v>0</v>
      </c>
      <c r="L278" s="1008"/>
      <c r="M278" s="1008"/>
      <c r="N278" s="1008"/>
      <c r="O278" s="1008"/>
      <c r="P278" s="1008"/>
      <c r="Q278" s="1008"/>
      <c r="R278" s="1008"/>
      <c r="S278" s="1009"/>
      <c r="T278" s="614" t="s">
        <v>31</v>
      </c>
      <c r="U278" s="443">
        <f>IF(T$271="Error","Error",SUM(U273:U277))</f>
        <v>0</v>
      </c>
      <c r="V278" s="655">
        <f>IF(T$271="Error","Error",SUM(V273:V277))</f>
        <v>0</v>
      </c>
      <c r="X278" s="637"/>
    </row>
    <row r="279" spans="1:24" ht="15" customHeight="1" x14ac:dyDescent="0.25">
      <c r="A279" s="636">
        <v>3</v>
      </c>
      <c r="B279" s="123" t="str">
        <f>IF(Paramètres!AR8=0,"",Paramètres!AR8)</f>
        <v/>
      </c>
      <c r="C279" s="691">
        <f t="shared" si="123"/>
        <v>0</v>
      </c>
      <c r="D279" s="630"/>
      <c r="E279" s="630"/>
      <c r="F279" s="709" t="str">
        <f t="shared" si="120"/>
        <v>/</v>
      </c>
      <c r="G279" s="120" t="str">
        <f>IF(I$275="Error","Error",IF(AND($E$275&lt;&gt;"/",$E$275&gt;'Paramètres - Admin'!$A4),'Paramètres - Admin'!$A5,"/"))</f>
        <v>/</v>
      </c>
      <c r="H279" s="441" t="str">
        <f>IF(G279&lt;&gt;"/",VLOOKUP(G279,COSTS_Giant[#All],2),"/")</f>
        <v>/</v>
      </c>
      <c r="I279" s="101" t="str">
        <f>IF(G279&lt;&gt;"/",VLOOKUP(G279,COSTS_Giant[#All],3),"/")</f>
        <v>/</v>
      </c>
      <c r="J279" s="441">
        <f t="shared" si="121"/>
        <v>0</v>
      </c>
      <c r="K279" s="629">
        <f t="shared" si="122"/>
        <v>0</v>
      </c>
      <c r="L279" s="1100" t="s">
        <v>58</v>
      </c>
      <c r="M279" s="1101"/>
      <c r="N279" s="1102"/>
      <c r="O279" s="615" t="s">
        <v>38</v>
      </c>
      <c r="P279" s="616" t="s">
        <v>39</v>
      </c>
      <c r="Q279" s="87"/>
      <c r="R279" s="617"/>
      <c r="S279" s="618"/>
      <c r="T279" s="615" t="s">
        <v>256</v>
      </c>
      <c r="U279" s="619" t="s">
        <v>362</v>
      </c>
      <c r="V279" s="616" t="s">
        <v>257</v>
      </c>
    </row>
    <row r="280" spans="1:24" ht="15" customHeight="1" thickBot="1" x14ac:dyDescent="0.3">
      <c r="A280" s="636">
        <v>4</v>
      </c>
      <c r="B280" s="123" t="str">
        <f>IF(Paramètres!AR9=0,"",Paramètres!AR9)</f>
        <v/>
      </c>
      <c r="C280" s="691">
        <f t="shared" si="123"/>
        <v>0</v>
      </c>
      <c r="D280" s="630"/>
      <c r="E280" s="630"/>
      <c r="F280" s="709" t="str">
        <f t="shared" si="120"/>
        <v>/</v>
      </c>
      <c r="G280" s="120" t="str">
        <f>IF(I$275="Error","Error",IF(AND($E$275&lt;&gt;"/",$E$275&gt;'Paramètres - Admin'!$A5),'Paramètres - Admin'!$A6,"/"))</f>
        <v>/</v>
      </c>
      <c r="H280" s="441" t="str">
        <f>IF(G280&lt;&gt;"/",VLOOKUP(G280,COSTS_Giant[#All],2),"/")</f>
        <v>/</v>
      </c>
      <c r="I280" s="101" t="str">
        <f>IF(G280&lt;&gt;"/",VLOOKUP(G280,COSTS_Giant[#All],3),"/")</f>
        <v>/</v>
      </c>
      <c r="J280" s="441">
        <f t="shared" si="121"/>
        <v>0</v>
      </c>
      <c r="K280" s="629">
        <f t="shared" si="122"/>
        <v>0</v>
      </c>
      <c r="L280" s="1103"/>
      <c r="M280" s="1104"/>
      <c r="N280" s="1105"/>
      <c r="O280" s="620">
        <f>VLOOKUP($A$2,AVAILABLE_Upgrades_Normal_Troops[#All],MATCH(L279,AVAILABLE_Upgrades_Normal_Troops[#Headers],0))</f>
        <v>0</v>
      </c>
      <c r="P280" s="621">
        <f>VLOOKUP(IF(ISERROR(LOOKUP(MATCH(1,Paramètres!$K$6:$K$45,0),Paramètres!$A$6:$A$45)),0,LOOKUP(MATCH(1,Paramètres!$K$6:$K$45,0),Paramètres!$A$6:$A$45)),AVAILABLE_Upgrades_Normal_Troops[#All],MATCH(L279,AVAILABLE_Upgrades_Normal_Troops[#Headers],0)+1)</f>
        <v>0</v>
      </c>
      <c r="Q280" s="230"/>
      <c r="R280" s="640"/>
      <c r="S280" s="641"/>
      <c r="T280" s="623">
        <f>IF(SUM(M282:M286)&gt;O280,"Error",SUM(M282:M286))</f>
        <v>0</v>
      </c>
      <c r="U280" s="624">
        <f>IF(T$280="Error","Error",O280-T280)</f>
        <v>0</v>
      </c>
      <c r="V280" s="642">
        <f>IF(T$280="Error","Error",SUM(Q282:Q286))</f>
        <v>0</v>
      </c>
    </row>
    <row r="281" spans="1:24" ht="15" customHeight="1" thickBot="1" x14ac:dyDescent="0.3">
      <c r="A281" s="636">
        <v>5</v>
      </c>
      <c r="B281" s="123" t="str">
        <f>IF(Paramètres!AR10=0,"",Paramètres!AR10)</f>
        <v/>
      </c>
      <c r="C281" s="691">
        <f t="shared" si="123"/>
        <v>0</v>
      </c>
      <c r="D281" s="630"/>
      <c r="E281" s="630"/>
      <c r="F281" s="709" t="str">
        <f t="shared" si="120"/>
        <v>/</v>
      </c>
      <c r="G281" s="120" t="str">
        <f>IF(I$275="Error","Error",IF(AND($E$275&lt;&gt;"/",$E$275&gt;'Paramètres - Admin'!$A6),'Paramètres - Admin'!$A7,"/"))</f>
        <v>/</v>
      </c>
      <c r="H281" s="441" t="str">
        <f>IF(G281&lt;&gt;"/",VLOOKUP(G281,COSTS_Giant[#All],2),"/")</f>
        <v>/</v>
      </c>
      <c r="I281" s="101" t="str">
        <f>IF(G281&lt;&gt;"/",VLOOKUP(G281,COSTS_Giant[#All],3),"/")</f>
        <v>/</v>
      </c>
      <c r="J281" s="441">
        <f t="shared" si="121"/>
        <v>0</v>
      </c>
      <c r="K281" s="629">
        <f t="shared" si="122"/>
        <v>0</v>
      </c>
      <c r="L281" s="235" t="s">
        <v>30</v>
      </c>
      <c r="M281" s="1010" t="s">
        <v>29</v>
      </c>
      <c r="N281" s="720"/>
      <c r="O281" s="694"/>
      <c r="P281" s="695"/>
      <c r="Q281" s="546" t="s">
        <v>29</v>
      </c>
      <c r="R281" s="547" t="s">
        <v>30</v>
      </c>
      <c r="S281" s="272" t="s">
        <v>258</v>
      </c>
      <c r="T281" s="272" t="s">
        <v>259</v>
      </c>
      <c r="U281" s="272" t="s">
        <v>232</v>
      </c>
      <c r="V281" s="273" t="s">
        <v>233</v>
      </c>
    </row>
    <row r="282" spans="1:24" ht="15" customHeight="1" thickBot="1" x14ac:dyDescent="0.3">
      <c r="A282" s="636">
        <v>6</v>
      </c>
      <c r="B282" s="123" t="str">
        <f>IF(Paramètres!AR11=0,"",Paramètres!AR11)</f>
        <v/>
      </c>
      <c r="C282" s="691">
        <f t="shared" si="123"/>
        <v>0</v>
      </c>
      <c r="D282" s="630"/>
      <c r="E282" s="630"/>
      <c r="F282" s="709" t="str">
        <f t="shared" si="120"/>
        <v>/</v>
      </c>
      <c r="G282" s="120" t="str">
        <f>IF(I$275="Error","Error",IF(AND($E$275&lt;&gt;"/",$E$275&gt;'Paramètres - Admin'!$A7),'Paramètres - Admin'!$A8,"/"))</f>
        <v>/</v>
      </c>
      <c r="H282" s="441" t="str">
        <f>IF(G282&lt;&gt;"/",VLOOKUP(G282,COSTS_Giant[#All],2),"/")</f>
        <v>/</v>
      </c>
      <c r="I282" s="101" t="str">
        <f>IF(G282&lt;&gt;"/",VLOOKUP(G282,COSTS_Giant[#All],3),"/")</f>
        <v>/</v>
      </c>
      <c r="J282" s="441">
        <f t="shared" si="121"/>
        <v>0</v>
      </c>
      <c r="K282" s="629">
        <f t="shared" si="122"/>
        <v>0</v>
      </c>
      <c r="L282" s="238">
        <v>1</v>
      </c>
      <c r="M282" s="116" t="str">
        <f>IF(Paramètres!AX6=0,"",Paramètres!AX6)</f>
        <v/>
      </c>
      <c r="N282" s="711">
        <f>IF(N281&lt;&gt;0,N281+IF(AND(M281&lt;&gt;"",L281&lt;P$280),M281,0),IF(AND(M281&lt;&gt;"",L281&lt;P$280),M281,0))</f>
        <v>0</v>
      </c>
      <c r="O282" s="707"/>
      <c r="P282" s="707"/>
      <c r="Q282" s="708" t="str">
        <f>IF(R282&lt;&gt;"/",IF(T$280="Error","Error",$U$280+N282),"/")</f>
        <v>/</v>
      </c>
      <c r="R282" s="548" t="str">
        <f>IF(T$280="Error","Error",IF(AND($P$280&lt;&gt;"/",$P$280&gt;'Paramètres - Admin'!$A2),'Paramètres - Admin'!$A3,"/"))</f>
        <v>/</v>
      </c>
      <c r="S282" s="440" t="str">
        <f>IF(R282&lt;&gt;"/",VLOOKUP(R282,COSTS_PEKKA[#All],2),"/")</f>
        <v>/</v>
      </c>
      <c r="T282" s="549" t="str">
        <f>IF(R282&lt;&gt;"/",VLOOKUP(R282,COSTS_PEKKA[#All],3),"/")</f>
        <v>/</v>
      </c>
      <c r="U282" s="440">
        <f>IF(T$280="Error","Error",IF(S282&lt;&gt;"/",Q282*S282,0))</f>
        <v>0</v>
      </c>
      <c r="V282" s="550">
        <f>IF(T$280="Error","Error",IF(T282&lt;&gt;"/",Q282*T282,0))</f>
        <v>0</v>
      </c>
    </row>
    <row r="283" spans="1:24" ht="15" customHeight="1" thickBot="1" x14ac:dyDescent="0.3">
      <c r="A283" s="150">
        <v>7</v>
      </c>
      <c r="B283" s="128" t="str">
        <f>IF(Paramètres!AR12=0,"",Paramètres!AR12)</f>
        <v/>
      </c>
      <c r="C283" s="691">
        <f t="shared" si="123"/>
        <v>0</v>
      </c>
      <c r="D283" s="129"/>
      <c r="E283" s="129"/>
      <c r="F283" s="710" t="str">
        <f t="shared" si="120"/>
        <v>/</v>
      </c>
      <c r="G283" s="130" t="str">
        <f>IF(I$275="Error","Error",IF(AND($E$275&lt;&gt;"/",$E$275&gt;'Paramètres - Admin'!$A8),'Paramètres - Admin'!$A9,"/"))</f>
        <v>/</v>
      </c>
      <c r="H283" s="442" t="str">
        <f>IF(G283&lt;&gt;"/",VLOOKUP(G283,COSTS_Giant[#All],2),"/")</f>
        <v>/</v>
      </c>
      <c r="I283" s="127" t="str">
        <f>IF(G283&lt;&gt;"/",VLOOKUP(G283,COSTS_Giant[#All],3),"/")</f>
        <v>/</v>
      </c>
      <c r="J283" s="442">
        <f t="shared" si="121"/>
        <v>0</v>
      </c>
      <c r="K283" s="131">
        <f t="shared" si="122"/>
        <v>0</v>
      </c>
      <c r="L283" s="143">
        <v>2</v>
      </c>
      <c r="M283" s="123" t="str">
        <f>IF(Paramètres!AX7=0,"",Paramètres!AX7)</f>
        <v/>
      </c>
      <c r="N283" s="711">
        <f>IF(N282&lt;&gt;0,N282+IF(AND(M282&lt;&gt;"",L282&lt;P$280),M282,0),IF(AND(M282&lt;&gt;"",L282&lt;P$280),M282,0))</f>
        <v>0</v>
      </c>
      <c r="O283" s="630"/>
      <c r="P283" s="630"/>
      <c r="Q283" s="709" t="str">
        <f>IF(R283&lt;&gt;"/",IF(T$280="Error","Error",$U$280+N283),"/")</f>
        <v>/</v>
      </c>
      <c r="R283" s="120" t="str">
        <f>IF(T$280="Error","Error",IF(AND($P$280&lt;&gt;"/",$P$280&gt;'Paramètres - Admin'!$A3),'Paramètres - Admin'!$A4,"/"))</f>
        <v>/</v>
      </c>
      <c r="S283" s="441" t="str">
        <f>IF(R283&lt;&gt;"/",VLOOKUP(R283,COSTS_PEKKA[#All],2),"/")</f>
        <v>/</v>
      </c>
      <c r="T283" s="101" t="str">
        <f>IF(R283&lt;&gt;"/",VLOOKUP(R283,COSTS_PEKKA[#All],3),"/")</f>
        <v>/</v>
      </c>
      <c r="U283" s="441">
        <f>IF(T$280="Error","Error",IF(S283&lt;&gt;"/",Q283*S283,0))</f>
        <v>0</v>
      </c>
      <c r="V283" s="629">
        <f>IF(T$280="Error","Error",IF(T283&lt;&gt;"/",Q283*T283,0))</f>
        <v>0</v>
      </c>
    </row>
    <row r="284" spans="1:24" ht="15" customHeight="1" thickBot="1" x14ac:dyDescent="0.3">
      <c r="A284" s="721"/>
      <c r="B284" s="698"/>
      <c r="C284" s="698"/>
      <c r="D284" s="698"/>
      <c r="E284" s="698"/>
      <c r="F284" s="698"/>
      <c r="G284" s="698"/>
      <c r="H284" s="699"/>
      <c r="I284" s="614" t="s">
        <v>31</v>
      </c>
      <c r="J284" s="443">
        <f>IF(I$275="Error","Error",SUM(J277:J283))</f>
        <v>0</v>
      </c>
      <c r="K284" s="268">
        <f>IF(I$275="Error","Error",SUM(K277:K283))</f>
        <v>0</v>
      </c>
      <c r="L284" s="143">
        <v>3</v>
      </c>
      <c r="M284" s="123" t="str">
        <f>IF(Paramètres!AX8=0,"",Paramètres!AX8)</f>
        <v/>
      </c>
      <c r="N284" s="711">
        <f>IF(N283&lt;&gt;0,N283+IF(AND(M283&lt;&gt;"",L283&lt;P$280),M283,0),IF(AND(M283&lt;&gt;"",L283&lt;P$280),M283,0))</f>
        <v>0</v>
      </c>
      <c r="O284" s="630"/>
      <c r="P284" s="630"/>
      <c r="Q284" s="709" t="str">
        <f>IF(R284&lt;&gt;"/",IF(T$280="Error","Error",$U$280+N284),"/")</f>
        <v>/</v>
      </c>
      <c r="R284" s="120" t="str">
        <f>IF(T$280="Error","Error",IF(AND($P$280&lt;&gt;"/",$P$280&gt;'Paramètres - Admin'!$A4),'Paramètres - Admin'!$A5,"/"))</f>
        <v>/</v>
      </c>
      <c r="S284" s="441" t="str">
        <f>IF(R284&lt;&gt;"/",VLOOKUP(R284,COSTS_PEKKA[#All],2),"/")</f>
        <v>/</v>
      </c>
      <c r="T284" s="101" t="str">
        <f>IF(R284&lt;&gt;"/",VLOOKUP(R284,COSTS_PEKKA[#All],3),"/")</f>
        <v>/</v>
      </c>
      <c r="U284" s="441">
        <f>IF(T$280="Error","Error",IF(S284&lt;&gt;"/",Q284*S284,0))</f>
        <v>0</v>
      </c>
      <c r="V284" s="629">
        <f>IF(T$280="Error","Error",IF(T284&lt;&gt;"/",Q284*T284,0))</f>
        <v>0</v>
      </c>
    </row>
    <row r="285" spans="1:24" ht="15" customHeight="1" thickBot="1" x14ac:dyDescent="0.3">
      <c r="A285" s="1100" t="s">
        <v>187</v>
      </c>
      <c r="B285" s="1101"/>
      <c r="C285" s="1102"/>
      <c r="D285" s="85" t="s">
        <v>38</v>
      </c>
      <c r="E285" s="86" t="s">
        <v>39</v>
      </c>
      <c r="F285" s="87"/>
      <c r="G285" s="88"/>
      <c r="H285" s="89"/>
      <c r="I285" s="615" t="s">
        <v>256</v>
      </c>
      <c r="J285" s="619" t="s">
        <v>362</v>
      </c>
      <c r="K285" s="616" t="s">
        <v>257</v>
      </c>
      <c r="L285" s="1011">
        <v>4</v>
      </c>
      <c r="M285" s="123" t="str">
        <f>IF(Paramètres!AX9=0,"",Paramètres!AX9)</f>
        <v/>
      </c>
      <c r="N285" s="711">
        <f>IF(N284&lt;&gt;0,N284+IF(AND(M284&lt;&gt;"",L284&lt;P$280),M284,0),IF(AND(M284&lt;&gt;"",L284&lt;P$280),M284,0))</f>
        <v>0</v>
      </c>
      <c r="O285" s="630"/>
      <c r="P285" s="630"/>
      <c r="Q285" s="709" t="str">
        <f>IF(R285&lt;&gt;"/",IF(T$280="Error","Error",$U$280+N285),"/")</f>
        <v>/</v>
      </c>
      <c r="R285" s="120" t="str">
        <f>IF(T$280="Error","Error",IF(AND($P$280&lt;&gt;"/",$P$280&gt;'Paramètres - Admin'!$A5),'Paramètres - Admin'!$A6,"/"))</f>
        <v>/</v>
      </c>
      <c r="S285" s="441" t="str">
        <f>IF(R285&lt;&gt;"/",VLOOKUP(R285,COSTS_PEKKA[#All],2),"/")</f>
        <v>/</v>
      </c>
      <c r="T285" s="101" t="str">
        <f>IF(R285&lt;&gt;"/",VLOOKUP(R285,COSTS_PEKKA[#All],3),"/")</f>
        <v>/</v>
      </c>
      <c r="U285" s="441">
        <f>IF(T$280="Error","Error",IF(S285&lt;&gt;"/",Q285*S285,0))</f>
        <v>0</v>
      </c>
      <c r="V285" s="629">
        <f>IF(T$280="Error","Error",IF(T285&lt;&gt;"/",Q285*T285,0))</f>
        <v>0</v>
      </c>
    </row>
    <row r="286" spans="1:24" ht="15" customHeight="1" thickBot="1" x14ac:dyDescent="0.3">
      <c r="A286" s="1103"/>
      <c r="B286" s="1104"/>
      <c r="C286" s="1105"/>
      <c r="D286" s="95">
        <f>VLOOKUP($A$2,AVAILABLE_Upgrades_Normal_Troops[#All],MATCH(A285,AVAILABLE_Upgrades_Normal_Troops[#Headers],0))</f>
        <v>0</v>
      </c>
      <c r="E286" s="621">
        <f>VLOOKUP(IF(ISERROR(LOOKUP(MATCH(1,Paramètres!$K$6:$K$45,0),Paramètres!$A$6:$A$45)),0,LOOKUP(MATCH(1,Paramètres!$K$6:$K$45,0),Paramètres!$A$6:$A$45)),AVAILABLE_Upgrades_Normal_Troops[#All],MATCH(A285,AVAILABLE_Upgrades_Normal_Troops[#Headers],0)+1)</f>
        <v>0</v>
      </c>
      <c r="F286" s="230"/>
      <c r="G286" s="231"/>
      <c r="H286" s="232"/>
      <c r="I286" s="104">
        <f>IF(SUM(B288:B293)&gt;D286,"Error",SUM(B288:B293))</f>
        <v>0</v>
      </c>
      <c r="J286" s="105">
        <f>IF(I$286="Error","Error",D286-I286)</f>
        <v>0</v>
      </c>
      <c r="K286" s="233">
        <f>IF(I$286="Error","Error",SUM(F288:F293))</f>
        <v>0</v>
      </c>
      <c r="L286" s="1012">
        <v>5</v>
      </c>
      <c r="M286" s="128" t="str">
        <f>IF(Paramètres!AX10=0,"",Paramètres!AX10)</f>
        <v/>
      </c>
      <c r="N286" s="711">
        <f>IF(N285&lt;&gt;0,N285+IF(AND(M285&lt;&gt;"",L285&lt;P$280),M285,0),IF(AND(M285&lt;&gt;"",L285&lt;P$280),M285,0))</f>
        <v>0</v>
      </c>
      <c r="O286" s="129"/>
      <c r="P286" s="129"/>
      <c r="Q286" s="710" t="str">
        <f>IF(R286&lt;&gt;"/",IF(T$280="Error","Error",$U$280+N286),"/")</f>
        <v>/</v>
      </c>
      <c r="R286" s="130" t="str">
        <f>IF(T$280="Error","Error",IF(AND($P$280&lt;&gt;"/",$P$280&gt;'Paramètres - Admin'!$A6),'Paramètres - Admin'!$A7,"/"))</f>
        <v>/</v>
      </c>
      <c r="S286" s="442" t="str">
        <f>IF(R286&lt;&gt;"/",VLOOKUP(R286,COSTS_PEKKA[#All],2),"/")</f>
        <v>/</v>
      </c>
      <c r="T286" s="127" t="str">
        <f>IF(R286&lt;&gt;"/",VLOOKUP(R286,COSTS_PEKKA[#All],3),"/")</f>
        <v>/</v>
      </c>
      <c r="U286" s="442">
        <f>IF(T$280="Error","Error",IF(S286&lt;&gt;"/",Q286*S286,0))</f>
        <v>0</v>
      </c>
      <c r="V286" s="131">
        <f>IF(T$280="Error","Error",IF(T286&lt;&gt;"/",Q286*T286,0))</f>
        <v>0</v>
      </c>
    </row>
    <row r="287" spans="1:24" ht="15" customHeight="1" thickBot="1" x14ac:dyDescent="0.3">
      <c r="A287" s="625" t="s">
        <v>30</v>
      </c>
      <c r="B287" s="394" t="s">
        <v>29</v>
      </c>
      <c r="C287" s="720"/>
      <c r="D287" s="694"/>
      <c r="E287" s="695"/>
      <c r="F287" s="546" t="s">
        <v>29</v>
      </c>
      <c r="G287" s="547" t="s">
        <v>30</v>
      </c>
      <c r="H287" s="272" t="s">
        <v>258</v>
      </c>
      <c r="I287" s="272" t="s">
        <v>259</v>
      </c>
      <c r="J287" s="272" t="s">
        <v>232</v>
      </c>
      <c r="K287" s="273" t="s">
        <v>233</v>
      </c>
      <c r="L287" s="1008"/>
      <c r="M287" s="1008"/>
      <c r="N287" s="1008"/>
      <c r="O287" s="1008"/>
      <c r="P287" s="1008"/>
      <c r="Q287" s="1008"/>
      <c r="R287" s="1008"/>
      <c r="S287" s="1009"/>
      <c r="T287" s="614" t="s">
        <v>31</v>
      </c>
      <c r="U287" s="443">
        <f>IF(T$280="Error","Error",SUM(U282:U286))</f>
        <v>0</v>
      </c>
      <c r="V287" s="655">
        <f>IF(T$280="Error","Error",SUM(V282:V286))</f>
        <v>0</v>
      </c>
    </row>
    <row r="288" spans="1:24" ht="15" customHeight="1" thickBot="1" x14ac:dyDescent="0.3">
      <c r="A288" s="122">
        <v>1</v>
      </c>
      <c r="B288" s="116" t="str">
        <f>IF(Paramètres!AS6=0,"",Paramètres!AS6)</f>
        <v/>
      </c>
      <c r="C288" s="711">
        <f>IF(C287&lt;&gt;0,C287+IF(AND(B287&lt;&gt;"",A287&lt;E$286),B287,0),IF(AND(B287&lt;&gt;"",A287&lt;E$286),B287,0))</f>
        <v>0</v>
      </c>
      <c r="D288" s="707"/>
      <c r="E288" s="707"/>
      <c r="F288" s="708" t="str">
        <f t="shared" ref="F288:F293" si="124">IF(G288&lt;&gt;"/",IF(I$286="Error","Error",$J$286+C288),"/")</f>
        <v>/</v>
      </c>
      <c r="G288" s="548" t="str">
        <f>IF(I$286="Error","Error",IF(AND($E$286&lt;&gt;"/",$E$286&gt;'Paramètres - Admin'!$A2),'Paramètres - Admin'!$A3,"/"))</f>
        <v>/</v>
      </c>
      <c r="H288" s="440" t="str">
        <f>IF(G288&lt;&gt;"/",VLOOKUP(G288,COSTS_Wall_Breaker[#All],2),"/")</f>
        <v>/</v>
      </c>
      <c r="I288" s="549" t="str">
        <f>IF(G288&lt;&gt;"/",VLOOKUP(G288,COSTS_Wall_Breaker[#All],3),"/")</f>
        <v>/</v>
      </c>
      <c r="J288" s="440">
        <f t="shared" ref="J288:J293" si="125">IF(I$286="Error","Error",IF(H288&lt;&gt;"/",F288*H288,0))</f>
        <v>0</v>
      </c>
      <c r="K288" s="550">
        <f t="shared" ref="K288:K293" si="126">IF(I$286="Error","Error",IF(I288&lt;&gt;"/",F288*I288,0))</f>
        <v>0</v>
      </c>
    </row>
    <row r="289" spans="1:51" ht="15" customHeight="1" thickBot="1" x14ac:dyDescent="0.3">
      <c r="A289" s="700">
        <v>2</v>
      </c>
      <c r="B289" s="123" t="str">
        <f>IF(Paramètres!AS7=0,"",Paramètres!AS7)</f>
        <v/>
      </c>
      <c r="C289" s="711">
        <f t="shared" ref="C289:C293" si="127">IF(C288&lt;&gt;0,C288+IF(AND(B288&lt;&gt;"",A288&lt;E$286),B288,0),IF(AND(B288&lt;&gt;"",A288&lt;E$286),B288,0))</f>
        <v>0</v>
      </c>
      <c r="D289" s="630"/>
      <c r="E289" s="630"/>
      <c r="F289" s="709" t="str">
        <f t="shared" si="124"/>
        <v>/</v>
      </c>
      <c r="G289" s="120" t="str">
        <f>IF(I$286="Error","Error",IF(AND($E$286&lt;&gt;"/",$E$286&gt;'Paramètres - Admin'!$A3),'Paramètres - Admin'!$A4,"/"))</f>
        <v>/</v>
      </c>
      <c r="H289" s="441" t="str">
        <f>IF(G289&lt;&gt;"/",VLOOKUP(G289,COSTS_Wall_Breaker[#All],2),"/")</f>
        <v>/</v>
      </c>
      <c r="I289" s="101" t="str">
        <f>IF(G289&lt;&gt;"/",VLOOKUP(G289,COSTS_Wall_Breaker[#All],3),"/")</f>
        <v>/</v>
      </c>
      <c r="J289" s="441">
        <f t="shared" si="125"/>
        <v>0</v>
      </c>
      <c r="K289" s="629">
        <f t="shared" si="126"/>
        <v>0</v>
      </c>
    </row>
    <row r="290" spans="1:51" ht="15" customHeight="1" thickBot="1" x14ac:dyDescent="0.3">
      <c r="A290" s="700">
        <v>3</v>
      </c>
      <c r="B290" s="123" t="str">
        <f>IF(Paramètres!AS8=0,"",Paramètres!AS8)</f>
        <v/>
      </c>
      <c r="C290" s="711">
        <f t="shared" si="127"/>
        <v>0</v>
      </c>
      <c r="D290" s="630"/>
      <c r="E290" s="630"/>
      <c r="F290" s="709" t="str">
        <f t="shared" si="124"/>
        <v>/</v>
      </c>
      <c r="G290" s="120" t="str">
        <f>IF(I$286="Error","Error",IF(AND($E$286&lt;&gt;"/",$E$286&gt;'Paramètres - Admin'!$A4),'Paramètres - Admin'!$A5,"/"))</f>
        <v>/</v>
      </c>
      <c r="H290" s="441" t="str">
        <f>IF(G290&lt;&gt;"/",VLOOKUP(G290,COSTS_Wall_Breaker[#All],2),"/")</f>
        <v>/</v>
      </c>
      <c r="I290" s="101" t="str">
        <f>IF(G290&lt;&gt;"/",VLOOKUP(G290,COSTS_Wall_Breaker[#All],3),"/")</f>
        <v>/</v>
      </c>
      <c r="J290" s="441">
        <f t="shared" si="125"/>
        <v>0</v>
      </c>
      <c r="K290" s="629">
        <f t="shared" si="126"/>
        <v>0</v>
      </c>
    </row>
    <row r="291" spans="1:51" ht="15" customHeight="1" thickBot="1" x14ac:dyDescent="0.3">
      <c r="A291" s="700">
        <v>4</v>
      </c>
      <c r="B291" s="123" t="str">
        <f>IF(Paramètres!AS9=0,"",Paramètres!AS9)</f>
        <v/>
      </c>
      <c r="C291" s="711">
        <f t="shared" si="127"/>
        <v>0</v>
      </c>
      <c r="D291" s="630"/>
      <c r="E291" s="630"/>
      <c r="F291" s="709" t="str">
        <f t="shared" si="124"/>
        <v>/</v>
      </c>
      <c r="G291" s="120" t="str">
        <f>IF(I$286="Error","Error",IF(AND($E$286&lt;&gt;"/",$E$286&gt;'Paramètres - Admin'!$A5),'Paramètres - Admin'!$A6,"/"))</f>
        <v>/</v>
      </c>
      <c r="H291" s="441" t="str">
        <f>IF(G291&lt;&gt;"/",VLOOKUP(G291,COSTS_Wall_Breaker[#All],2),"/")</f>
        <v>/</v>
      </c>
      <c r="I291" s="101" t="str">
        <f>IF(G291&lt;&gt;"/",VLOOKUP(G291,COSTS_Wall_Breaker[#All],3),"/")</f>
        <v>/</v>
      </c>
      <c r="J291" s="441">
        <f t="shared" si="125"/>
        <v>0</v>
      </c>
      <c r="K291" s="629">
        <f t="shared" si="126"/>
        <v>0</v>
      </c>
    </row>
    <row r="292" spans="1:51" ht="15" customHeight="1" thickBot="1" x14ac:dyDescent="0.3">
      <c r="A292" s="700">
        <v>5</v>
      </c>
      <c r="B292" s="123" t="str">
        <f>IF(Paramètres!AS10=0,"",Paramètres!AS10)</f>
        <v/>
      </c>
      <c r="C292" s="711">
        <f t="shared" si="127"/>
        <v>0</v>
      </c>
      <c r="D292" s="630"/>
      <c r="E292" s="630"/>
      <c r="F292" s="709" t="str">
        <f t="shared" si="124"/>
        <v>/</v>
      </c>
      <c r="G292" s="120" t="str">
        <f>IF(I$286="Error","Error",IF(AND($E$286&lt;&gt;"/",$E$286&gt;'Paramètres - Admin'!$A6),'Paramètres - Admin'!$A7,"/"))</f>
        <v>/</v>
      </c>
      <c r="H292" s="441" t="str">
        <f>IF(G292&lt;&gt;"/",VLOOKUP(G292,COSTS_Wall_Breaker[#All],2),"/")</f>
        <v>/</v>
      </c>
      <c r="I292" s="101" t="str">
        <f>IF(G292&lt;&gt;"/",VLOOKUP(G292,COSTS_Wall_Breaker[#All],3),"/")</f>
        <v>/</v>
      </c>
      <c r="J292" s="441">
        <f t="shared" si="125"/>
        <v>0</v>
      </c>
      <c r="K292" s="629">
        <f t="shared" si="126"/>
        <v>0</v>
      </c>
    </row>
    <row r="293" spans="1:51" ht="15" customHeight="1" thickBot="1" x14ac:dyDescent="0.3">
      <c r="A293" s="701">
        <v>6</v>
      </c>
      <c r="B293" s="128" t="str">
        <f>IF(Paramètres!AS11=0,"",Paramètres!AS11)</f>
        <v/>
      </c>
      <c r="C293" s="711">
        <f t="shared" si="127"/>
        <v>0</v>
      </c>
      <c r="D293" s="129"/>
      <c r="E293" s="129"/>
      <c r="F293" s="710" t="str">
        <f t="shared" si="124"/>
        <v>/</v>
      </c>
      <c r="G293" s="130" t="str">
        <f>IF(I$286="Error","Error",IF(AND($E$286&lt;&gt;"/",$E$286&gt;'Paramètres - Admin'!$A7),'Paramètres - Admin'!$A8,"/"))</f>
        <v>/</v>
      </c>
      <c r="H293" s="442" t="str">
        <f>IF(G293&lt;&gt;"/",VLOOKUP(G293,COSTS_Wall_Breaker[#All],2),"/")</f>
        <v>/</v>
      </c>
      <c r="I293" s="127" t="str">
        <f>IF(G293&lt;&gt;"/",VLOOKUP(G293,COSTS_Wall_Breaker[#All],3),"/")</f>
        <v>/</v>
      </c>
      <c r="J293" s="442">
        <f t="shared" si="125"/>
        <v>0</v>
      </c>
      <c r="K293" s="131">
        <f t="shared" si="126"/>
        <v>0</v>
      </c>
      <c r="AO293" s="637"/>
      <c r="AP293" s="637"/>
      <c r="AQ293" s="637"/>
      <c r="AR293" s="637"/>
      <c r="AS293" s="637"/>
      <c r="AT293" s="637"/>
      <c r="AU293" s="637"/>
      <c r="AV293" s="637"/>
      <c r="AW293" s="637"/>
      <c r="AX293" s="637"/>
      <c r="AY293" s="637"/>
    </row>
    <row r="294" spans="1:51" ht="15" customHeight="1" thickBot="1" x14ac:dyDescent="0.3">
      <c r="A294" s="1147"/>
      <c r="B294" s="1107"/>
      <c r="C294" s="1107"/>
      <c r="D294" s="1107"/>
      <c r="E294" s="1107"/>
      <c r="F294" s="1107"/>
      <c r="G294" s="1107"/>
      <c r="H294" s="1108"/>
      <c r="I294" s="614" t="s">
        <v>31</v>
      </c>
      <c r="J294" s="443">
        <f>IF(I$286="Error","Error",SUM(J288:J293))</f>
        <v>0</v>
      </c>
      <c r="K294" s="268">
        <f>IF(I$286="Error","Error",SUM(K288:K293))</f>
        <v>0</v>
      </c>
      <c r="AO294" s="637"/>
      <c r="AP294" s="637"/>
      <c r="AQ294" s="637"/>
      <c r="AR294" s="637"/>
      <c r="AS294" s="637"/>
      <c r="AT294" s="637"/>
      <c r="AU294" s="637"/>
      <c r="AV294" s="637"/>
      <c r="AW294" s="637"/>
      <c r="AX294" s="637"/>
      <c r="AY294" s="637"/>
    </row>
    <row r="295" spans="1:51" s="637" customFormat="1" ht="15" customHeight="1" x14ac:dyDescent="0.25">
      <c r="A295" s="153"/>
      <c r="B295" s="153"/>
      <c r="C295" s="153"/>
      <c r="D295" s="153"/>
      <c r="E295" s="153"/>
      <c r="F295" s="153"/>
      <c r="AO295" s="152"/>
      <c r="AP295" s="152"/>
      <c r="AQ295" s="152"/>
      <c r="AR295" s="152"/>
      <c r="AS295" s="152"/>
      <c r="AT295" s="152"/>
      <c r="AU295" s="152"/>
      <c r="AV295" s="152"/>
      <c r="AW295" s="152"/>
      <c r="AX295" s="152"/>
      <c r="AY295" s="152"/>
    </row>
    <row r="296" spans="1:51" s="637" customFormat="1" ht="20.100000000000001" customHeight="1" thickBot="1" x14ac:dyDescent="0.3"/>
    <row r="297" spans="1:51" s="637" customFormat="1" ht="20.100000000000001" customHeight="1" thickBot="1" x14ac:dyDescent="0.3">
      <c r="A297" s="1094" t="s">
        <v>226</v>
      </c>
      <c r="B297" s="1095"/>
      <c r="C297" s="1095"/>
      <c r="D297" s="1095"/>
      <c r="E297" s="1095"/>
      <c r="F297" s="1095"/>
      <c r="G297" s="1095"/>
      <c r="H297" s="1095"/>
      <c r="I297" s="1095"/>
      <c r="J297" s="1095"/>
      <c r="K297" s="1095"/>
      <c r="L297" s="1095"/>
      <c r="M297" s="1095"/>
      <c r="N297" s="1095"/>
      <c r="O297" s="1095"/>
      <c r="P297" s="1095"/>
      <c r="Q297" s="1095"/>
      <c r="R297" s="1095"/>
      <c r="S297" s="1095"/>
      <c r="T297" s="1095"/>
      <c r="U297" s="1095"/>
      <c r="V297" s="1096"/>
    </row>
    <row r="298" spans="1:51" s="637" customFormat="1" ht="15" customHeight="1" thickBot="1" x14ac:dyDescent="0.3">
      <c r="A298" s="1097" t="s">
        <v>248</v>
      </c>
      <c r="B298" s="1098"/>
      <c r="C298" s="1098"/>
      <c r="D298" s="1098"/>
      <c r="E298" s="1098"/>
      <c r="F298" s="1098"/>
      <c r="G298" s="1098"/>
      <c r="H298" s="1098"/>
      <c r="I298" s="1098"/>
      <c r="J298" s="1098"/>
      <c r="K298" s="1098"/>
      <c r="L298" s="1098"/>
      <c r="M298" s="1098"/>
      <c r="N298" s="1098"/>
      <c r="O298" s="1098"/>
      <c r="P298" s="1098"/>
      <c r="Q298" s="1098"/>
      <c r="R298" s="1098"/>
      <c r="S298" s="1098"/>
      <c r="T298" s="1098"/>
      <c r="U298" s="1098"/>
      <c r="V298" s="1099"/>
    </row>
    <row r="299" spans="1:51" s="637" customFormat="1" ht="15" customHeight="1" x14ac:dyDescent="0.25">
      <c r="A299" s="1100" t="s">
        <v>712</v>
      </c>
      <c r="B299" s="1101"/>
      <c r="C299" s="1102"/>
      <c r="D299" s="615" t="s">
        <v>38</v>
      </c>
      <c r="E299" s="616" t="s">
        <v>39</v>
      </c>
      <c r="F299" s="87"/>
      <c r="G299" s="617"/>
      <c r="H299" s="618"/>
      <c r="I299" s="615" t="s">
        <v>256</v>
      </c>
      <c r="J299" s="619" t="s">
        <v>362</v>
      </c>
      <c r="K299" s="616" t="s">
        <v>257</v>
      </c>
      <c r="L299" s="1100" t="s">
        <v>713</v>
      </c>
      <c r="M299" s="1101"/>
      <c r="N299" s="1102"/>
      <c r="O299" s="615" t="s">
        <v>38</v>
      </c>
      <c r="P299" s="616" t="s">
        <v>39</v>
      </c>
      <c r="Q299" s="87"/>
      <c r="R299" s="617"/>
      <c r="S299" s="618"/>
      <c r="T299" s="615" t="s">
        <v>256</v>
      </c>
      <c r="U299" s="619" t="s">
        <v>362</v>
      </c>
      <c r="V299" s="616" t="s">
        <v>257</v>
      </c>
    </row>
    <row r="300" spans="1:51" s="637" customFormat="1" ht="15" customHeight="1" thickBot="1" x14ac:dyDescent="0.3">
      <c r="A300" s="1103"/>
      <c r="B300" s="1104"/>
      <c r="C300" s="1105"/>
      <c r="D300" s="620">
        <f>VLOOKUP($A$2,AVAILABLE_Upgrades_Dark_Spells[#All],MATCH(A299,AVAILABLE_Upgrades_Dark_Spells[#Headers],0))</f>
        <v>0</v>
      </c>
      <c r="E300" s="621">
        <f>VLOOKUP(IF(ISERROR(LOOKUP(MATCH(1,Paramètres!$K$6:$K$45,0),Paramètres!$A$6:$A$45)),0,LOOKUP(MATCH(1,Paramètres!$K$6:$K$45,0),Paramètres!$A$6:$A$45)),AVAILABLE_Upgrades_Dark_Spells[#All],MATCH(A299,AVAILABLE_Upgrades_Dark_Spells[#Headers],0)+1)</f>
        <v>0</v>
      </c>
      <c r="F300" s="230"/>
      <c r="G300" s="640"/>
      <c r="H300" s="641"/>
      <c r="I300" s="623">
        <f>IF(SUM(B302:B305)&gt;D300,"Error",SUM(B302:B305))</f>
        <v>0</v>
      </c>
      <c r="J300" s="624">
        <f>IF(I$300="Error","Error",D300-I300)</f>
        <v>0</v>
      </c>
      <c r="K300" s="642">
        <f>IF(I$300="Error","Error",SUM(F302:F305))</f>
        <v>0</v>
      </c>
      <c r="L300" s="1103"/>
      <c r="M300" s="1104"/>
      <c r="N300" s="1105"/>
      <c r="O300" s="620">
        <f>VLOOKUP($A$2,AVAILABLE_Upgrades_Dark_Spells[#All],MATCH(L299,AVAILABLE_Upgrades_Dark_Spells[#Headers],0))</f>
        <v>0</v>
      </c>
      <c r="P300" s="621">
        <f>VLOOKUP(IF(ISERROR(LOOKUP(MATCH(1,Paramètres!$K$6:$K$45,0),Paramètres!$A$6:$A$45)),0,LOOKUP(MATCH(1,Paramètres!$K$6:$K$45,0),Paramètres!$A$6:$A$45)),AVAILABLE_Upgrades_Dark_Spells[#All],MATCH(L299,AVAILABLE_Upgrades_Dark_Spells[#Headers],0)+1)</f>
        <v>0</v>
      </c>
      <c r="Q300" s="230"/>
      <c r="R300" s="640"/>
      <c r="S300" s="641"/>
      <c r="T300" s="623">
        <f>IF(SUM(M302:M305)&gt;O300,"Error",SUM(M302:M305))</f>
        <v>0</v>
      </c>
      <c r="U300" s="624">
        <f>IF(T$300="Error","Error",O300-T300)</f>
        <v>0</v>
      </c>
      <c r="V300" s="642">
        <f>IF(T$300="Error","Error",SUM(Q302:Q305))</f>
        <v>0</v>
      </c>
    </row>
    <row r="301" spans="1:51" s="637" customFormat="1" ht="15" customHeight="1" thickBot="1" x14ac:dyDescent="0.3">
      <c r="A301" s="625" t="s">
        <v>30</v>
      </c>
      <c r="B301" s="632" t="s">
        <v>29</v>
      </c>
      <c r="C301" s="626"/>
      <c r="D301" s="645"/>
      <c r="E301" s="646"/>
      <c r="F301" s="651" t="s">
        <v>29</v>
      </c>
      <c r="G301" s="652" t="s">
        <v>30</v>
      </c>
      <c r="H301" s="653" t="s">
        <v>258</v>
      </c>
      <c r="I301" s="653" t="s">
        <v>259</v>
      </c>
      <c r="J301" s="653" t="s">
        <v>232</v>
      </c>
      <c r="K301" s="654" t="s">
        <v>233</v>
      </c>
      <c r="L301" s="625" t="s">
        <v>30</v>
      </c>
      <c r="M301" s="632" t="s">
        <v>29</v>
      </c>
      <c r="N301" s="626"/>
      <c r="O301" s="645"/>
      <c r="P301" s="646"/>
      <c r="Q301" s="651" t="s">
        <v>29</v>
      </c>
      <c r="R301" s="652" t="s">
        <v>30</v>
      </c>
      <c r="S301" s="653" t="s">
        <v>258</v>
      </c>
      <c r="T301" s="653" t="s">
        <v>259</v>
      </c>
      <c r="U301" s="653" t="s">
        <v>232</v>
      </c>
      <c r="V301" s="654" t="s">
        <v>233</v>
      </c>
    </row>
    <row r="302" spans="1:51" s="637" customFormat="1" ht="15" customHeight="1" x14ac:dyDescent="0.25">
      <c r="A302" s="633">
        <v>1</v>
      </c>
      <c r="B302" s="634" t="str">
        <f>IF(Paramètres!AL6=0,"",Paramètres!AL6)</f>
        <v/>
      </c>
      <c r="C302" s="635">
        <f>IF(C301&lt;&gt;0,C301+IF(AND(B301&lt;&gt;"",A301&lt;E$300),B301,0),IF(AND(B301&lt;&gt;"",A301&lt;E$300),B301,0))</f>
        <v>0</v>
      </c>
      <c r="D302" s="627"/>
      <c r="E302" s="628"/>
      <c r="F302" s="647" t="str">
        <f>IF(G302&lt;&gt;"/",IF(I$300="Error","Error",$J$300+C302),"/")</f>
        <v>/</v>
      </c>
      <c r="G302" s="648" t="str">
        <f>IF(I$300="Error","Error",IF(AND($E$300&lt;&gt;"/",$E$300&gt;'Paramètres - Admin'!$A2),'Paramètres - Admin'!$A3,"/"))</f>
        <v>/</v>
      </c>
      <c r="H302" s="266" t="str">
        <f>IF(G302&lt;&gt;"/",VLOOKUP(G302,COSTS_Spell_Poison[#All],2),"/")</f>
        <v>/</v>
      </c>
      <c r="I302" s="638" t="str">
        <f>IF(G302&lt;&gt;"/",VLOOKUP(G302,COSTS_Spell_Poison[#All],3),"/")</f>
        <v>/</v>
      </c>
      <c r="J302" s="266">
        <f>IF(I$300="Error","Error",IF(H302&lt;&gt;"/",F302*H302,0))</f>
        <v>0</v>
      </c>
      <c r="K302" s="649">
        <f>IF(I$300="Error","Error",IF(I302&lt;&gt;"/",F302*I302,0))</f>
        <v>0</v>
      </c>
      <c r="L302" s="633">
        <v>1</v>
      </c>
      <c r="M302" s="634" t="str">
        <f>IF(Paramètres!AM6=0,"",Paramètres!AM6)</f>
        <v/>
      </c>
      <c r="N302" s="635">
        <f>IF(N301&lt;&gt;0,N301+IF(AND(M301&lt;&gt;"",L301&lt;P$300),M301,0),IF(AND(M301&lt;&gt;"",L301&lt;P$300),M301,0))</f>
        <v>0</v>
      </c>
      <c r="O302" s="627"/>
      <c r="P302" s="628"/>
      <c r="Q302" s="647" t="str">
        <f>IF(R302&lt;&gt;"/",IF(T$300="Error","Error",$U$300+N302),"/")</f>
        <v>/</v>
      </c>
      <c r="R302" s="648" t="str">
        <f>IF(T$300="Error","Error",IF(AND($P$300&lt;&gt;"/",$P$300&gt;'Paramètres - Admin'!$A2),'Paramètres - Admin'!$A3,"/"))</f>
        <v>/</v>
      </c>
      <c r="S302" s="266" t="str">
        <f>IF(R302&lt;&gt;"/",VLOOKUP(R302,COSTS_Spell_Earthquake[#All],2),"/")</f>
        <v>/</v>
      </c>
      <c r="T302" s="638" t="str">
        <f>IF(R302&lt;&gt;"/",VLOOKUP(R302,COSTS_Spell_Earthquake[#All],3),"/")</f>
        <v>/</v>
      </c>
      <c r="U302" s="266">
        <f>IF(T$300="Error","Error",IF(S302&lt;&gt;"/",Q302*S302,0))</f>
        <v>0</v>
      </c>
      <c r="V302" s="649">
        <f>IF(T$300="Error","Error",IF(T302&lt;&gt;"/",Q302*T302,0))</f>
        <v>0</v>
      </c>
    </row>
    <row r="303" spans="1:51" s="637" customFormat="1" ht="15" customHeight="1" x14ac:dyDescent="0.25">
      <c r="A303" s="636">
        <v>2</v>
      </c>
      <c r="B303" s="634" t="str">
        <f>IF(Paramètres!AL7=0,"",Paramètres!AL7)</f>
        <v/>
      </c>
      <c r="C303" s="635">
        <f t="shared" ref="C303:C305" si="128">IF(C302&lt;&gt;0,C302+IF(AND(B302&lt;&gt;"",A302&lt;E$300),B302,0),IF(AND(B302&lt;&gt;"",A302&lt;E$300),B302,0))</f>
        <v>0</v>
      </c>
      <c r="D303" s="627"/>
      <c r="E303" s="628"/>
      <c r="F303" s="647" t="str">
        <f t="shared" ref="F303:F305" si="129">IF(G303&lt;&gt;"/",IF(I$300="Error","Error",$J$300+C303),"/")</f>
        <v>/</v>
      </c>
      <c r="G303" s="648" t="str">
        <f>IF(I$300="Error","Error",IF(AND($E$300&lt;&gt;"/",$E$300&gt;'Paramètres - Admin'!$A3),'Paramètres - Admin'!$A4,"/"))</f>
        <v>/</v>
      </c>
      <c r="H303" s="266" t="str">
        <f>IF(G303&lt;&gt;"/",VLOOKUP(G303,COSTS_Spell_Poison[#All],2),"/")</f>
        <v>/</v>
      </c>
      <c r="I303" s="638" t="str">
        <f>IF(G303&lt;&gt;"/",VLOOKUP(G303,COSTS_Spell_Poison[#All],3),"/")</f>
        <v>/</v>
      </c>
      <c r="J303" s="266">
        <f>IF(I$210="Error","Error",IF(H303&lt;&gt;"/",F303*H303,0))</f>
        <v>0</v>
      </c>
      <c r="K303" s="649">
        <f>IF(I$210="Error","Error",IF(I303&lt;&gt;"/",F303*I303,0))</f>
        <v>0</v>
      </c>
      <c r="L303" s="636">
        <v>2</v>
      </c>
      <c r="M303" s="634" t="str">
        <f>IF(Paramètres!AM7=0,"",Paramètres!AM7)</f>
        <v/>
      </c>
      <c r="N303" s="635">
        <f t="shared" ref="N303:N305" si="130">IF(N302&lt;&gt;0,N302+IF(AND(M302&lt;&gt;"",L302&lt;P$300),M302,0),IF(AND(M302&lt;&gt;"",L302&lt;P$300),M302,0))</f>
        <v>0</v>
      </c>
      <c r="O303" s="627"/>
      <c r="P303" s="628"/>
      <c r="Q303" s="647" t="str">
        <f t="shared" ref="Q303:Q305" si="131">IF(R303&lt;&gt;"/",IF(T$300="Error","Error",$U$300+N303),"/")</f>
        <v>/</v>
      </c>
      <c r="R303" s="648" t="str">
        <f>IF(T$300="Error","Error",IF(AND($P$300&lt;&gt;"/",$P$300&gt;'Paramètres - Admin'!$A3),'Paramètres - Admin'!$A4,"/"))</f>
        <v>/</v>
      </c>
      <c r="S303" s="266" t="str">
        <f>IF(R303&lt;&gt;"/",VLOOKUP(R303,COSTS_Spell_Earthquake[#All],2),"/")</f>
        <v>/</v>
      </c>
      <c r="T303" s="638" t="str">
        <f>IF(R303&lt;&gt;"/",VLOOKUP(R303,COSTS_Spell_Earthquake[#All],3),"/")</f>
        <v>/</v>
      </c>
      <c r="U303" s="266">
        <f>IF(T$210="Error","Error",IF(S303&lt;&gt;"/",Q303*S303,0))</f>
        <v>0</v>
      </c>
      <c r="V303" s="649">
        <f>IF(T$210="Error","Error",IF(T303&lt;&gt;"/",Q303*T303,0))</f>
        <v>0</v>
      </c>
    </row>
    <row r="304" spans="1:51" s="637" customFormat="1" ht="15" customHeight="1" x14ac:dyDescent="0.25">
      <c r="A304" s="636">
        <v>3</v>
      </c>
      <c r="B304" s="634" t="str">
        <f>IF(Paramètres!AL8=0,"",Paramètres!AL8)</f>
        <v/>
      </c>
      <c r="C304" s="635">
        <f t="shared" si="128"/>
        <v>0</v>
      </c>
      <c r="D304" s="627"/>
      <c r="E304" s="628"/>
      <c r="F304" s="647" t="str">
        <f t="shared" si="129"/>
        <v>/</v>
      </c>
      <c r="G304" s="648" t="str">
        <f>IF(I$300="Error","Error",IF(AND($E$300&lt;&gt;"/",$E$300&gt;'Paramètres - Admin'!$A4),'Paramètres - Admin'!$A5,"/"))</f>
        <v>/</v>
      </c>
      <c r="H304" s="266" t="str">
        <f>IF(G304&lt;&gt;"/",VLOOKUP(G304,COSTS_Spell_Poison[#All],2),"/")</f>
        <v>/</v>
      </c>
      <c r="I304" s="638" t="str">
        <f>IF(G304&lt;&gt;"/",VLOOKUP(G304,COSTS_Spell_Poison[#All],3),"/")</f>
        <v>/</v>
      </c>
      <c r="J304" s="266">
        <f>IF(I$210="Error","Error",IF(H304&lt;&gt;"/",F304*H304,0))</f>
        <v>0</v>
      </c>
      <c r="K304" s="649">
        <f>IF(I$210="Error","Error",IF(I304&lt;&gt;"/",F304*I304,0))</f>
        <v>0</v>
      </c>
      <c r="L304" s="636">
        <v>3</v>
      </c>
      <c r="M304" s="634" t="str">
        <f>IF(Paramètres!AM8=0,"",Paramètres!AM8)</f>
        <v/>
      </c>
      <c r="N304" s="635">
        <f t="shared" si="130"/>
        <v>0</v>
      </c>
      <c r="O304" s="627"/>
      <c r="P304" s="628"/>
      <c r="Q304" s="647" t="str">
        <f t="shared" si="131"/>
        <v>/</v>
      </c>
      <c r="R304" s="648" t="str">
        <f>IF(T$300="Error","Error",IF(AND($P$300&lt;&gt;"/",$P$300&gt;'Paramètres - Admin'!$A4),'Paramètres - Admin'!$A5,"/"))</f>
        <v>/</v>
      </c>
      <c r="S304" s="266" t="str">
        <f>IF(R304&lt;&gt;"/",VLOOKUP(R304,COSTS_Spell_Earthquake[#All],2),"/")</f>
        <v>/</v>
      </c>
      <c r="T304" s="638" t="str">
        <f>IF(R304&lt;&gt;"/",VLOOKUP(R304,COSTS_Spell_Earthquake[#All],3),"/")</f>
        <v>/</v>
      </c>
      <c r="U304" s="266">
        <f>IF(T$210="Error","Error",IF(S304&lt;&gt;"/",Q304*S304,0))</f>
        <v>0</v>
      </c>
      <c r="V304" s="649">
        <f>IF(T$210="Error","Error",IF(T304&lt;&gt;"/",Q304*T304,0))</f>
        <v>0</v>
      </c>
    </row>
    <row r="305" spans="1:84" s="637" customFormat="1" ht="15" customHeight="1" thickBot="1" x14ac:dyDescent="0.3">
      <c r="A305" s="636">
        <v>4</v>
      </c>
      <c r="B305" s="634" t="str">
        <f>IF(Paramètres!AL9=0,"",Paramètres!AL9)</f>
        <v/>
      </c>
      <c r="C305" s="635">
        <f t="shared" si="128"/>
        <v>0</v>
      </c>
      <c r="D305" s="627"/>
      <c r="E305" s="628"/>
      <c r="F305" s="647" t="str">
        <f t="shared" si="129"/>
        <v>/</v>
      </c>
      <c r="G305" s="648" t="str">
        <f>IF(I$300="Error","Error",IF(AND($E$300&lt;&gt;"/",$E$300&gt;'Paramètres - Admin'!$A5),'Paramètres - Admin'!$A6,"/"))</f>
        <v>/</v>
      </c>
      <c r="H305" s="266" t="str">
        <f>IF(G305&lt;&gt;"/",VLOOKUP(G305,COSTS_Spell_Poison[#All],2),"/")</f>
        <v>/</v>
      </c>
      <c r="I305" s="638" t="str">
        <f>IF(G305&lt;&gt;"/",VLOOKUP(G305,COSTS_Spell_Poison[#All],3),"/")</f>
        <v>/</v>
      </c>
      <c r="J305" s="266">
        <f>IF(I$210="Error","Error",IF(H305&lt;&gt;"/",F305*H305,0))</f>
        <v>0</v>
      </c>
      <c r="K305" s="649">
        <f>IF(I$210="Error","Error",IF(I305&lt;&gt;"/",F305*I305,0))</f>
        <v>0</v>
      </c>
      <c r="L305" s="636">
        <v>4</v>
      </c>
      <c r="M305" s="634" t="str">
        <f>IF(Paramètres!AM9=0,"",Paramètres!AM9)</f>
        <v/>
      </c>
      <c r="N305" s="635">
        <f t="shared" si="130"/>
        <v>0</v>
      </c>
      <c r="O305" s="627"/>
      <c r="P305" s="628"/>
      <c r="Q305" s="647" t="str">
        <f t="shared" si="131"/>
        <v>/</v>
      </c>
      <c r="R305" s="648" t="str">
        <f>IF(T$300="Error","Error",IF(AND($P$300&lt;&gt;"/",$P$300&gt;'Paramètres - Admin'!$A5),'Paramètres - Admin'!$A6,"/"))</f>
        <v>/</v>
      </c>
      <c r="S305" s="266" t="str">
        <f>IF(R305&lt;&gt;"/",VLOOKUP(R305,COSTS_Spell_Earthquake[#All],2),"/")</f>
        <v>/</v>
      </c>
      <c r="T305" s="638" t="str">
        <f>IF(R305&lt;&gt;"/",VLOOKUP(R305,COSTS_Spell_Earthquake[#All],3),"/")</f>
        <v>/</v>
      </c>
      <c r="U305" s="266">
        <f>IF(T$210="Error","Error",IF(S305&lt;&gt;"/",Q305*S305,0))</f>
        <v>0</v>
      </c>
      <c r="V305" s="649">
        <f>IF(T$210="Error","Error",IF(T305&lt;&gt;"/",Q305*T305,0))</f>
        <v>0</v>
      </c>
    </row>
    <row r="306" spans="1:84" s="637" customFormat="1" ht="15" customHeight="1" thickBot="1" x14ac:dyDescent="0.3">
      <c r="A306" s="959"/>
      <c r="B306" s="957"/>
      <c r="C306" s="957"/>
      <c r="D306" s="957"/>
      <c r="E306" s="957"/>
      <c r="F306" s="957"/>
      <c r="G306" s="957"/>
      <c r="H306" s="958"/>
      <c r="I306" s="329" t="s">
        <v>31</v>
      </c>
      <c r="J306" s="141">
        <f>IF(I$210="Error","Error",SUM(J302:J305))</f>
        <v>0</v>
      </c>
      <c r="K306" s="727">
        <f>IF(I$210="Error","Error",SUM(K302:K305))</f>
        <v>0</v>
      </c>
      <c r="L306" s="1106"/>
      <c r="M306" s="1107"/>
      <c r="N306" s="1107"/>
      <c r="O306" s="1107"/>
      <c r="P306" s="1107"/>
      <c r="Q306" s="1107"/>
      <c r="R306" s="1107"/>
      <c r="S306" s="1108"/>
      <c r="T306" s="614" t="s">
        <v>31</v>
      </c>
      <c r="U306" s="443">
        <f>IF(T$210="Error","Error",SUM(U302:U305))</f>
        <v>0</v>
      </c>
      <c r="V306" s="655">
        <f>IF(T$210="Error","Error",SUM(V302:V305))</f>
        <v>0</v>
      </c>
    </row>
    <row r="307" spans="1:84" s="637" customFormat="1" ht="15" customHeight="1" x14ac:dyDescent="0.25">
      <c r="A307" s="1100" t="s">
        <v>714</v>
      </c>
      <c r="B307" s="1101"/>
      <c r="C307" s="1102"/>
      <c r="D307" s="615" t="s">
        <v>38</v>
      </c>
      <c r="E307" s="616" t="s">
        <v>39</v>
      </c>
      <c r="F307" s="87"/>
      <c r="G307" s="617"/>
      <c r="H307" s="618"/>
      <c r="I307" s="615" t="s">
        <v>256</v>
      </c>
      <c r="J307" s="619" t="s">
        <v>362</v>
      </c>
      <c r="K307" s="616" t="s">
        <v>257</v>
      </c>
    </row>
    <row r="308" spans="1:84" s="637" customFormat="1" ht="15" customHeight="1" thickBot="1" x14ac:dyDescent="0.3">
      <c r="A308" s="1103"/>
      <c r="B308" s="1104"/>
      <c r="C308" s="1105"/>
      <c r="D308" s="620">
        <f>VLOOKUP($A$2,AVAILABLE_Upgrades_Dark_Spells[#All],MATCH(A307,AVAILABLE_Upgrades_Dark_Spells[#Headers],0))</f>
        <v>0</v>
      </c>
      <c r="E308" s="621">
        <f>VLOOKUP(IF(ISERROR(LOOKUP(MATCH(1,Paramètres!$K$6:$K$45,0),Paramètres!$A$6:$A$45)),0,LOOKUP(MATCH(1,Paramètres!$K$6:$K$45,0),Paramètres!$A$6:$A$45)),AVAILABLE_Upgrades_Dark_Spells[#All],MATCH(A307,AVAILABLE_Upgrades_Dark_Spells[#Headers],0)+1)</f>
        <v>0</v>
      </c>
      <c r="F308" s="230"/>
      <c r="G308" s="640"/>
      <c r="H308" s="641"/>
      <c r="I308" s="623">
        <f>IF(SUM(B310:B313)&gt;D308,"Error",SUM(B310:B313))</f>
        <v>0</v>
      </c>
      <c r="J308" s="624">
        <f>IF(I$300="Error","Error",D308-I308)</f>
        <v>0</v>
      </c>
      <c r="K308" s="642">
        <f>IF(I$300="Error","Error",SUM(F310:F313))</f>
        <v>0</v>
      </c>
    </row>
    <row r="309" spans="1:84" s="637" customFormat="1" ht="15" customHeight="1" thickBot="1" x14ac:dyDescent="0.3">
      <c r="A309" s="625" t="s">
        <v>30</v>
      </c>
      <c r="B309" s="632" t="s">
        <v>29</v>
      </c>
      <c r="C309" s="626"/>
      <c r="D309" s="645"/>
      <c r="E309" s="646"/>
      <c r="F309" s="651" t="s">
        <v>29</v>
      </c>
      <c r="G309" s="652" t="s">
        <v>30</v>
      </c>
      <c r="H309" s="653" t="s">
        <v>258</v>
      </c>
      <c r="I309" s="653" t="s">
        <v>259</v>
      </c>
      <c r="J309" s="653" t="s">
        <v>232</v>
      </c>
      <c r="K309" s="654" t="s">
        <v>233</v>
      </c>
    </row>
    <row r="310" spans="1:84" s="637" customFormat="1" ht="15" customHeight="1" x14ac:dyDescent="0.25">
      <c r="A310" s="633">
        <v>1</v>
      </c>
      <c r="B310" s="634" t="str">
        <f>IF(Paramètres!AN6=0,"",Paramètres!AN6)</f>
        <v/>
      </c>
      <c r="C310" s="635">
        <f>IF(C309&lt;&gt;0,C309+IF(AND(B309&lt;&gt;"",A309&lt;E$308),B309,0),IF(AND(B309&lt;&gt;"",A309&lt;E$308),B309,0))</f>
        <v>0</v>
      </c>
      <c r="D310" s="627"/>
      <c r="E310" s="628"/>
      <c r="F310" s="647" t="str">
        <f>IF(G310&lt;&gt;"/",IF(I$308="Error","Error",$J$308+C310),"/")</f>
        <v>/</v>
      </c>
      <c r="G310" s="648" t="str">
        <f>IF(I$308="Error","Error",IF(AND($E$308&lt;&gt;"/",$E$308&gt;'Paramètres - Admin'!$A2),'Paramètres - Admin'!$A3,"/"))</f>
        <v>/</v>
      </c>
      <c r="H310" s="266" t="str">
        <f>IF(G310&lt;&gt;"/",VLOOKUP(G310,COSTS_Spell_Haste[#All],2),"/")</f>
        <v>/</v>
      </c>
      <c r="I310" s="638" t="str">
        <f>IF(G310&lt;&gt;"/",VLOOKUP(G310,COSTS_Spell_Haste[#All],3),"/")</f>
        <v>/</v>
      </c>
      <c r="J310" s="266">
        <f>IF(I$308="Error","Error",IF(H310&lt;&gt;"/",F310*H310,0))</f>
        <v>0</v>
      </c>
      <c r="K310" s="649">
        <f>IF(I$308="Error","Error",IF(I310&lt;&gt;"/",F310*I310,0))</f>
        <v>0</v>
      </c>
    </row>
    <row r="311" spans="1:84" s="637" customFormat="1" ht="15" customHeight="1" x14ac:dyDescent="0.25">
      <c r="A311" s="636">
        <v>2</v>
      </c>
      <c r="B311" s="634" t="str">
        <f>IF(Paramètres!AN7=0,"",Paramètres!AN7)</f>
        <v/>
      </c>
      <c r="C311" s="635">
        <f t="shared" ref="C311:C313" si="132">IF(C310&lt;&gt;0,C310+IF(AND(B310&lt;&gt;"",A310&lt;E$308),B310,0),IF(AND(B310&lt;&gt;"",A310&lt;E$308),B310,0))</f>
        <v>0</v>
      </c>
      <c r="D311" s="627"/>
      <c r="E311" s="628"/>
      <c r="F311" s="647" t="str">
        <f t="shared" ref="F311:F313" si="133">IF(G311&lt;&gt;"/",IF(I$308="Error","Error",$J$308+C311),"/")</f>
        <v>/</v>
      </c>
      <c r="G311" s="648" t="str">
        <f>IF(I$308="Error","Error",IF(AND($E$308&lt;&gt;"/",$E$308&gt;'Paramètres - Admin'!$A3),'Paramètres - Admin'!$A4,"/"))</f>
        <v>/</v>
      </c>
      <c r="H311" s="266" t="str">
        <f>IF(G311&lt;&gt;"/",VLOOKUP(G311,COSTS_Spell_Haste[#All],2),"/")</f>
        <v>/</v>
      </c>
      <c r="I311" s="638" t="str">
        <f>IF(G311&lt;&gt;"/",VLOOKUP(G311,COSTS_Spell_Haste[#All],3),"/")</f>
        <v>/</v>
      </c>
      <c r="J311" s="266">
        <f t="shared" ref="J311:J313" si="134">IF(I$308="Error","Error",IF(H311&lt;&gt;"/",F311*H311,0))</f>
        <v>0</v>
      </c>
      <c r="K311" s="649">
        <f t="shared" ref="K311:K313" si="135">IF(I$308="Error","Error",IF(I311&lt;&gt;"/",F311*I311,0))</f>
        <v>0</v>
      </c>
      <c r="L311" s="152"/>
      <c r="M311" s="152"/>
      <c r="N311" s="152"/>
      <c r="O311" s="152"/>
      <c r="P311" s="152"/>
      <c r="Q311" s="152"/>
      <c r="R311" s="152"/>
      <c r="S311" s="152"/>
      <c r="T311" s="152"/>
      <c r="U311" s="152"/>
      <c r="V311" s="152"/>
    </row>
    <row r="312" spans="1:84" s="637" customFormat="1" ht="15" customHeight="1" x14ac:dyDescent="0.25">
      <c r="A312" s="636">
        <v>3</v>
      </c>
      <c r="B312" s="634" t="str">
        <f>IF(Paramètres!AN8=0,"",Paramètres!AN8)</f>
        <v/>
      </c>
      <c r="C312" s="635">
        <f t="shared" si="132"/>
        <v>0</v>
      </c>
      <c r="D312" s="627"/>
      <c r="E312" s="628"/>
      <c r="F312" s="647" t="str">
        <f t="shared" si="133"/>
        <v>/</v>
      </c>
      <c r="G312" s="648" t="str">
        <f>IF(I$308="Error","Error",IF(AND($E$308&lt;&gt;"/",$E$308&gt;'Paramètres - Admin'!$A4),'Paramètres - Admin'!$A5,"/"))</f>
        <v>/</v>
      </c>
      <c r="H312" s="266" t="str">
        <f>IF(G312&lt;&gt;"/",VLOOKUP(G312,COSTS_Spell_Haste[#All],2),"/")</f>
        <v>/</v>
      </c>
      <c r="I312" s="638" t="str">
        <f>IF(G312&lt;&gt;"/",VLOOKUP(G312,COSTS_Spell_Haste[#All],3),"/")</f>
        <v>/</v>
      </c>
      <c r="J312" s="266">
        <f t="shared" si="134"/>
        <v>0</v>
      </c>
      <c r="K312" s="649">
        <f t="shared" si="135"/>
        <v>0</v>
      </c>
      <c r="L312" s="152"/>
      <c r="M312" s="152"/>
      <c r="N312" s="152"/>
      <c r="O312" s="152"/>
      <c r="P312" s="152"/>
      <c r="Q312" s="152"/>
      <c r="R312" s="152"/>
      <c r="S312" s="152"/>
      <c r="T312" s="152"/>
      <c r="U312" s="152"/>
      <c r="V312" s="152"/>
    </row>
    <row r="313" spans="1:84" s="637" customFormat="1" ht="15" customHeight="1" thickBot="1" x14ac:dyDescent="0.3">
      <c r="A313" s="636">
        <v>4</v>
      </c>
      <c r="B313" s="634" t="str">
        <f>IF(Paramètres!AN9=0,"",Paramètres!AN9)</f>
        <v/>
      </c>
      <c r="C313" s="635">
        <f t="shared" si="132"/>
        <v>0</v>
      </c>
      <c r="D313" s="627"/>
      <c r="E313" s="628"/>
      <c r="F313" s="647" t="str">
        <f t="shared" si="133"/>
        <v>/</v>
      </c>
      <c r="G313" s="648" t="str">
        <f>IF(I$308="Error","Error",IF(AND($E$308&lt;&gt;"/",$E$308&gt;'Paramètres - Admin'!$A5),'Paramètres - Admin'!$A6,"/"))</f>
        <v>/</v>
      </c>
      <c r="H313" s="266" t="str">
        <f>IF(G313&lt;&gt;"/",VLOOKUP(G313,COSTS_Spell_Haste[#All],2),"/")</f>
        <v>/</v>
      </c>
      <c r="I313" s="638" t="str">
        <f>IF(G313&lt;&gt;"/",VLOOKUP(G313,COSTS_Spell_Haste[#All],3),"/")</f>
        <v>/</v>
      </c>
      <c r="J313" s="266">
        <f t="shared" si="134"/>
        <v>0</v>
      </c>
      <c r="K313" s="649">
        <f t="shared" si="135"/>
        <v>0</v>
      </c>
      <c r="L313" s="152"/>
      <c r="M313" s="152"/>
      <c r="N313" s="152"/>
      <c r="O313" s="152"/>
      <c r="P313" s="152"/>
      <c r="Q313" s="152"/>
      <c r="R313" s="152"/>
      <c r="S313" s="152"/>
      <c r="T313" s="152"/>
      <c r="U313" s="152"/>
      <c r="V313" s="152"/>
    </row>
    <row r="314" spans="1:84" s="637" customFormat="1" ht="15" customHeight="1" thickBot="1" x14ac:dyDescent="0.3">
      <c r="A314" s="959"/>
      <c r="B314" s="957"/>
      <c r="C314" s="957"/>
      <c r="D314" s="957"/>
      <c r="E314" s="957"/>
      <c r="F314" s="957"/>
      <c r="G314" s="957"/>
      <c r="H314" s="958"/>
      <c r="I314" s="329" t="s">
        <v>31</v>
      </c>
      <c r="J314" s="452">
        <f>IF(I$220="Error","Error",SUM(J310:J313))</f>
        <v>0</v>
      </c>
      <c r="K314" s="727">
        <f>IF(I$220="Error","Error",SUM(K310:K313))</f>
        <v>0</v>
      </c>
      <c r="L314" s="152"/>
      <c r="M314" s="152"/>
      <c r="N314" s="152"/>
      <c r="O314" s="152"/>
      <c r="P314" s="152"/>
      <c r="Q314" s="152"/>
      <c r="R314" s="152"/>
      <c r="S314" s="152"/>
      <c r="T314" s="152"/>
      <c r="U314" s="152"/>
      <c r="V314" s="152"/>
    </row>
    <row r="315" spans="1:84" s="637" customFormat="1" ht="15" customHeight="1" x14ac:dyDescent="0.25"/>
    <row r="316" spans="1:84" s="637" customFormat="1" ht="15" customHeight="1" thickBot="1" x14ac:dyDescent="0.3">
      <c r="A316" s="153"/>
      <c r="B316" s="153"/>
      <c r="C316" s="153"/>
      <c r="D316" s="153"/>
      <c r="E316" s="153"/>
      <c r="F316" s="153"/>
      <c r="AO316" s="152"/>
      <c r="AP316" s="152"/>
      <c r="AQ316" s="152"/>
      <c r="AR316" s="152"/>
      <c r="AS316" s="152"/>
      <c r="AT316" s="152"/>
      <c r="AU316" s="152"/>
      <c r="AV316" s="152"/>
      <c r="AW316" s="152"/>
      <c r="AX316" s="152"/>
      <c r="AY316" s="152"/>
      <c r="BK316" s="152"/>
      <c r="BL316" s="152"/>
      <c r="BM316" s="152"/>
      <c r="BN316" s="152"/>
      <c r="BO316" s="152"/>
      <c r="BP316" s="152"/>
      <c r="BQ316" s="152"/>
      <c r="BR316" s="152"/>
      <c r="BS316" s="152"/>
      <c r="BT316" s="152"/>
      <c r="BU316" s="152"/>
      <c r="BV316" s="152"/>
      <c r="BW316" s="152"/>
      <c r="BX316" s="152"/>
      <c r="BY316" s="152"/>
      <c r="BZ316" s="152"/>
      <c r="CA316" s="152"/>
      <c r="CB316" s="152"/>
      <c r="CC316" s="152"/>
      <c r="CD316" s="152"/>
      <c r="CE316" s="152"/>
      <c r="CF316" s="152"/>
    </row>
    <row r="317" spans="1:84" ht="20.100000000000001" customHeight="1" thickBot="1" x14ac:dyDescent="0.3">
      <c r="A317" s="1094" t="s">
        <v>227</v>
      </c>
      <c r="B317" s="1095"/>
      <c r="C317" s="1095"/>
      <c r="D317" s="1095"/>
      <c r="E317" s="1095"/>
      <c r="F317" s="1095"/>
      <c r="G317" s="1095"/>
      <c r="H317" s="1095"/>
      <c r="I317" s="1095"/>
      <c r="J317" s="1095"/>
      <c r="K317" s="1095"/>
      <c r="L317" s="1095"/>
      <c r="M317" s="1095"/>
      <c r="N317" s="1095"/>
      <c r="O317" s="1095"/>
      <c r="P317" s="1095"/>
      <c r="Q317" s="1095"/>
      <c r="R317" s="1095"/>
      <c r="S317" s="1095"/>
      <c r="T317" s="1095"/>
      <c r="U317" s="1095"/>
      <c r="V317" s="1096"/>
    </row>
    <row r="318" spans="1:84" ht="15" customHeight="1" thickBot="1" x14ac:dyDescent="0.3">
      <c r="A318" s="1097" t="s">
        <v>248</v>
      </c>
      <c r="B318" s="1098"/>
      <c r="C318" s="1098"/>
      <c r="D318" s="1098"/>
      <c r="E318" s="1098"/>
      <c r="F318" s="1098"/>
      <c r="G318" s="1098"/>
      <c r="H318" s="1098"/>
      <c r="I318" s="1098"/>
      <c r="J318" s="1098"/>
      <c r="K318" s="1098"/>
      <c r="L318" s="1098"/>
      <c r="M318" s="1098"/>
      <c r="N318" s="1098"/>
      <c r="O318" s="1098"/>
      <c r="P318" s="1098"/>
      <c r="Q318" s="1098"/>
      <c r="R318" s="1098"/>
      <c r="S318" s="1098"/>
      <c r="T318" s="1098"/>
      <c r="U318" s="1098"/>
      <c r="V318" s="1099"/>
    </row>
    <row r="319" spans="1:84" ht="15" customHeight="1" x14ac:dyDescent="0.25">
      <c r="A319" s="1100" t="s">
        <v>183</v>
      </c>
      <c r="B319" s="1101"/>
      <c r="C319" s="1102"/>
      <c r="D319" s="85" t="s">
        <v>38</v>
      </c>
      <c r="E319" s="86" t="s">
        <v>39</v>
      </c>
      <c r="F319" s="87"/>
      <c r="G319" s="88"/>
      <c r="H319" s="89"/>
      <c r="I319" s="615" t="s">
        <v>256</v>
      </c>
      <c r="J319" s="619" t="s">
        <v>362</v>
      </c>
      <c r="K319" s="616" t="s">
        <v>257</v>
      </c>
      <c r="L319" s="1100" t="s">
        <v>67</v>
      </c>
      <c r="M319" s="1101"/>
      <c r="N319" s="1102"/>
      <c r="O319" s="85" t="s">
        <v>38</v>
      </c>
      <c r="P319" s="86" t="s">
        <v>39</v>
      </c>
      <c r="Q319" s="87"/>
      <c r="R319" s="88"/>
      <c r="S319" s="89"/>
      <c r="T319" s="615" t="s">
        <v>256</v>
      </c>
      <c r="U319" s="619" t="s">
        <v>362</v>
      </c>
      <c r="V319" s="616" t="s">
        <v>257</v>
      </c>
    </row>
    <row r="320" spans="1:84" ht="15" customHeight="1" thickBot="1" x14ac:dyDescent="0.3">
      <c r="A320" s="1103"/>
      <c r="B320" s="1104"/>
      <c r="C320" s="1105"/>
      <c r="D320" s="95">
        <f>VLOOKUP($A$2,AVAILABLE_Upgrades_Dark_Troops[#All],MATCH(A319,AVAILABLE_Upgrades_Dark_Troops[#Headers],0))</f>
        <v>0</v>
      </c>
      <c r="E320" s="96">
        <f>VLOOKUP(IF(ISERROR(LOOKUP(MATCH(1,Paramètres!$K$6:$K$45,0),Paramètres!$A$6:$A$45)),0,LOOKUP(MATCH(1,Paramètres!$K$6:$K$45,0),Paramètres!$A$6:$A$45)),AVAILABLE_Upgrades_Dark_Troops[#All],MATCH(A319,AVAILABLE_Upgrades_Dark_Troops[#Headers],0)+1)</f>
        <v>0</v>
      </c>
      <c r="F320" s="230"/>
      <c r="G320" s="231"/>
      <c r="H320" s="232"/>
      <c r="I320" s="104">
        <f>IF(SUM(B322:B327)&gt;D320,"Error",SUM(B322:B327))</f>
        <v>0</v>
      </c>
      <c r="J320" s="105">
        <f>IF(I$320="Error","Error",D320-I320)</f>
        <v>0</v>
      </c>
      <c r="K320" s="233">
        <f>IF(I$320="Error","Error",SUM(F322:F327))</f>
        <v>0</v>
      </c>
      <c r="L320" s="1103"/>
      <c r="M320" s="1104"/>
      <c r="N320" s="1105"/>
      <c r="O320" s="95">
        <f>VLOOKUP($A$2,AVAILABLE_Upgrades_Dark_Troops[#All],MATCH(L319,AVAILABLE_Upgrades_Dark_Troops[#Headers],0))</f>
        <v>0</v>
      </c>
      <c r="P320" s="621">
        <f>VLOOKUP(IF(ISERROR(LOOKUP(MATCH(1,Paramètres!$K$6:$K$45,0),Paramètres!$A$6:$A$45)),0,LOOKUP(MATCH(1,Paramètres!$K$6:$K$45,0),Paramètres!$A$6:$A$45)),AVAILABLE_Upgrades_Dark_Troops[#All],MATCH(L319,AVAILABLE_Upgrades_Dark_Troops[#Headers],0)+1)</f>
        <v>0</v>
      </c>
      <c r="Q320" s="230"/>
      <c r="R320" s="231"/>
      <c r="S320" s="232"/>
      <c r="T320" s="104">
        <f>IF(SUM(M322:M326)&gt;O320,"Error",SUM(M322:M326))</f>
        <v>0</v>
      </c>
      <c r="U320" s="105">
        <f>IF(T$320="Error","Error",O320-T320)</f>
        <v>0</v>
      </c>
      <c r="V320" s="233">
        <f>IF(T$320="Error","Error",SUM(Q322:Q326))</f>
        <v>0</v>
      </c>
    </row>
    <row r="321" spans="1:22" ht="15" customHeight="1" thickBot="1" x14ac:dyDescent="0.3">
      <c r="A321" s="625" t="s">
        <v>30</v>
      </c>
      <c r="B321" s="394" t="s">
        <v>29</v>
      </c>
      <c r="C321" s="720"/>
      <c r="D321" s="694"/>
      <c r="E321" s="695"/>
      <c r="F321" s="546" t="s">
        <v>29</v>
      </c>
      <c r="G321" s="547" t="s">
        <v>30</v>
      </c>
      <c r="H321" s="272" t="s">
        <v>258</v>
      </c>
      <c r="I321" s="272" t="s">
        <v>259</v>
      </c>
      <c r="J321" s="272" t="s">
        <v>232</v>
      </c>
      <c r="K321" s="273" t="s">
        <v>233</v>
      </c>
      <c r="L321" s="625" t="s">
        <v>30</v>
      </c>
      <c r="M321" s="394" t="s">
        <v>29</v>
      </c>
      <c r="N321" s="720"/>
      <c r="O321" s="694"/>
      <c r="P321" s="695"/>
      <c r="Q321" s="546" t="s">
        <v>29</v>
      </c>
      <c r="R321" s="547" t="s">
        <v>30</v>
      </c>
      <c r="S321" s="272" t="s">
        <v>258</v>
      </c>
      <c r="T321" s="272" t="s">
        <v>259</v>
      </c>
      <c r="U321" s="272" t="s">
        <v>232</v>
      </c>
      <c r="V321" s="273" t="s">
        <v>233</v>
      </c>
    </row>
    <row r="322" spans="1:22" ht="15" customHeight="1" thickBot="1" x14ac:dyDescent="0.3">
      <c r="A322" s="122">
        <v>1</v>
      </c>
      <c r="B322" s="116" t="str">
        <f>IF(Paramètres!AY6=0,"",Paramètres!AY6)</f>
        <v/>
      </c>
      <c r="C322" s="711">
        <f>IF(C321&lt;&gt;0,C321+IF(AND(B321&lt;&gt;"",A321&lt;E$320),B321,0),IF(AND(B321&lt;&gt;"",A321&lt;E$320),B321,0))</f>
        <v>0</v>
      </c>
      <c r="D322" s="707"/>
      <c r="E322" s="707"/>
      <c r="F322" s="708" t="str">
        <f t="shared" ref="F322:F327" si="136">IF(G322&lt;&gt;"/",IF(I$320="Error","Error",$J$320+C322),"/")</f>
        <v>/</v>
      </c>
      <c r="G322" s="548" t="str">
        <f>IF(I$320="Error","Error",IF(AND($E$320&lt;&gt;"/",$E$320&gt;'Paramètres - Admin'!$A2),'Paramètres - Admin'!$A3,"/"))</f>
        <v>/</v>
      </c>
      <c r="H322" s="136" t="str">
        <f>IF(G322&lt;&gt;"/",VLOOKUP(G322,COSTS_Minion[#All],2),"/")</f>
        <v>/</v>
      </c>
      <c r="I322" s="549" t="str">
        <f>IF(G322&lt;&gt;"/",VLOOKUP(G322,COSTS_Minion[#All],3),"/")</f>
        <v>/</v>
      </c>
      <c r="J322" s="136">
        <f t="shared" ref="J322:J327" si="137">IF(I$320="Error","Error",IF(H322&lt;&gt;"/",F322*H322,0))</f>
        <v>0</v>
      </c>
      <c r="K322" s="550">
        <f t="shared" ref="K322:K327" si="138">IF(I$320="Error","Error",IF(I322&lt;&gt;"/",F322*I322,0))</f>
        <v>0</v>
      </c>
      <c r="L322" s="122">
        <v>1</v>
      </c>
      <c r="M322" s="116" t="str">
        <f>IF(Paramètres!BB6=0,"",Paramètres!BB6)</f>
        <v/>
      </c>
      <c r="N322" s="711">
        <f>IF(N321&lt;&gt;0,N321+IF(AND(M321&lt;&gt;"",L321&lt;P$320),M321,0),IF(AND(M321&lt;&gt;"",L321&lt;P$320),M321,0))</f>
        <v>0</v>
      </c>
      <c r="O322" s="707"/>
      <c r="P322" s="707"/>
      <c r="Q322" s="708" t="str">
        <f>IF(R322&lt;&gt;"/",IF(T$320="Error","Error",$U$320+N322),"/")</f>
        <v>/</v>
      </c>
      <c r="R322" s="548" t="str">
        <f>IF(T$320="Error","Error",IF(AND($P$320&lt;&gt;"/",$P$320&gt;'Paramètres - Admin'!$A2),'Paramètres - Admin'!$A3,"/"))</f>
        <v>/</v>
      </c>
      <c r="S322" s="136" t="str">
        <f>IF(R322&lt;&gt;"/",VLOOKUP(R322,COSTS_Golem[#All],2),"/")</f>
        <v>/</v>
      </c>
      <c r="T322" s="549" t="str">
        <f>IF(R322&lt;&gt;"/",VLOOKUP(R322,COSTS_Golem[#All],3),"/")</f>
        <v>/</v>
      </c>
      <c r="U322" s="136">
        <f>IF(T$320="Error","Error",IF(S322&lt;&gt;"/",Q322*S322,0))</f>
        <v>0</v>
      </c>
      <c r="V322" s="550">
        <f>IF(T$320="Error","Error",IF(T322&lt;&gt;"/",Q322*T322,0))</f>
        <v>0</v>
      </c>
    </row>
    <row r="323" spans="1:22" ht="15" customHeight="1" thickBot="1" x14ac:dyDescent="0.3">
      <c r="A323" s="705">
        <v>2</v>
      </c>
      <c r="B323" s="123" t="str">
        <f>IF(Paramètres!AY7=0,"",Paramètres!AY7)</f>
        <v/>
      </c>
      <c r="C323" s="711">
        <f t="shared" ref="C323:C327" si="139">IF(C322&lt;&gt;0,C322+IF(AND(B322&lt;&gt;"",A322&lt;E$320),B322,0),IF(AND(B322&lt;&gt;"",A322&lt;E$320),B322,0))</f>
        <v>0</v>
      </c>
      <c r="D323" s="630"/>
      <c r="E323" s="630"/>
      <c r="F323" s="709" t="str">
        <f t="shared" si="136"/>
        <v>/</v>
      </c>
      <c r="G323" s="120" t="str">
        <f>IF(I$320="Error","Error",IF(AND($E$320&lt;&gt;"/",$E$320&gt;'Paramètres - Admin'!$A3),'Paramètres - Admin'!$A4,"/"))</f>
        <v>/</v>
      </c>
      <c r="H323" s="139" t="str">
        <f>IF(G323&lt;&gt;"/",VLOOKUP(G323,COSTS_Minion[#All],2),"/")</f>
        <v>/</v>
      </c>
      <c r="I323" s="101" t="str">
        <f>IF(G323&lt;&gt;"/",VLOOKUP(G323,COSTS_Minion[#All],3),"/")</f>
        <v>/</v>
      </c>
      <c r="J323" s="139">
        <f t="shared" si="137"/>
        <v>0</v>
      </c>
      <c r="K323" s="629">
        <f t="shared" si="138"/>
        <v>0</v>
      </c>
      <c r="L323" s="705">
        <v>2</v>
      </c>
      <c r="M323" s="123" t="str">
        <f>IF(Paramètres!BB7=0,"",Paramètres!BB7)</f>
        <v/>
      </c>
      <c r="N323" s="711">
        <f t="shared" ref="N323:N326" si="140">IF(N322&lt;&gt;0,N322+IF(AND(M322&lt;&gt;"",L322&lt;P$320),M322,0),IF(AND(M322&lt;&gt;"",L322&lt;P$320),M322,0))</f>
        <v>0</v>
      </c>
      <c r="O323" s="630"/>
      <c r="P323" s="630"/>
      <c r="Q323" s="709" t="str">
        <f>IF(R323&lt;&gt;"/",IF(T$320="Error","Error",$U$320+N323),"/")</f>
        <v>/</v>
      </c>
      <c r="R323" s="120" t="str">
        <f>IF(T$320="Error","Error",IF(AND($P$320&lt;&gt;"/",$P$320&gt;'Paramètres - Admin'!$A3),'Paramètres - Admin'!$A4,"/"))</f>
        <v>/</v>
      </c>
      <c r="S323" s="139" t="str">
        <f>IF(R323&lt;&gt;"/",VLOOKUP(R323,COSTS_Golem[#All],2),"/")</f>
        <v>/</v>
      </c>
      <c r="T323" s="101" t="str">
        <f>IF(R323&lt;&gt;"/",VLOOKUP(R323,COSTS_Golem[#All],3),"/")</f>
        <v>/</v>
      </c>
      <c r="U323" s="139">
        <f>IF(T$320="Error","Error",IF(S323&lt;&gt;"/",Q323*S323,0))</f>
        <v>0</v>
      </c>
      <c r="V323" s="629">
        <f>IF(T$320="Error","Error",IF(T323&lt;&gt;"/",Q323*T323,0))</f>
        <v>0</v>
      </c>
    </row>
    <row r="324" spans="1:22" ht="15" customHeight="1" thickBot="1" x14ac:dyDescent="0.3">
      <c r="A324" s="705">
        <v>3</v>
      </c>
      <c r="B324" s="123" t="str">
        <f>IF(Paramètres!AY8=0,"",Paramètres!AY8)</f>
        <v/>
      </c>
      <c r="C324" s="711">
        <f t="shared" si="139"/>
        <v>0</v>
      </c>
      <c r="D324" s="630"/>
      <c r="E324" s="630"/>
      <c r="F324" s="709" t="str">
        <f t="shared" si="136"/>
        <v>/</v>
      </c>
      <c r="G324" s="120" t="str">
        <f>IF(I$320="Error","Error",IF(AND($E$320&lt;&gt;"/",$E$320&gt;'Paramètres - Admin'!$A4),'Paramètres - Admin'!$A5,"/"))</f>
        <v>/</v>
      </c>
      <c r="H324" s="139" t="str">
        <f>IF(G324&lt;&gt;"/",VLOOKUP(G324,COSTS_Minion[#All],2),"/")</f>
        <v>/</v>
      </c>
      <c r="I324" s="101" t="str">
        <f>IF(G324&lt;&gt;"/",VLOOKUP(G324,COSTS_Minion[#All],3),"/")</f>
        <v>/</v>
      </c>
      <c r="J324" s="139">
        <f t="shared" si="137"/>
        <v>0</v>
      </c>
      <c r="K324" s="629">
        <f t="shared" si="138"/>
        <v>0</v>
      </c>
      <c r="L324" s="705">
        <v>3</v>
      </c>
      <c r="M324" s="123" t="str">
        <f>IF(Paramètres!BB8=0,"",Paramètres!BB8)</f>
        <v/>
      </c>
      <c r="N324" s="711">
        <f t="shared" si="140"/>
        <v>0</v>
      </c>
      <c r="O324" s="630"/>
      <c r="P324" s="630"/>
      <c r="Q324" s="709" t="str">
        <f>IF(R324&lt;&gt;"/",IF(T$320="Error","Error",$U$320+N324),"/")</f>
        <v>/</v>
      </c>
      <c r="R324" s="120" t="str">
        <f>IF(T$320="Error","Error",IF(AND($P$320&lt;&gt;"/",$P$320&gt;'Paramètres - Admin'!$A4),'Paramètres - Admin'!$A5,"/"))</f>
        <v>/</v>
      </c>
      <c r="S324" s="139" t="str">
        <f>IF(R324&lt;&gt;"/",VLOOKUP(R324,COSTS_Golem[#All],2),"/")</f>
        <v>/</v>
      </c>
      <c r="T324" s="101" t="str">
        <f>IF(R324&lt;&gt;"/",VLOOKUP(R324,COSTS_Golem[#All],3),"/")</f>
        <v>/</v>
      </c>
      <c r="U324" s="139">
        <f>IF(T$320="Error","Error",IF(S324&lt;&gt;"/",Q324*S324,0))</f>
        <v>0</v>
      </c>
      <c r="V324" s="629">
        <f>IF(T$320="Error","Error",IF(T324&lt;&gt;"/",Q324*T324,0))</f>
        <v>0</v>
      </c>
    </row>
    <row r="325" spans="1:22" ht="15" customHeight="1" thickBot="1" x14ac:dyDescent="0.3">
      <c r="A325" s="705">
        <v>4</v>
      </c>
      <c r="B325" s="123" t="str">
        <f>IF(Paramètres!AY9=0,"",Paramètres!AY9)</f>
        <v/>
      </c>
      <c r="C325" s="711">
        <f t="shared" si="139"/>
        <v>0</v>
      </c>
      <c r="D325" s="630"/>
      <c r="E325" s="630"/>
      <c r="F325" s="709" t="str">
        <f t="shared" si="136"/>
        <v>/</v>
      </c>
      <c r="G325" s="120" t="str">
        <f>IF(I$320="Error","Error",IF(AND($E$320&lt;&gt;"/",$E$320&gt;'Paramètres - Admin'!$A5),'Paramètres - Admin'!$A6,"/"))</f>
        <v>/</v>
      </c>
      <c r="H325" s="139" t="str">
        <f>IF(G325&lt;&gt;"/",VLOOKUP(G325,COSTS_Minion[#All],2),"/")</f>
        <v>/</v>
      </c>
      <c r="I325" s="101" t="str">
        <f>IF(G325&lt;&gt;"/",VLOOKUP(G325,COSTS_Minion[#All],3),"/")</f>
        <v>/</v>
      </c>
      <c r="J325" s="139">
        <f t="shared" si="137"/>
        <v>0</v>
      </c>
      <c r="K325" s="629">
        <f t="shared" si="138"/>
        <v>0</v>
      </c>
      <c r="L325" s="705">
        <v>4</v>
      </c>
      <c r="M325" s="123" t="str">
        <f>IF(Paramètres!BB9=0,"",Paramètres!BB9)</f>
        <v/>
      </c>
      <c r="N325" s="711">
        <f t="shared" si="140"/>
        <v>0</v>
      </c>
      <c r="O325" s="630"/>
      <c r="P325" s="630"/>
      <c r="Q325" s="709" t="str">
        <f>IF(R325&lt;&gt;"/",IF(T$320="Error","Error",$U$320+N325),"/")</f>
        <v>/</v>
      </c>
      <c r="R325" s="120" t="str">
        <f>IF(T$320="Error","Error",IF(AND($P$320&lt;&gt;"/",$P$320&gt;'Paramètres - Admin'!$A5),'Paramètres - Admin'!$A6,"/"))</f>
        <v>/</v>
      </c>
      <c r="S325" s="139" t="str">
        <f>IF(R325&lt;&gt;"/",VLOOKUP(R325,COSTS_Golem[#All],2),"/")</f>
        <v>/</v>
      </c>
      <c r="T325" s="101" t="str">
        <f>IF(R325&lt;&gt;"/",VLOOKUP(R325,COSTS_Golem[#All],3),"/")</f>
        <v>/</v>
      </c>
      <c r="U325" s="139">
        <f>IF(T$320="Error","Error",IF(S325&lt;&gt;"/",Q325*S325,0))</f>
        <v>0</v>
      </c>
      <c r="V325" s="629">
        <f>IF(T$320="Error","Error",IF(T325&lt;&gt;"/",Q325*T325,0))</f>
        <v>0</v>
      </c>
    </row>
    <row r="326" spans="1:22" ht="15" customHeight="1" thickBot="1" x14ac:dyDescent="0.3">
      <c r="A326" s="705">
        <v>5</v>
      </c>
      <c r="B326" s="123" t="str">
        <f>IF(Paramètres!AY10=0,"",Paramètres!AY10)</f>
        <v/>
      </c>
      <c r="C326" s="711">
        <f t="shared" si="139"/>
        <v>0</v>
      </c>
      <c r="D326" s="630"/>
      <c r="E326" s="630"/>
      <c r="F326" s="709" t="str">
        <f t="shared" si="136"/>
        <v>/</v>
      </c>
      <c r="G326" s="120" t="str">
        <f>IF(I$320="Error","Error",IF(AND($E$320&lt;&gt;"/",$E$320&gt;'Paramètres - Admin'!$A6),'Paramètres - Admin'!$A7,"/"))</f>
        <v>/</v>
      </c>
      <c r="H326" s="139" t="str">
        <f>IF(G326&lt;&gt;"/",VLOOKUP(G326,COSTS_Minion[#All],2),"/")</f>
        <v>/</v>
      </c>
      <c r="I326" s="101" t="str">
        <f>IF(G326&lt;&gt;"/",VLOOKUP(G326,COSTS_Minion[#All],3),"/")</f>
        <v>/</v>
      </c>
      <c r="J326" s="139">
        <f t="shared" si="137"/>
        <v>0</v>
      </c>
      <c r="K326" s="629">
        <f t="shared" si="138"/>
        <v>0</v>
      </c>
      <c r="L326" s="706">
        <v>5</v>
      </c>
      <c r="M326" s="128" t="str">
        <f>IF(Paramètres!BB10=0,"",Paramètres!BB10)</f>
        <v/>
      </c>
      <c r="N326" s="711">
        <f t="shared" si="140"/>
        <v>0</v>
      </c>
      <c r="O326" s="129"/>
      <c r="P326" s="129"/>
      <c r="Q326" s="710" t="str">
        <f>IF(R326&lt;&gt;"/",IF(T$320="Error","Error",$U$320+N326),"/")</f>
        <v>/</v>
      </c>
      <c r="R326" s="130" t="str">
        <f>IF(T$320="Error","Error",IF(AND($P$320&lt;&gt;"/",$P$320&gt;'Paramètres - Admin'!$A6),'Paramètres - Admin'!$A7,"/"))</f>
        <v>/</v>
      </c>
      <c r="S326" s="234" t="str">
        <f>IF(R326&lt;&gt;"/",VLOOKUP(R326,COSTS_Golem[#All],2),"/")</f>
        <v>/</v>
      </c>
      <c r="T326" s="127" t="str">
        <f>IF(R326&lt;&gt;"/",VLOOKUP(R326,COSTS_Golem[#All],3),"/")</f>
        <v>/</v>
      </c>
      <c r="U326" s="234">
        <f>IF(T$320="Error","Error",IF(S326&lt;&gt;"/",Q326*S326,0))</f>
        <v>0</v>
      </c>
      <c r="V326" s="131">
        <f>IF(T$320="Error","Error",IF(T326&lt;&gt;"/",Q326*T326,0))</f>
        <v>0</v>
      </c>
    </row>
    <row r="327" spans="1:22" ht="15" customHeight="1" thickBot="1" x14ac:dyDescent="0.3">
      <c r="A327" s="706">
        <v>6</v>
      </c>
      <c r="B327" s="128" t="str">
        <f>IF(Paramètres!AY11=0,"",Paramètres!AY11)</f>
        <v/>
      </c>
      <c r="C327" s="711">
        <f t="shared" si="139"/>
        <v>0</v>
      </c>
      <c r="D327" s="129"/>
      <c r="E327" s="129"/>
      <c r="F327" s="710" t="str">
        <f t="shared" si="136"/>
        <v>/</v>
      </c>
      <c r="G327" s="130" t="str">
        <f>IF(I$320="Error","Error",IF(AND($E$320&lt;&gt;"/",$E$320&gt;'Paramètres - Admin'!$A7),'Paramètres - Admin'!$A8,"/"))</f>
        <v>/</v>
      </c>
      <c r="H327" s="234" t="str">
        <f>IF(G327&lt;&gt;"/",VLOOKUP(G327,COSTS_Minion[#All],2),"/")</f>
        <v>/</v>
      </c>
      <c r="I327" s="127" t="str">
        <f>IF(G327&lt;&gt;"/",VLOOKUP(G327,COSTS_Minion[#All],3),"/")</f>
        <v>/</v>
      </c>
      <c r="J327" s="234">
        <f t="shared" si="137"/>
        <v>0</v>
      </c>
      <c r="K327" s="131">
        <f t="shared" si="138"/>
        <v>0</v>
      </c>
      <c r="L327" s="702"/>
      <c r="M327" s="703"/>
      <c r="N327" s="703"/>
      <c r="O327" s="703"/>
      <c r="P327" s="703"/>
      <c r="Q327" s="703"/>
      <c r="R327" s="703"/>
      <c r="S327" s="704"/>
      <c r="T327" s="614" t="s">
        <v>31</v>
      </c>
      <c r="U327" s="270">
        <f>IF(T$320="Error","Error",SUM(U322:U326))</f>
        <v>0</v>
      </c>
      <c r="V327" s="268">
        <f>IF(T$320="Error","Error",SUM(V322:V326))</f>
        <v>0</v>
      </c>
    </row>
    <row r="328" spans="1:22" ht="15" customHeight="1" thickBot="1" x14ac:dyDescent="0.3">
      <c r="A328" s="594"/>
      <c r="B328" s="703"/>
      <c r="C328" s="703"/>
      <c r="D328" s="703"/>
      <c r="E328" s="703"/>
      <c r="F328" s="703"/>
      <c r="G328" s="703"/>
      <c r="H328" s="704"/>
      <c r="I328" s="614" t="s">
        <v>31</v>
      </c>
      <c r="J328" s="270">
        <f>IF(I$320="Error","Error",SUM(J322:J327))</f>
        <v>0</v>
      </c>
      <c r="K328" s="268">
        <f>IF(I$320="Error","Error",SUM(K322:K326))</f>
        <v>0</v>
      </c>
      <c r="L328" s="1100" t="s">
        <v>539</v>
      </c>
      <c r="M328" s="1101"/>
      <c r="N328" s="1102"/>
      <c r="O328" s="85" t="s">
        <v>38</v>
      </c>
      <c r="P328" s="86" t="s">
        <v>39</v>
      </c>
      <c r="Q328" s="87"/>
      <c r="R328" s="88"/>
      <c r="S328" s="89"/>
      <c r="T328" s="615" t="s">
        <v>256</v>
      </c>
      <c r="U328" s="619" t="s">
        <v>362</v>
      </c>
      <c r="V328" s="616" t="s">
        <v>257</v>
      </c>
    </row>
    <row r="329" spans="1:22" ht="15" customHeight="1" thickBot="1" x14ac:dyDescent="0.3">
      <c r="A329" s="1100" t="s">
        <v>245</v>
      </c>
      <c r="B329" s="1101"/>
      <c r="C329" s="1102"/>
      <c r="D329" s="85" t="s">
        <v>38</v>
      </c>
      <c r="E329" s="86" t="s">
        <v>39</v>
      </c>
      <c r="F329" s="87"/>
      <c r="G329" s="88"/>
      <c r="H329" s="89"/>
      <c r="I329" s="615" t="s">
        <v>256</v>
      </c>
      <c r="J329" s="619" t="s">
        <v>362</v>
      </c>
      <c r="K329" s="616" t="s">
        <v>257</v>
      </c>
      <c r="L329" s="1103"/>
      <c r="M329" s="1104"/>
      <c r="N329" s="1105"/>
      <c r="O329" s="95">
        <f>VLOOKUP($A$2,AVAILABLE_Upgrades_Dark_Troops[#All],MATCH(L328,AVAILABLE_Upgrades_Dark_Troops[#Headers],0))</f>
        <v>0</v>
      </c>
      <c r="P329" s="621">
        <f>VLOOKUP(IF(ISERROR(LOOKUP(MATCH(1,Paramètres!$K$6:$K$45,0),Paramètres!$A$6:$A$45)),0,LOOKUP(MATCH(1,Paramètres!$K$6:$K$45,0),Paramètres!$A$6:$A$45)),AVAILABLE_Upgrades_Dark_Troops[#All],MATCH(L328,AVAILABLE_Upgrades_Dark_Troops[#Headers],0)+1)</f>
        <v>0</v>
      </c>
      <c r="Q329" s="230"/>
      <c r="R329" s="231"/>
      <c r="S329" s="232"/>
      <c r="T329" s="104">
        <f>IF(SUM(M331:M332)&gt;O329,"Error",SUM(M331:M332))</f>
        <v>0</v>
      </c>
      <c r="U329" s="105">
        <f>IF(T$329="Error","Error",O329-T329)</f>
        <v>0</v>
      </c>
      <c r="V329" s="233">
        <f>IF(T$329="Error","Error",SUM(Q331:Q332))</f>
        <v>0</v>
      </c>
    </row>
    <row r="330" spans="1:22" ht="15" customHeight="1" thickBot="1" x14ac:dyDescent="0.3">
      <c r="A330" s="1103"/>
      <c r="B330" s="1104"/>
      <c r="C330" s="1105"/>
      <c r="D330" s="95">
        <f>VLOOKUP($A$2,AVAILABLE_Upgrades_Dark_Troops[#All],MATCH(A329,AVAILABLE_Upgrades_Dark_Troops[#Headers],0))</f>
        <v>0</v>
      </c>
      <c r="E330" s="621">
        <f>VLOOKUP(IF(ISERROR(LOOKUP(MATCH(1,Paramètres!$K$6:$K$45,0),Paramètres!$A$6:$A$45)),0,LOOKUP(MATCH(1,Paramètres!$K$6:$K$45,0),Paramètres!$A$6:$A$45)),AVAILABLE_Upgrades_Dark_Troops[#All],MATCH(A329,AVAILABLE_Upgrades_Dark_Troops[#Headers],0)+1)</f>
        <v>0</v>
      </c>
      <c r="F330" s="230"/>
      <c r="G330" s="231"/>
      <c r="H330" s="232"/>
      <c r="I330" s="104">
        <f>IF(SUM(B332:B336)&gt;D330,"Error",SUM(B332:B336))</f>
        <v>0</v>
      </c>
      <c r="J330" s="105">
        <f>IF(I$330="Error","Error",D330-I330)</f>
        <v>0</v>
      </c>
      <c r="K330" s="233">
        <f>IF(I$330="Error","Error",SUM(F332:F336))</f>
        <v>0</v>
      </c>
      <c r="L330" s="625" t="s">
        <v>30</v>
      </c>
      <c r="M330" s="394" t="s">
        <v>29</v>
      </c>
      <c r="N330" s="720"/>
      <c r="O330" s="694"/>
      <c r="P330" s="695"/>
      <c r="Q330" s="546" t="s">
        <v>29</v>
      </c>
      <c r="R330" s="547" t="s">
        <v>30</v>
      </c>
      <c r="S330" s="272" t="s">
        <v>258</v>
      </c>
      <c r="T330" s="272" t="s">
        <v>259</v>
      </c>
      <c r="U330" s="272" t="s">
        <v>232</v>
      </c>
      <c r="V330" s="273" t="s">
        <v>233</v>
      </c>
    </row>
    <row r="331" spans="1:22" ht="15" customHeight="1" thickBot="1" x14ac:dyDescent="0.3">
      <c r="A331" s="625" t="s">
        <v>30</v>
      </c>
      <c r="B331" s="394" t="s">
        <v>29</v>
      </c>
      <c r="C331" s="720"/>
      <c r="D331" s="694"/>
      <c r="E331" s="695"/>
      <c r="F331" s="546" t="s">
        <v>29</v>
      </c>
      <c r="G331" s="547" t="s">
        <v>30</v>
      </c>
      <c r="H331" s="272" t="s">
        <v>258</v>
      </c>
      <c r="I331" s="272" t="s">
        <v>259</v>
      </c>
      <c r="J331" s="272" t="s">
        <v>232</v>
      </c>
      <c r="K331" s="273" t="s">
        <v>233</v>
      </c>
      <c r="L331" s="122">
        <v>1</v>
      </c>
      <c r="M331" s="116" t="str">
        <f>IF(Paramètres!BC6=0,"",Paramètres!BC6)</f>
        <v/>
      </c>
      <c r="N331" s="711">
        <f>IF(N330&lt;&gt;0,N330+IF(AND(M330&lt;&gt;"",L330&lt;P$329),M330,0),IF(AND(M330&lt;&gt;"",L330&lt;P$329),M330,0))</f>
        <v>0</v>
      </c>
      <c r="O331" s="707"/>
      <c r="P331" s="707"/>
      <c r="Q331" s="708" t="str">
        <f>IF(R331&lt;&gt;"/",IF(T$329="Error","Error",$U$329+N331),"/")</f>
        <v>/</v>
      </c>
      <c r="R331" s="548" t="str">
        <f>IF(T$329="Error","Error",IF(AND($P$329&lt;&gt;"/",$P$329&gt;'Paramètres - Admin'!$A2),'Paramètres - Admin'!$A3,"/"))</f>
        <v>/</v>
      </c>
      <c r="S331" s="136" t="str">
        <f>IF(R331&lt;&gt;"/",VLOOKUP(R331,COSTS_Witch[#All],2),"/")</f>
        <v>/</v>
      </c>
      <c r="T331" s="549" t="str">
        <f>IF(R331&lt;&gt;"/",VLOOKUP(R331,COSTS_Witch[#All],3),"/")</f>
        <v>/</v>
      </c>
      <c r="U331" s="136">
        <f>IF(T$329="Error","Error",IF(S331&lt;&gt;"/",Q331*S331,0))</f>
        <v>0</v>
      </c>
      <c r="V331" s="550">
        <f>IF(T$329="Error","Error",IF(T331&lt;&gt;"/",Q331*T331,0))</f>
        <v>0</v>
      </c>
    </row>
    <row r="332" spans="1:22" ht="15" customHeight="1" thickBot="1" x14ac:dyDescent="0.3">
      <c r="A332" s="122">
        <v>1</v>
      </c>
      <c r="B332" s="116" t="str">
        <f>IF(Paramètres!AZ6=0,"",Paramètres!AZ6)</f>
        <v/>
      </c>
      <c r="C332" s="711">
        <f>IF(C331&lt;&gt;0,C331+IF(AND(B331&lt;&gt;"",A331&lt;E$330),B331,0),IF(AND(B331&lt;&gt;"",A331&lt;E$330),B331,0))</f>
        <v>0</v>
      </c>
      <c r="D332" s="707"/>
      <c r="E332" s="707"/>
      <c r="F332" s="708" t="str">
        <f>IF(G332&lt;&gt;"/",IF(I$330="Error","Error",$J$330+C332),"/")</f>
        <v>/</v>
      </c>
      <c r="G332" s="548" t="str">
        <f>IF(I$330="Error","Error",IF(AND($E$330&lt;&gt;"/",$E$330&gt;'Paramètres - Admin'!$A2),'Paramètres - Admin'!$A3,"/"))</f>
        <v>/</v>
      </c>
      <c r="H332" s="136" t="str">
        <f>IF(G332&lt;&gt;"/",VLOOKUP(G332,COSTS_Hog_Rider[#All],2),"/")</f>
        <v>/</v>
      </c>
      <c r="I332" s="549" t="str">
        <f>IF(G332&lt;&gt;"/",VLOOKUP(G332,COSTS_Hog_Rider[#All],3),"/")</f>
        <v>/</v>
      </c>
      <c r="J332" s="136">
        <f>IF(I$330="Error","Error",IF(H332&lt;&gt;"/",F332*H332,0))</f>
        <v>0</v>
      </c>
      <c r="K332" s="550">
        <f>IF(I$330="Error","Error",IF(I332&lt;&gt;"/",F332*I332,0))</f>
        <v>0</v>
      </c>
      <c r="L332" s="706">
        <v>2</v>
      </c>
      <c r="M332" s="128" t="str">
        <f>IF(Paramètres!BC7=0,"",Paramètres!BC7)</f>
        <v/>
      </c>
      <c r="N332" s="711">
        <f>IF(N331&lt;&gt;0,N331+IF(AND(M331&lt;&gt;"",L331&lt;P$329),M331,0),IF(AND(M331&lt;&gt;"",L331&lt;P$329),M331,0))</f>
        <v>0</v>
      </c>
      <c r="O332" s="129"/>
      <c r="P332" s="129"/>
      <c r="Q332" s="710" t="str">
        <f>IF(R332&lt;&gt;"/",IF(T$329="Error","Error",$U$329+N332),"/")</f>
        <v>/</v>
      </c>
      <c r="R332" s="130" t="str">
        <f>IF(T$329="Error","Error",IF(AND($P$329&lt;&gt;"/",$P$329&gt;'Paramètres - Admin'!$A3),'Paramètres - Admin'!$A4,"/"))</f>
        <v>/</v>
      </c>
      <c r="S332" s="234" t="str">
        <f>IF(R332&lt;&gt;"/",VLOOKUP(R332,COSTS_Witch[#All],2),"/")</f>
        <v>/</v>
      </c>
      <c r="T332" s="127" t="str">
        <f>IF(R332&lt;&gt;"/",VLOOKUP(R332,COSTS_Witch[#All],3),"/")</f>
        <v>/</v>
      </c>
      <c r="U332" s="234">
        <f>IF(T$329="Error","Error",IF(S332&lt;&gt;"/",Q332*S332,0))</f>
        <v>0</v>
      </c>
      <c r="V332" s="131">
        <f>IF(T$329="Error","Error",IF(T332&lt;&gt;"/",Q332*T332,0))</f>
        <v>0</v>
      </c>
    </row>
    <row r="333" spans="1:22" ht="15" customHeight="1" thickBot="1" x14ac:dyDescent="0.3">
      <c r="A333" s="705">
        <v>2</v>
      </c>
      <c r="B333" s="123" t="str">
        <f>IF(Paramètres!AZ7=0,"",Paramètres!AZ7)</f>
        <v/>
      </c>
      <c r="C333" s="711">
        <f t="shared" ref="C333:C336" si="141">IF(C332&lt;&gt;0,C332+IF(AND(B332&lt;&gt;"",A332&lt;E$330),B332,0),IF(AND(B332&lt;&gt;"",A332&lt;E$330),B332,0))</f>
        <v>0</v>
      </c>
      <c r="D333" s="630"/>
      <c r="E333" s="630"/>
      <c r="F333" s="709" t="str">
        <f>IF(G333&lt;&gt;"/",IF(I$330="Error","Error",$J$330+C333),"/")</f>
        <v>/</v>
      </c>
      <c r="G333" s="120" t="str">
        <f>IF(I$330="Error","Error",IF(AND($E$330&lt;&gt;"/",$E$330&gt;'Paramètres - Admin'!$A3),'Paramètres - Admin'!$A4,"/"))</f>
        <v>/</v>
      </c>
      <c r="H333" s="139" t="str">
        <f>IF(G333&lt;&gt;"/",VLOOKUP(G333,COSTS_Hog_Rider[#All],2),"/")</f>
        <v>/</v>
      </c>
      <c r="I333" s="101" t="str">
        <f>IF(G333&lt;&gt;"/",VLOOKUP(G333,COSTS_Hog_Rider[#All],3),"/")</f>
        <v>/</v>
      </c>
      <c r="J333" s="139">
        <f>IF(I$330="Error","Error",IF(H333&lt;&gt;"/",F333*H333,0))</f>
        <v>0</v>
      </c>
      <c r="K333" s="629">
        <f>IF(I$330="Error","Error",IF(I333&lt;&gt;"/",F333*I333,0))</f>
        <v>0</v>
      </c>
      <c r="L333" s="702"/>
      <c r="M333" s="703"/>
      <c r="N333" s="703"/>
      <c r="O333" s="703"/>
      <c r="P333" s="703"/>
      <c r="Q333" s="703"/>
      <c r="R333" s="703"/>
      <c r="S333" s="704"/>
      <c r="T333" s="614" t="s">
        <v>31</v>
      </c>
      <c r="U333" s="270">
        <f>IF(T$329="Error","Error",SUM(U331:U332))</f>
        <v>0</v>
      </c>
      <c r="V333" s="268">
        <f>IF(T$329="Error","Error",SUM(V331:V332))</f>
        <v>0</v>
      </c>
    </row>
    <row r="334" spans="1:22" ht="15" customHeight="1" thickBot="1" x14ac:dyDescent="0.3">
      <c r="A334" s="705">
        <v>3</v>
      </c>
      <c r="B334" s="123" t="str">
        <f>IF(Paramètres!AZ8=0,"",Paramètres!AZ8)</f>
        <v/>
      </c>
      <c r="C334" s="711">
        <f t="shared" si="141"/>
        <v>0</v>
      </c>
      <c r="D334" s="630"/>
      <c r="E334" s="630"/>
      <c r="F334" s="709" t="str">
        <f>IF(G334&lt;&gt;"/",IF(I$330="Error","Error",$J$330+C334),"/")</f>
        <v>/</v>
      </c>
      <c r="G334" s="120" t="str">
        <f>IF(I$330="Error","Error",IF(AND($E$330&lt;&gt;"/",$E$330&gt;'Paramètres - Admin'!$A4),'Paramètres - Admin'!$A5,"/"))</f>
        <v>/</v>
      </c>
      <c r="H334" s="139" t="str">
        <f>IF(G334&lt;&gt;"/",VLOOKUP(G334,COSTS_Hog_Rider[#All],2),"/")</f>
        <v>/</v>
      </c>
      <c r="I334" s="101" t="str">
        <f>IF(G334&lt;&gt;"/",VLOOKUP(G334,COSTS_Hog_Rider[#All],3),"/")</f>
        <v>/</v>
      </c>
      <c r="J334" s="139">
        <f>IF(I$330="Error","Error",IF(H334&lt;&gt;"/",F334*H334,0))</f>
        <v>0</v>
      </c>
      <c r="K334" s="629">
        <f>IF(I$330="Error","Error",IF(I334&lt;&gt;"/",F334*I334,0))</f>
        <v>0</v>
      </c>
      <c r="L334" s="1101" t="s">
        <v>576</v>
      </c>
      <c r="M334" s="1101"/>
      <c r="N334" s="1102"/>
      <c r="O334" s="615" t="s">
        <v>38</v>
      </c>
      <c r="P334" s="616" t="s">
        <v>39</v>
      </c>
      <c r="Q334" s="87"/>
      <c r="R334" s="617"/>
      <c r="S334" s="618"/>
      <c r="T334" s="615" t="s">
        <v>256</v>
      </c>
      <c r="U334" s="619" t="s">
        <v>362</v>
      </c>
      <c r="V334" s="616" t="s">
        <v>257</v>
      </c>
    </row>
    <row r="335" spans="1:22" ht="15" customHeight="1" thickBot="1" x14ac:dyDescent="0.3">
      <c r="A335" s="705">
        <v>4</v>
      </c>
      <c r="B335" s="123" t="str">
        <f>IF(Paramètres!AZ9=0,"",Paramètres!AZ9)</f>
        <v/>
      </c>
      <c r="C335" s="711">
        <f t="shared" si="141"/>
        <v>0</v>
      </c>
      <c r="D335" s="630"/>
      <c r="E335" s="630"/>
      <c r="F335" s="709" t="str">
        <f>IF(G335&lt;&gt;"/",IF(I$330="Error","Error",$J$330+C335),"/")</f>
        <v>/</v>
      </c>
      <c r="G335" s="120" t="str">
        <f>IF(I$330="Error","Error",IF(AND($E$330&lt;&gt;"/",$E$330&gt;'Paramètres - Admin'!$A5),'Paramètres - Admin'!$A6,"/"))</f>
        <v>/</v>
      </c>
      <c r="H335" s="139" t="str">
        <f>IF(G335&lt;&gt;"/",VLOOKUP(G335,COSTS_Hog_Rider[#All],2),"/")</f>
        <v>/</v>
      </c>
      <c r="I335" s="101" t="str">
        <f>IF(G335&lt;&gt;"/",VLOOKUP(G335,COSTS_Hog_Rider[#All],3),"/")</f>
        <v>/</v>
      </c>
      <c r="J335" s="139">
        <f>IF(I$330="Error","Error",IF(H335&lt;&gt;"/",F335*H335,0))</f>
        <v>0</v>
      </c>
      <c r="K335" s="629">
        <f>IF(I$330="Error","Error",IF(I335&lt;&gt;"/",F335*I335,0))</f>
        <v>0</v>
      </c>
      <c r="L335" s="1104"/>
      <c r="M335" s="1104"/>
      <c r="N335" s="1105"/>
      <c r="O335" s="620">
        <f>VLOOKUP($A$2,AVAILABLE_Upgrades_Dark_Troops[#All],MATCH(L334,AVAILABLE_Upgrades_Dark_Troops[#Headers],0))</f>
        <v>0</v>
      </c>
      <c r="P335" s="621">
        <f>VLOOKUP(IF(ISERROR(LOOKUP(MATCH(1,Paramètres!$K$6:$K$45,0),Paramètres!$A$6:$A$45)),0,LOOKUP(MATCH(1,Paramètres!$K$6:$K$45,0),Paramètres!$A$6:$A$45)),AVAILABLE_Upgrades_Dark_Troops[#All],MATCH(L334,AVAILABLE_Upgrades_Dark_Troops[#Headers],0)+1)</f>
        <v>0</v>
      </c>
      <c r="Q335" s="230"/>
      <c r="R335" s="640"/>
      <c r="S335" s="641"/>
      <c r="T335" s="623">
        <f>IF(SUM(M337:M339)&gt;O335,"Error",SUM(M337:M339))</f>
        <v>0</v>
      </c>
      <c r="U335" s="624">
        <f>IF(T$329="Error","Error",O335-T335)</f>
        <v>0</v>
      </c>
      <c r="V335" s="642">
        <f>IF(T$329="Error","Error",SUM(Q337:Q339))</f>
        <v>0</v>
      </c>
    </row>
    <row r="336" spans="1:22" ht="15" customHeight="1" thickBot="1" x14ac:dyDescent="0.3">
      <c r="A336" s="706">
        <v>5</v>
      </c>
      <c r="B336" s="128" t="str">
        <f>IF(Paramètres!AZ10=0,"",Paramètres!AZ10)</f>
        <v/>
      </c>
      <c r="C336" s="711">
        <f t="shared" si="141"/>
        <v>0</v>
      </c>
      <c r="D336" s="129"/>
      <c r="E336" s="129"/>
      <c r="F336" s="710" t="str">
        <f>IF(G336&lt;&gt;"/",IF(I$330="Error","Error",$J$330+C336),"/")</f>
        <v>/</v>
      </c>
      <c r="G336" s="130" t="str">
        <f>IF(I$330="Error","Error",IF(AND($E$330&lt;&gt;"/",$E$330&gt;'Paramètres - Admin'!$A6),'Paramètres - Admin'!$A7,"/"))</f>
        <v>/</v>
      </c>
      <c r="H336" s="234" t="str">
        <f>IF(G336&lt;&gt;"/",VLOOKUP(G336,COSTS_Hog_Rider[#All],2),"/")</f>
        <v>/</v>
      </c>
      <c r="I336" s="127" t="str">
        <f>IF(G336&lt;&gt;"/",VLOOKUP(G336,COSTS_Hog_Rider[#All],3),"/")</f>
        <v>/</v>
      </c>
      <c r="J336" s="234">
        <f>IF(I$330="Error","Error",IF(H336&lt;&gt;"/",F336*H336,0))</f>
        <v>0</v>
      </c>
      <c r="K336" s="131">
        <f>IF(I$330="Error","Error",IF(I336&lt;&gt;"/",F336*I336,0))</f>
        <v>0</v>
      </c>
      <c r="L336" s="625" t="s">
        <v>30</v>
      </c>
      <c r="M336" s="394" t="s">
        <v>29</v>
      </c>
      <c r="N336" s="720"/>
      <c r="O336" s="694"/>
      <c r="P336" s="695"/>
      <c r="Q336" s="546" t="s">
        <v>29</v>
      </c>
      <c r="R336" s="547" t="s">
        <v>30</v>
      </c>
      <c r="S336" s="272" t="s">
        <v>258</v>
      </c>
      <c r="T336" s="272" t="s">
        <v>259</v>
      </c>
      <c r="U336" s="272" t="s">
        <v>232</v>
      </c>
      <c r="V336" s="273" t="s">
        <v>233</v>
      </c>
    </row>
    <row r="337" spans="1:84" ht="15" customHeight="1" thickBot="1" x14ac:dyDescent="0.3">
      <c r="A337" s="594"/>
      <c r="B337" s="703"/>
      <c r="C337" s="703"/>
      <c r="D337" s="703"/>
      <c r="E337" s="703"/>
      <c r="F337" s="703"/>
      <c r="G337" s="703"/>
      <c r="H337" s="704"/>
      <c r="I337" s="614" t="s">
        <v>31</v>
      </c>
      <c r="J337" s="270">
        <f>IF(I$330="Error","Error",SUM(J332:J336))</f>
        <v>0</v>
      </c>
      <c r="K337" s="268">
        <f>IF(I$330="Error","Error",SUM(K332:K336))</f>
        <v>0</v>
      </c>
      <c r="L337" s="122">
        <v>1</v>
      </c>
      <c r="M337" s="729" t="str">
        <f>IF(Paramètres!BD6=0,"",Paramètres!BD6)</f>
        <v/>
      </c>
      <c r="N337" s="730">
        <f>IF(N336&lt;&gt;0,N336+IF(AND(M336&lt;&gt;"",L336&lt;P$335),M336,0),IF(AND(M336&lt;&gt;"",L336&lt;P$335),M336,0))</f>
        <v>0</v>
      </c>
      <c r="O337" s="707"/>
      <c r="P337" s="707"/>
      <c r="Q337" s="708" t="str">
        <f>IF(R337&lt;&gt;"/",IF(T$329="Error","Error",$U$329+N337),"/")</f>
        <v>/</v>
      </c>
      <c r="R337" s="548" t="str">
        <f>IF($T$335="Error","Error",IF(AND($P$335&lt;&gt;"/",$P$335&gt;'Paramètres - Admin'!$A2),'Paramètres - Admin'!$A3,"/"))</f>
        <v>/</v>
      </c>
      <c r="S337" s="136" t="str">
        <f>IF(R337&lt;&gt;"/",VLOOKUP(R337,COSTS_Lava_Hound[#All],2),"/")</f>
        <v>/</v>
      </c>
      <c r="T337" s="549" t="str">
        <f>IF(R337&lt;&gt;"/",VLOOKUP(R337,COSTS_Lava_Hound[#All],3),"/")</f>
        <v>/</v>
      </c>
      <c r="U337" s="136">
        <f>IF(T$335="Error","Error",IF(S337&lt;&gt;"/",Q337*S337,0))</f>
        <v>0</v>
      </c>
      <c r="V337" s="550">
        <f>IF(T$335="Error","Error",IF(T337&lt;&gt;"/",Q337*T337,0))</f>
        <v>0</v>
      </c>
    </row>
    <row r="338" spans="1:84" ht="15" customHeight="1" thickBot="1" x14ac:dyDescent="0.3">
      <c r="A338" s="1100" t="s">
        <v>66</v>
      </c>
      <c r="B338" s="1101"/>
      <c r="C338" s="1102"/>
      <c r="D338" s="85" t="s">
        <v>38</v>
      </c>
      <c r="E338" s="86" t="s">
        <v>39</v>
      </c>
      <c r="F338" s="87"/>
      <c r="G338" s="88"/>
      <c r="H338" s="89"/>
      <c r="I338" s="615" t="s">
        <v>256</v>
      </c>
      <c r="J338" s="619" t="s">
        <v>362</v>
      </c>
      <c r="K338" s="616" t="s">
        <v>257</v>
      </c>
      <c r="L338" s="122">
        <v>2</v>
      </c>
      <c r="M338" s="731" t="str">
        <f>IF(Paramètres!BD7=0,"",Paramètres!BD7)</f>
        <v/>
      </c>
      <c r="N338" s="730">
        <f t="shared" ref="N338:N339" si="142">IF(N337&lt;&gt;0,N337+IF(AND(M337&lt;&gt;"",L337&lt;P$335),M337,0),IF(AND(M337&lt;&gt;"",L337&lt;P$335),M337,0))</f>
        <v>0</v>
      </c>
      <c r="O338" s="630"/>
      <c r="P338" s="630"/>
      <c r="Q338" s="709" t="str">
        <f>IF(R338&lt;&gt;"/",IF(T$329="Error","Error",$U$329+N338),"/")</f>
        <v>/</v>
      </c>
      <c r="R338" s="120" t="str">
        <f>IF($T$335="Error","Error",IF(AND($P$335&lt;&gt;"/",$P$335&gt;'Paramètres - Admin'!$A3),'Paramètres - Admin'!$A4,"/"))</f>
        <v>/</v>
      </c>
      <c r="S338" s="139" t="str">
        <f>IF(R338&lt;&gt;"/",VLOOKUP(R338,COSTS_Lava_Hound[#All],2),"/")</f>
        <v>/</v>
      </c>
      <c r="T338" s="101" t="str">
        <f>IF(R338&lt;&gt;"/",VLOOKUP(R338,COSTS_Lava_Hound[#All],3),"/")</f>
        <v>/</v>
      </c>
      <c r="U338" s="139">
        <f>IF(T$335="Error","Error",IF(S338&lt;&gt;"/",Q338*S338,0))</f>
        <v>0</v>
      </c>
      <c r="V338" s="629">
        <f>IF(T$335="Error","Error",IF(T338&lt;&gt;"/",Q338*T338,0))</f>
        <v>0</v>
      </c>
    </row>
    <row r="339" spans="1:84" ht="15" customHeight="1" thickBot="1" x14ac:dyDescent="0.3">
      <c r="A339" s="1103"/>
      <c r="B339" s="1104"/>
      <c r="C339" s="1105"/>
      <c r="D339" s="95">
        <f>VLOOKUP($A$2,AVAILABLE_Upgrades_Dark_Troops[#All],MATCH(A338,AVAILABLE_Upgrades_Dark_Troops[#Headers],0))</f>
        <v>0</v>
      </c>
      <c r="E339" s="621">
        <f>VLOOKUP(IF(ISERROR(LOOKUP(MATCH(1,Paramètres!$K$6:$K$45,0),Paramètres!$A$6:$A$45)),0,LOOKUP(MATCH(1,Paramètres!$K$6:$K$45,0),Paramètres!$A$6:$A$45)),AVAILABLE_Upgrades_Dark_Troops[#All],MATCH(A338,AVAILABLE_Upgrades_Dark_Troops[#Headers],0)+1)</f>
        <v>0</v>
      </c>
      <c r="F339" s="230"/>
      <c r="G339" s="231"/>
      <c r="H339" s="232"/>
      <c r="I339" s="104">
        <f>IF(SUM(B341:B344)&gt;D339,"Error",SUM(B341:B344))</f>
        <v>0</v>
      </c>
      <c r="J339" s="105">
        <f>IF(I$339="Error","Error",D339-I339)</f>
        <v>0</v>
      </c>
      <c r="K339" s="233">
        <f>IF(I$339="Error","Error",SUM(F341:F344))</f>
        <v>0</v>
      </c>
      <c r="L339" s="687">
        <v>3</v>
      </c>
      <c r="M339" s="732" t="str">
        <f>IF(Paramètres!BD8=0,"",Paramètres!BD8)</f>
        <v/>
      </c>
      <c r="N339" s="730">
        <f t="shared" si="142"/>
        <v>0</v>
      </c>
      <c r="O339" s="129"/>
      <c r="P339" s="129"/>
      <c r="Q339" s="710" t="str">
        <f>IF(R339&lt;&gt;"/",IF(T$329="Error","Error",$U$329+N339),"/")</f>
        <v>/</v>
      </c>
      <c r="R339" s="130" t="str">
        <f>IF($T$335="Error","Error",IF(AND($P$335&lt;&gt;"/",$P$335&gt;'Paramètres - Admin'!$A4),'Paramètres - Admin'!$A5,"/"))</f>
        <v>/</v>
      </c>
      <c r="S339" s="234" t="str">
        <f>IF(R339&lt;&gt;"/",VLOOKUP(R339,COSTS_Lava_Hound[#All],2),"/")</f>
        <v>/</v>
      </c>
      <c r="T339" s="127" t="str">
        <f>IF(R339&lt;&gt;"/",VLOOKUP(R339,COSTS_Lava_Hound[#All],3),"/")</f>
        <v>/</v>
      </c>
      <c r="U339" s="234">
        <f>IF(T$335="Error","Error",IF(S339&lt;&gt;"/",Q339*S339,0))</f>
        <v>0</v>
      </c>
      <c r="V339" s="131">
        <f>IF(T$335="Error","Error",IF(T339&lt;&gt;"/",Q339*T339,0))</f>
        <v>0</v>
      </c>
      <c r="BV339" s="637"/>
      <c r="BW339" s="637"/>
      <c r="BX339" s="637"/>
      <c r="BY339" s="637"/>
      <c r="BZ339" s="637"/>
      <c r="CA339" s="637"/>
      <c r="CB339" s="637"/>
      <c r="CC339" s="637"/>
      <c r="CD339" s="637"/>
      <c r="CE339" s="637"/>
      <c r="CF339" s="637"/>
    </row>
    <row r="340" spans="1:84" ht="15" customHeight="1" thickBot="1" x14ac:dyDescent="0.3">
      <c r="A340" s="625" t="s">
        <v>30</v>
      </c>
      <c r="B340" s="394" t="s">
        <v>29</v>
      </c>
      <c r="C340" s="720"/>
      <c r="D340" s="694"/>
      <c r="E340" s="695"/>
      <c r="F340" s="546" t="s">
        <v>29</v>
      </c>
      <c r="G340" s="547" t="s">
        <v>30</v>
      </c>
      <c r="H340" s="272" t="s">
        <v>258</v>
      </c>
      <c r="I340" s="272" t="s">
        <v>259</v>
      </c>
      <c r="J340" s="272" t="s">
        <v>232</v>
      </c>
      <c r="K340" s="273" t="s">
        <v>233</v>
      </c>
      <c r="L340" s="685"/>
      <c r="M340" s="703"/>
      <c r="N340" s="703"/>
      <c r="O340" s="703"/>
      <c r="P340" s="703"/>
      <c r="Q340" s="703"/>
      <c r="R340" s="703"/>
      <c r="S340" s="704"/>
      <c r="T340" s="614" t="s">
        <v>31</v>
      </c>
      <c r="U340" s="270">
        <f>IF(T$335="Error","Error",SUM(U337:U339))</f>
        <v>0</v>
      </c>
      <c r="V340" s="655">
        <f>IF(T$335="Error","Error",SUM(V337:V339))</f>
        <v>0</v>
      </c>
    </row>
    <row r="341" spans="1:84" ht="15" customHeight="1" thickBot="1" x14ac:dyDescent="0.3">
      <c r="A341" s="122">
        <v>1</v>
      </c>
      <c r="B341" s="116" t="str">
        <f>IF(Paramètres!BA6=0,"",Paramètres!BA6)</f>
        <v/>
      </c>
      <c r="C341" s="711">
        <f>IF(C340&lt;&gt;0,C340+IF(AND(B340&lt;&gt;"",A340&lt;E$339),B340,0),IF(AND(B340&lt;&gt;"",A340&lt;E$339),B340,0))</f>
        <v>0</v>
      </c>
      <c r="D341" s="707"/>
      <c r="E341" s="707"/>
      <c r="F341" s="708" t="str">
        <f>IF(G341&lt;&gt;"/",IF(I$339="Error","Error",$J$339+C341),"/")</f>
        <v>/</v>
      </c>
      <c r="G341" s="548" t="str">
        <f>IF(I$339="Error","Error",IF(AND($E$339&lt;&gt;"/",$E$339&gt;'Paramètres - Admin'!$A2),'Paramètres - Admin'!$A3,"/"))</f>
        <v>/</v>
      </c>
      <c r="H341" s="136" t="str">
        <f>IF(G341&lt;&gt;"/",VLOOKUP(G341,COSTS_Valkyrie[#All],2),"/")</f>
        <v>/</v>
      </c>
      <c r="I341" s="549" t="str">
        <f>IF(G341&lt;&gt;"/",VLOOKUP(G341,COSTS_Valkyrie[#All],3),"/")</f>
        <v>/</v>
      </c>
      <c r="J341" s="136">
        <f>IF(I$339="Error","Error",IF(H341&lt;&gt;"/",F341*H341,0))</f>
        <v>0</v>
      </c>
      <c r="K341" s="550">
        <f>IF(I$339="Error","Error",IF(I341&lt;&gt;"/",F341*I341,0))</f>
        <v>0</v>
      </c>
    </row>
    <row r="342" spans="1:84" ht="15" customHeight="1" thickBot="1" x14ac:dyDescent="0.3">
      <c r="A342" s="705">
        <v>2</v>
      </c>
      <c r="B342" s="123" t="str">
        <f>IF(Paramètres!BA7=0,"",Paramètres!BA7)</f>
        <v/>
      </c>
      <c r="C342" s="711">
        <f t="shared" ref="C342:C344" si="143">IF(C341&lt;&gt;0,C341+IF(AND(B341&lt;&gt;"",A341&lt;E$339),B341,0),IF(AND(B341&lt;&gt;"",A341&lt;E$339),B341,0))</f>
        <v>0</v>
      </c>
      <c r="D342" s="630"/>
      <c r="E342" s="630"/>
      <c r="F342" s="709" t="str">
        <f>IF(G342&lt;&gt;"/",IF(I$339="Error","Error",$J$339+C342),"/")</f>
        <v>/</v>
      </c>
      <c r="G342" s="120" t="str">
        <f>IF(I$339="Error","Error",IF(AND($E$339&lt;&gt;"/",$E$339&gt;'Paramètres - Admin'!$A3),'Paramètres - Admin'!$A4,"/"))</f>
        <v>/</v>
      </c>
      <c r="H342" s="139" t="str">
        <f>IF(G342&lt;&gt;"/",VLOOKUP(G342,COSTS_Valkyrie[#All],2),"/")</f>
        <v>/</v>
      </c>
      <c r="I342" s="101" t="str">
        <f>IF(G342&lt;&gt;"/",VLOOKUP(G342,COSTS_Valkyrie[#All],3),"/")</f>
        <v>/</v>
      </c>
      <c r="J342" s="139">
        <f>IF(I$339="Error","Error",IF(H342&lt;&gt;"/",F342*H342,0))</f>
        <v>0</v>
      </c>
      <c r="K342" s="629">
        <f>IF(I$339="Error","Error",IF(I342&lt;&gt;"/",F342*I342,0))</f>
        <v>0</v>
      </c>
    </row>
    <row r="343" spans="1:84" ht="15" customHeight="1" thickBot="1" x14ac:dyDescent="0.3">
      <c r="A343" s="705">
        <v>3</v>
      </c>
      <c r="B343" s="123" t="str">
        <f>IF(Paramètres!BA8=0,"",Paramètres!BA8)</f>
        <v/>
      </c>
      <c r="C343" s="711">
        <f t="shared" si="143"/>
        <v>0</v>
      </c>
      <c r="D343" s="630"/>
      <c r="E343" s="630"/>
      <c r="F343" s="709" t="str">
        <f>IF(G343&lt;&gt;"/",IF(I$339="Error","Error",$J$339+C343),"/")</f>
        <v>/</v>
      </c>
      <c r="G343" s="120" t="str">
        <f>IF(I$339="Error","Error",IF(AND($E$339&lt;&gt;"/",$E$339&gt;'Paramètres - Admin'!$A4),'Paramètres - Admin'!$A5,"/"))</f>
        <v>/</v>
      </c>
      <c r="H343" s="139" t="str">
        <f>IF(G343&lt;&gt;"/",VLOOKUP(G343,COSTS_Valkyrie[#All],2),"/")</f>
        <v>/</v>
      </c>
      <c r="I343" s="101" t="str">
        <f>IF(G343&lt;&gt;"/",VLOOKUP(G343,COSTS_Valkyrie[#All],3),"/")</f>
        <v>/</v>
      </c>
      <c r="J343" s="139">
        <f>IF(I$339="Error","Error",IF(H343&lt;&gt;"/",F343*H343,0))</f>
        <v>0</v>
      </c>
      <c r="K343" s="629">
        <f>IF(I$339="Error","Error",IF(I343&lt;&gt;"/",F343*I343,0))</f>
        <v>0</v>
      </c>
      <c r="BK343" s="637"/>
      <c r="BL343" s="637"/>
      <c r="BM343" s="637"/>
      <c r="BN343" s="637"/>
      <c r="BO343" s="637"/>
      <c r="BP343" s="637"/>
      <c r="BQ343" s="637"/>
      <c r="BR343" s="637"/>
      <c r="BS343" s="637"/>
      <c r="BT343" s="637"/>
      <c r="BU343" s="637"/>
    </row>
    <row r="344" spans="1:84" ht="15" customHeight="1" thickBot="1" x14ac:dyDescent="0.3">
      <c r="A344" s="706">
        <v>4</v>
      </c>
      <c r="B344" s="128" t="str">
        <f>IF(Paramètres!BA9=0,"",Paramètres!BA9)</f>
        <v/>
      </c>
      <c r="C344" s="711">
        <f t="shared" si="143"/>
        <v>0</v>
      </c>
      <c r="D344" s="129"/>
      <c r="E344" s="129"/>
      <c r="F344" s="710" t="str">
        <f>IF(G344&lt;&gt;"/",IF(I$339="Error","Error",$J$339+C344),"/")</f>
        <v>/</v>
      </c>
      <c r="G344" s="130" t="str">
        <f>IF(I$339="Error","Error",IF(AND($E$339&lt;&gt;"/",$E$339&gt;'Paramètres - Admin'!$A5),'Paramètres - Admin'!$A6,"/"))</f>
        <v>/</v>
      </c>
      <c r="H344" s="234" t="str">
        <f>IF(G344&lt;&gt;"/",VLOOKUP(G344,COSTS_Valkyrie[#All],2),"/")</f>
        <v>/</v>
      </c>
      <c r="I344" s="127" t="str">
        <f>IF(G344&lt;&gt;"/",VLOOKUP(G344,COSTS_Valkyrie[#All],3),"/")</f>
        <v>/</v>
      </c>
      <c r="J344" s="234">
        <f>IF(I$339="Error","Error",IF(H344&lt;&gt;"/",F344*H344,0))</f>
        <v>0</v>
      </c>
      <c r="K344" s="131">
        <f>IF(I$339="Error","Error",IF(I344&lt;&gt;"/",F344*I344,0))</f>
        <v>0</v>
      </c>
    </row>
    <row r="345" spans="1:84" ht="15" customHeight="1" thickBot="1" x14ac:dyDescent="0.3">
      <c r="A345" s="1106"/>
      <c r="B345" s="1107"/>
      <c r="C345" s="1107"/>
      <c r="D345" s="1107"/>
      <c r="E345" s="1107"/>
      <c r="F345" s="1107"/>
      <c r="G345" s="1107"/>
      <c r="H345" s="1108"/>
      <c r="I345" s="614" t="s">
        <v>31</v>
      </c>
      <c r="J345" s="270">
        <f>IF(I$339="Error","Error",SUM(J341:J344))</f>
        <v>0</v>
      </c>
      <c r="K345" s="268">
        <f>IF(I$339="Error","Error",SUM(K341:K344))</f>
        <v>0</v>
      </c>
      <c r="AO345" s="637"/>
      <c r="AP345" s="637"/>
      <c r="AQ345" s="637"/>
      <c r="AR345" s="637"/>
      <c r="AS345" s="637"/>
      <c r="AT345" s="637"/>
      <c r="AU345" s="637"/>
      <c r="AV345" s="637"/>
      <c r="AW345" s="637"/>
      <c r="AX345" s="637"/>
      <c r="AY345" s="637"/>
    </row>
    <row r="347" spans="1:84" s="637" customFormat="1" ht="15" customHeight="1" thickBot="1" x14ac:dyDescent="0.3">
      <c r="A347" s="153"/>
      <c r="B347" s="153"/>
      <c r="C347" s="153"/>
      <c r="D347" s="153"/>
      <c r="E347" s="153"/>
      <c r="F347" s="153"/>
      <c r="AO347" s="152"/>
      <c r="AP347" s="152"/>
      <c r="AQ347" s="152"/>
      <c r="AR347" s="152"/>
      <c r="AS347" s="152"/>
      <c r="AT347" s="152"/>
      <c r="AU347" s="152"/>
      <c r="AV347" s="152"/>
      <c r="AW347" s="152"/>
      <c r="AX347" s="152"/>
      <c r="AY347" s="152"/>
      <c r="BK347" s="152"/>
      <c r="BL347" s="152"/>
      <c r="BM347" s="152"/>
      <c r="BN347" s="152"/>
      <c r="BO347" s="152"/>
      <c r="BP347" s="152"/>
      <c r="BQ347" s="152"/>
      <c r="BR347" s="152"/>
      <c r="BS347" s="152"/>
      <c r="BT347" s="152"/>
      <c r="BU347" s="152"/>
      <c r="BV347" s="152"/>
      <c r="BW347" s="152"/>
      <c r="BX347" s="152"/>
      <c r="BY347" s="152"/>
      <c r="BZ347" s="152"/>
      <c r="CA347" s="152"/>
      <c r="CB347" s="152"/>
      <c r="CC347" s="152"/>
      <c r="CD347" s="152"/>
      <c r="CE347" s="152"/>
      <c r="CF347" s="152"/>
    </row>
    <row r="348" spans="1:84" ht="20.100000000000001" customHeight="1" thickBot="1" x14ac:dyDescent="0.3">
      <c r="A348" s="1094" t="s">
        <v>178</v>
      </c>
      <c r="B348" s="1095"/>
      <c r="C348" s="1095"/>
      <c r="D348" s="1095"/>
      <c r="E348" s="1095"/>
      <c r="F348" s="1095"/>
      <c r="G348" s="1095"/>
      <c r="H348" s="1095"/>
      <c r="I348" s="1095"/>
      <c r="J348" s="1095"/>
      <c r="K348" s="1095"/>
      <c r="L348" s="1095"/>
      <c r="M348" s="1095"/>
      <c r="N348" s="1095"/>
      <c r="O348" s="1095"/>
      <c r="P348" s="1095"/>
      <c r="Q348" s="1095"/>
      <c r="R348" s="1095"/>
      <c r="S348" s="1095"/>
      <c r="T348" s="1095"/>
      <c r="U348" s="1095"/>
      <c r="V348" s="1096"/>
    </row>
    <row r="349" spans="1:84" ht="15" customHeight="1" thickBot="1" x14ac:dyDescent="0.3">
      <c r="A349" s="1097" t="s">
        <v>248</v>
      </c>
      <c r="B349" s="1098"/>
      <c r="C349" s="1098"/>
      <c r="D349" s="1098"/>
      <c r="E349" s="1098"/>
      <c r="F349" s="1098"/>
      <c r="G349" s="1098"/>
      <c r="H349" s="1098"/>
      <c r="I349" s="1098"/>
      <c r="J349" s="1098"/>
      <c r="K349" s="1098"/>
      <c r="L349" s="1098"/>
      <c r="M349" s="1098"/>
      <c r="N349" s="1098"/>
      <c r="O349" s="1098"/>
      <c r="P349" s="1098"/>
      <c r="Q349" s="1098"/>
      <c r="R349" s="1098"/>
      <c r="S349" s="1098"/>
      <c r="T349" s="1098"/>
      <c r="U349" s="1098"/>
      <c r="V349" s="1099"/>
    </row>
    <row r="350" spans="1:84" ht="15" customHeight="1" x14ac:dyDescent="0.25">
      <c r="A350" s="1100" t="s">
        <v>196</v>
      </c>
      <c r="B350" s="1101"/>
      <c r="C350" s="1102"/>
      <c r="D350" s="85" t="s">
        <v>38</v>
      </c>
      <c r="E350" s="86" t="s">
        <v>39</v>
      </c>
      <c r="F350" s="87"/>
      <c r="G350" s="88"/>
      <c r="H350" s="89"/>
      <c r="I350" s="615" t="s">
        <v>256</v>
      </c>
      <c r="J350" s="619" t="s">
        <v>362</v>
      </c>
      <c r="K350" s="616" t="s">
        <v>257</v>
      </c>
      <c r="L350" s="1100" t="s">
        <v>182</v>
      </c>
      <c r="M350" s="1159"/>
      <c r="N350" s="1042"/>
      <c r="O350" s="85" t="s">
        <v>38</v>
      </c>
      <c r="P350" s="86" t="s">
        <v>39</v>
      </c>
      <c r="Q350" s="87"/>
      <c r="R350" s="88"/>
      <c r="S350" s="89"/>
      <c r="T350" s="615" t="s">
        <v>256</v>
      </c>
      <c r="U350" s="619" t="s">
        <v>362</v>
      </c>
      <c r="V350" s="616" t="s">
        <v>257</v>
      </c>
    </row>
    <row r="351" spans="1:84" ht="15" customHeight="1" thickBot="1" x14ac:dyDescent="0.3">
      <c r="A351" s="1103"/>
      <c r="B351" s="1104"/>
      <c r="C351" s="1105"/>
      <c r="D351" s="95">
        <f>VLOOKUP($A$2,AVAILABLE_Heroes[#All],MATCH(A350,AVAILABLE_Heroes[#Headers],0))</f>
        <v>0</v>
      </c>
      <c r="E351" s="96">
        <f>VLOOKUP($A$2,AVAILABLE_Heroes[#All],MATCH(A350,AVAILABLE_Heroes[#Headers],0)+1)</f>
        <v>0</v>
      </c>
      <c r="F351" s="230"/>
      <c r="G351" s="231"/>
      <c r="H351" s="232"/>
      <c r="I351" s="104">
        <f>IF(SUM(B353:B392)&gt;D351,"Error",SUM(B353:B392))</f>
        <v>0</v>
      </c>
      <c r="J351" s="105">
        <f>IF(I$351="Error","Error",D351-I351)</f>
        <v>0</v>
      </c>
      <c r="K351" s="233">
        <f>IF(I$351="Error","Error",SUM(F353:F392))</f>
        <v>0</v>
      </c>
      <c r="L351" s="1160"/>
      <c r="M351" s="1161"/>
      <c r="N351" s="1162"/>
      <c r="O351" s="95">
        <f>VLOOKUP($A$2,AVAILABLE_Heroes[#All],MATCH(L350,AVAILABLE_Heroes[#Headers],0))</f>
        <v>0</v>
      </c>
      <c r="P351" s="96">
        <f>VLOOKUP($A$2,AVAILABLE_Heroes[#All],MATCH(L350,AVAILABLE_Heroes[#Headers],0)+1)</f>
        <v>0</v>
      </c>
      <c r="Q351" s="230"/>
      <c r="R351" s="231"/>
      <c r="S351" s="232"/>
      <c r="T351" s="104">
        <f>IF(SUM(M353:M392)&gt;O351,"Error",SUM(M353:M392))</f>
        <v>0</v>
      </c>
      <c r="U351" s="105">
        <f>IF(T$351="Error","Error",O351-T351)</f>
        <v>0</v>
      </c>
      <c r="V351" s="233">
        <f>IF(T$351="Error","Error",SUM(Q353:Q392))</f>
        <v>0</v>
      </c>
    </row>
    <row r="352" spans="1:84" ht="15" customHeight="1" thickBot="1" x14ac:dyDescent="0.3">
      <c r="A352" s="107" t="s">
        <v>30</v>
      </c>
      <c r="B352" s="144" t="s">
        <v>29</v>
      </c>
      <c r="C352" s="109"/>
      <c r="D352" s="257"/>
      <c r="E352" s="258"/>
      <c r="F352" s="262" t="s">
        <v>29</v>
      </c>
      <c r="G352" s="263" t="s">
        <v>30</v>
      </c>
      <c r="H352" s="653" t="s">
        <v>258</v>
      </c>
      <c r="I352" s="653" t="s">
        <v>259</v>
      </c>
      <c r="J352" s="653" t="s">
        <v>232</v>
      </c>
      <c r="K352" s="654" t="s">
        <v>233</v>
      </c>
      <c r="L352" s="235" t="s">
        <v>30</v>
      </c>
      <c r="M352" s="144" t="s">
        <v>29</v>
      </c>
      <c r="N352" s="109"/>
      <c r="O352" s="257"/>
      <c r="P352" s="258"/>
      <c r="Q352" s="262" t="s">
        <v>29</v>
      </c>
      <c r="R352" s="263" t="s">
        <v>30</v>
      </c>
      <c r="S352" s="653" t="s">
        <v>258</v>
      </c>
      <c r="T352" s="653" t="s">
        <v>259</v>
      </c>
      <c r="U352" s="653" t="s">
        <v>232</v>
      </c>
      <c r="V352" s="654" t="s">
        <v>233</v>
      </c>
    </row>
    <row r="353" spans="1:22" ht="15" customHeight="1" x14ac:dyDescent="0.25">
      <c r="A353" s="145">
        <v>1</v>
      </c>
      <c r="B353" s="146" t="str">
        <f>IF(Paramètres!BF6=0,"",Paramètres!BF6)</f>
        <v/>
      </c>
      <c r="C353" s="147">
        <f t="shared" ref="C353:C392" si="144">IF(C352&lt;&gt;0,C352+IF(AND(B352&lt;&gt;"",A352&lt;E$351),B352,0),IF(AND(B352&lt;&gt;"",A352&lt;E$351),B352,0))</f>
        <v>0</v>
      </c>
      <c r="D353" s="117"/>
      <c r="E353" s="118"/>
      <c r="F353" s="259" t="str">
        <f t="shared" ref="F353:F392" si="145">IF(G353&lt;&gt;"/",IF(I$351="Error","Error",$J$351+C353),"/")</f>
        <v>/</v>
      </c>
      <c r="G353" s="260" t="str">
        <f>IF(I$351="Error","Error",IF(AND($E$351&lt;&gt;"/",$E$351&gt;'Paramètres - Admin'!$A2),'Paramètres - Admin'!$A3,"/"))</f>
        <v>/</v>
      </c>
      <c r="H353" s="266" t="str">
        <f>IF(G353&lt;&gt;"/",VLOOKUP(G353,COSTS_Barbarian_King[#All],2),"/")</f>
        <v>/</v>
      </c>
      <c r="I353" s="181" t="str">
        <f>IF(G353&lt;&gt;"/",VLOOKUP(G353,COSTS_Barbarian_King[#All],3),"/")</f>
        <v>/</v>
      </c>
      <c r="J353" s="266">
        <f t="shared" ref="J353:J392" si="146">IF(I$351="Error","Error",IF(H353&lt;&gt;"/",F353*H353,0))</f>
        <v>0</v>
      </c>
      <c r="K353" s="261">
        <f t="shared" ref="K353:K392" si="147">IF(I$351="Error","Error",IF(I353&lt;&gt;"/",F353*I353,0))</f>
        <v>0</v>
      </c>
      <c r="L353" s="236">
        <v>1</v>
      </c>
      <c r="M353" s="146" t="str">
        <f>IF(Paramètres!BG6=0,"",Paramètres!BG6)</f>
        <v/>
      </c>
      <c r="N353" s="147">
        <f t="shared" ref="N353:N392" si="148">IF(N352&lt;&gt;0,N352+IF(AND(M352&lt;&gt;"",L352&lt;P$351),M352,0),IF(AND(M352&lt;&gt;"",L352&lt;P$351),M352,0))</f>
        <v>0</v>
      </c>
      <c r="O353" s="117"/>
      <c r="P353" s="118"/>
      <c r="Q353" s="259" t="str">
        <f>IF(R353&lt;&gt;"/",IF(T$351="Error","Error",$U$351+N353),"/")</f>
        <v>/</v>
      </c>
      <c r="R353" s="260" t="str">
        <f>IF(T$351="Error","Error",IF(AND($P$351&lt;&gt;"/",$P$351&gt;'Paramètres - Admin'!$A2),'Paramètres - Admin'!$A3,"/"))</f>
        <v>/</v>
      </c>
      <c r="S353" s="266" t="str">
        <f>IF(R353&lt;&gt;"/",VLOOKUP(R353,COSTS_Archer_Queen[#All],2),"/")</f>
        <v>/</v>
      </c>
      <c r="T353" s="181" t="str">
        <f>IF(R353&lt;&gt;"/",VLOOKUP(R353,COSTS_Archer_Queen[#All],3),"/")</f>
        <v>/</v>
      </c>
      <c r="U353" s="266">
        <f t="shared" ref="U353:U392" si="149">IF(T$351="Error","Error",IF(S353&lt;&gt;"/",Q353*S353,0))</f>
        <v>0</v>
      </c>
      <c r="V353" s="261">
        <f t="shared" ref="V353:V392" si="150">IF(T$351="Error","Error",IF(T353&lt;&gt;"/",Q353*T353,0))</f>
        <v>0</v>
      </c>
    </row>
    <row r="354" spans="1:22" ht="15" customHeight="1" x14ac:dyDescent="0.25">
      <c r="A354" s="148">
        <v>2</v>
      </c>
      <c r="B354" s="146" t="str">
        <f>IF(Paramètres!BF7=0,"",Paramètres!BF7)</f>
        <v/>
      </c>
      <c r="C354" s="147">
        <f t="shared" si="144"/>
        <v>0</v>
      </c>
      <c r="D354" s="117"/>
      <c r="E354" s="118"/>
      <c r="F354" s="119" t="str">
        <f t="shared" si="145"/>
        <v>/</v>
      </c>
      <c r="G354" s="120" t="str">
        <f>IF(I$351="Error","Error",IF(AND($E$351&lt;&gt;"/",$E$351&gt;'Paramètres - Admin'!$A3),'Paramètres - Admin'!$A4,"/"))</f>
        <v>/</v>
      </c>
      <c r="H354" s="266" t="str">
        <f>IF(G354&lt;&gt;"/",VLOOKUP(G354,COSTS_Barbarian_King[#All],2),"/")</f>
        <v>/</v>
      </c>
      <c r="I354" s="101" t="str">
        <f>IF(G354&lt;&gt;"/",VLOOKUP(G354,COSTS_Barbarian_King[#All],3),"/")</f>
        <v>/</v>
      </c>
      <c r="J354" s="266">
        <f t="shared" si="146"/>
        <v>0</v>
      </c>
      <c r="K354" s="121">
        <f t="shared" si="147"/>
        <v>0</v>
      </c>
      <c r="L354" s="606">
        <v>2</v>
      </c>
      <c r="M354" s="146" t="str">
        <f>IF(Paramètres!BG7=0,"",Paramètres!BG7)</f>
        <v/>
      </c>
      <c r="N354" s="147">
        <f t="shared" si="148"/>
        <v>0</v>
      </c>
      <c r="O354" s="117"/>
      <c r="P354" s="118"/>
      <c r="Q354" s="119" t="str">
        <f t="shared" ref="Q354:Q392" si="151">IF(R354&lt;&gt;"/",IF(T$351="Error","Error",$U$351+N354),"/")</f>
        <v>/</v>
      </c>
      <c r="R354" s="120" t="str">
        <f>IF(T$351="Error","Error",IF(AND($P$351&lt;&gt;"/",$P$351&gt;'Paramètres - Admin'!$A3),'Paramètres - Admin'!$A4,"/"))</f>
        <v>/</v>
      </c>
      <c r="S354" s="139" t="str">
        <f>IF(R354&lt;&gt;"/",VLOOKUP(R354,COSTS_Archer_Queen[#All],2),"/")</f>
        <v>/</v>
      </c>
      <c r="T354" s="101" t="str">
        <f>IF(R354&lt;&gt;"/",VLOOKUP(R354,COSTS_Archer_Queen[#All],3),"/")</f>
        <v>/</v>
      </c>
      <c r="U354" s="139">
        <f t="shared" si="149"/>
        <v>0</v>
      </c>
      <c r="V354" s="121">
        <f t="shared" si="150"/>
        <v>0</v>
      </c>
    </row>
    <row r="355" spans="1:22" ht="15" customHeight="1" x14ac:dyDescent="0.25">
      <c r="A355" s="148">
        <v>3</v>
      </c>
      <c r="B355" s="146" t="str">
        <f>IF(Paramètres!BF8=0,"",Paramètres!BF8)</f>
        <v/>
      </c>
      <c r="C355" s="147">
        <f t="shared" si="144"/>
        <v>0</v>
      </c>
      <c r="D355" s="117"/>
      <c r="E355" s="118"/>
      <c r="F355" s="119" t="str">
        <f t="shared" si="145"/>
        <v>/</v>
      </c>
      <c r="G355" s="120" t="str">
        <f>IF(I$351="Error","Error",IF(AND($E$351&lt;&gt;"/",$E$351&gt;'Paramètres - Admin'!$A4),'Paramètres - Admin'!$A5,"/"))</f>
        <v>/</v>
      </c>
      <c r="H355" s="266" t="str">
        <f>IF(G355&lt;&gt;"/",VLOOKUP(G355,COSTS_Barbarian_King[#All],2),"/")</f>
        <v>/</v>
      </c>
      <c r="I355" s="101" t="str">
        <f>IF(G355&lt;&gt;"/",VLOOKUP(G355,COSTS_Barbarian_King[#All],3),"/")</f>
        <v>/</v>
      </c>
      <c r="J355" s="266">
        <f t="shared" si="146"/>
        <v>0</v>
      </c>
      <c r="K355" s="121">
        <f t="shared" si="147"/>
        <v>0</v>
      </c>
      <c r="L355" s="606">
        <v>3</v>
      </c>
      <c r="M355" s="146" t="str">
        <f>IF(Paramètres!BG8=0,"",Paramètres!BG8)</f>
        <v/>
      </c>
      <c r="N355" s="147">
        <f t="shared" si="148"/>
        <v>0</v>
      </c>
      <c r="O355" s="117"/>
      <c r="P355" s="118"/>
      <c r="Q355" s="119" t="str">
        <f t="shared" si="151"/>
        <v>/</v>
      </c>
      <c r="R355" s="120" t="str">
        <f>IF(T$351="Error","Error",IF(AND($P$351&lt;&gt;"/",$P$351&gt;'Paramètres - Admin'!$A4),'Paramètres - Admin'!$A5,"/"))</f>
        <v>/</v>
      </c>
      <c r="S355" s="139" t="str">
        <f>IF(R355&lt;&gt;"/",VLOOKUP(R355,COSTS_Archer_Queen[#All],2),"/")</f>
        <v>/</v>
      </c>
      <c r="T355" s="101" t="str">
        <f>IF(R355&lt;&gt;"/",VLOOKUP(R355,COSTS_Archer_Queen[#All],3),"/")</f>
        <v>/</v>
      </c>
      <c r="U355" s="139">
        <f t="shared" si="149"/>
        <v>0</v>
      </c>
      <c r="V355" s="121">
        <f t="shared" si="150"/>
        <v>0</v>
      </c>
    </row>
    <row r="356" spans="1:22" ht="15" customHeight="1" x14ac:dyDescent="0.25">
      <c r="A356" s="148">
        <v>4</v>
      </c>
      <c r="B356" s="146" t="str">
        <f>IF(Paramètres!BF9=0,"",Paramètres!BF9)</f>
        <v/>
      </c>
      <c r="C356" s="147">
        <f t="shared" si="144"/>
        <v>0</v>
      </c>
      <c r="D356" s="117"/>
      <c r="E356" s="118"/>
      <c r="F356" s="119" t="str">
        <f t="shared" si="145"/>
        <v>/</v>
      </c>
      <c r="G356" s="120" t="str">
        <f>IF(I$351="Error","Error",IF(AND($E$351&lt;&gt;"/",$E$351&gt;'Paramètres - Admin'!$A5),'Paramètres - Admin'!$A6,"/"))</f>
        <v>/</v>
      </c>
      <c r="H356" s="266" t="str">
        <f>IF(G356&lt;&gt;"/",VLOOKUP(G356,COSTS_Barbarian_King[#All],2),"/")</f>
        <v>/</v>
      </c>
      <c r="I356" s="101" t="str">
        <f>IF(G356&lt;&gt;"/",VLOOKUP(G356,COSTS_Barbarian_King[#All],3),"/")</f>
        <v>/</v>
      </c>
      <c r="J356" s="266">
        <f t="shared" si="146"/>
        <v>0</v>
      </c>
      <c r="K356" s="121">
        <f t="shared" si="147"/>
        <v>0</v>
      </c>
      <c r="L356" s="606">
        <v>4</v>
      </c>
      <c r="M356" s="146" t="str">
        <f>IF(Paramètres!BG9=0,"",Paramètres!BG9)</f>
        <v/>
      </c>
      <c r="N356" s="147">
        <f t="shared" si="148"/>
        <v>0</v>
      </c>
      <c r="O356" s="117"/>
      <c r="P356" s="118"/>
      <c r="Q356" s="119" t="str">
        <f t="shared" si="151"/>
        <v>/</v>
      </c>
      <c r="R356" s="120" t="str">
        <f>IF(T$351="Error","Error",IF(AND($P$351&lt;&gt;"/",$P$351&gt;'Paramètres - Admin'!$A5),'Paramètres - Admin'!$A6,"/"))</f>
        <v>/</v>
      </c>
      <c r="S356" s="139" t="str">
        <f>IF(R356&lt;&gt;"/",VLOOKUP(R356,COSTS_Archer_Queen[#All],2),"/")</f>
        <v>/</v>
      </c>
      <c r="T356" s="101" t="str">
        <f>IF(R356&lt;&gt;"/",VLOOKUP(R356,COSTS_Archer_Queen[#All],3),"/")</f>
        <v>/</v>
      </c>
      <c r="U356" s="139">
        <f t="shared" si="149"/>
        <v>0</v>
      </c>
      <c r="V356" s="121">
        <f t="shared" si="150"/>
        <v>0</v>
      </c>
    </row>
    <row r="357" spans="1:22" ht="15" customHeight="1" x14ac:dyDescent="0.25">
      <c r="A357" s="148">
        <v>5</v>
      </c>
      <c r="B357" s="146" t="str">
        <f>IF(Paramètres!BF10=0,"",Paramètres!BF10)</f>
        <v/>
      </c>
      <c r="C357" s="147">
        <f t="shared" si="144"/>
        <v>0</v>
      </c>
      <c r="D357" s="117"/>
      <c r="E357" s="118"/>
      <c r="F357" s="119" t="str">
        <f t="shared" si="145"/>
        <v>/</v>
      </c>
      <c r="G357" s="120" t="str">
        <f>IF(I$351="Error","Error",IF(AND($E$351&lt;&gt;"/",$E$351&gt;'Paramètres - Admin'!$A6),'Paramètres - Admin'!$A7,"/"))</f>
        <v>/</v>
      </c>
      <c r="H357" s="266" t="str">
        <f>IF(G357&lt;&gt;"/",VLOOKUP(G357,COSTS_Barbarian_King[#All],2),"/")</f>
        <v>/</v>
      </c>
      <c r="I357" s="101" t="str">
        <f>IF(G357&lt;&gt;"/",VLOOKUP(G357,COSTS_Barbarian_King[#All],3),"/")</f>
        <v>/</v>
      </c>
      <c r="J357" s="266">
        <f t="shared" si="146"/>
        <v>0</v>
      </c>
      <c r="K357" s="121">
        <f t="shared" si="147"/>
        <v>0</v>
      </c>
      <c r="L357" s="606">
        <v>5</v>
      </c>
      <c r="M357" s="146" t="str">
        <f>IF(Paramètres!BG10=0,"",Paramètres!BG10)</f>
        <v/>
      </c>
      <c r="N357" s="147">
        <f t="shared" si="148"/>
        <v>0</v>
      </c>
      <c r="O357" s="117"/>
      <c r="P357" s="118"/>
      <c r="Q357" s="119" t="str">
        <f t="shared" si="151"/>
        <v>/</v>
      </c>
      <c r="R357" s="120" t="str">
        <f>IF(T$351="Error","Error",IF(AND($P$351&lt;&gt;"/",$P$351&gt;'Paramètres - Admin'!$A6),'Paramètres - Admin'!$A7,"/"))</f>
        <v>/</v>
      </c>
      <c r="S357" s="139" t="str">
        <f>IF(R357&lt;&gt;"/",VLOOKUP(R357,COSTS_Archer_Queen[#All],2),"/")</f>
        <v>/</v>
      </c>
      <c r="T357" s="101" t="str">
        <f>IF(R357&lt;&gt;"/",VLOOKUP(R357,COSTS_Archer_Queen[#All],3),"/")</f>
        <v>/</v>
      </c>
      <c r="U357" s="139">
        <f t="shared" si="149"/>
        <v>0</v>
      </c>
      <c r="V357" s="121">
        <f t="shared" si="150"/>
        <v>0</v>
      </c>
    </row>
    <row r="358" spans="1:22" ht="15" customHeight="1" x14ac:dyDescent="0.25">
      <c r="A358" s="148">
        <v>6</v>
      </c>
      <c r="B358" s="146" t="str">
        <f>IF(Paramètres!BF11=0,"",Paramètres!BF11)</f>
        <v/>
      </c>
      <c r="C358" s="147">
        <f t="shared" si="144"/>
        <v>0</v>
      </c>
      <c r="D358" s="117"/>
      <c r="E358" s="118"/>
      <c r="F358" s="119" t="str">
        <f t="shared" si="145"/>
        <v>/</v>
      </c>
      <c r="G358" s="120" t="str">
        <f>IF(I$351="Error","Error",IF(AND($E$351&lt;&gt;"/",$E$351&gt;'Paramètres - Admin'!$A7),'Paramètres - Admin'!$A8,"/"))</f>
        <v>/</v>
      </c>
      <c r="H358" s="266" t="str">
        <f>IF(G358&lt;&gt;"/",VLOOKUP(G358,COSTS_Barbarian_King[#All],2),"/")</f>
        <v>/</v>
      </c>
      <c r="I358" s="101" t="str">
        <f>IF(G358&lt;&gt;"/",VLOOKUP(G358,COSTS_Barbarian_King[#All],3),"/")</f>
        <v>/</v>
      </c>
      <c r="J358" s="266">
        <f t="shared" si="146"/>
        <v>0</v>
      </c>
      <c r="K358" s="121">
        <f t="shared" si="147"/>
        <v>0</v>
      </c>
      <c r="L358" s="606">
        <v>6</v>
      </c>
      <c r="M358" s="146" t="str">
        <f>IF(Paramètres!BG11=0,"",Paramètres!BG11)</f>
        <v/>
      </c>
      <c r="N358" s="147">
        <f t="shared" si="148"/>
        <v>0</v>
      </c>
      <c r="O358" s="117"/>
      <c r="P358" s="118"/>
      <c r="Q358" s="119" t="str">
        <f t="shared" si="151"/>
        <v>/</v>
      </c>
      <c r="R358" s="120" t="str">
        <f>IF(T$351="Error","Error",IF(AND($P$351&lt;&gt;"/",$P$351&gt;'Paramètres - Admin'!$A7),'Paramètres - Admin'!$A8,"/"))</f>
        <v>/</v>
      </c>
      <c r="S358" s="139" t="str">
        <f>IF(R358&lt;&gt;"/",VLOOKUP(R358,COSTS_Archer_Queen[#All],2),"/")</f>
        <v>/</v>
      </c>
      <c r="T358" s="101" t="str">
        <f>IF(R358&lt;&gt;"/",VLOOKUP(R358,COSTS_Archer_Queen[#All],3),"/")</f>
        <v>/</v>
      </c>
      <c r="U358" s="139">
        <f t="shared" si="149"/>
        <v>0</v>
      </c>
      <c r="V358" s="121">
        <f t="shared" si="150"/>
        <v>0</v>
      </c>
    </row>
    <row r="359" spans="1:22" ht="15" customHeight="1" x14ac:dyDescent="0.25">
      <c r="A359" s="148">
        <v>7</v>
      </c>
      <c r="B359" s="146" t="str">
        <f>IF(Paramètres!BF12=0,"",Paramètres!BF12)</f>
        <v/>
      </c>
      <c r="C359" s="147">
        <f t="shared" si="144"/>
        <v>0</v>
      </c>
      <c r="D359" s="117"/>
      <c r="E359" s="118"/>
      <c r="F359" s="119" t="str">
        <f t="shared" si="145"/>
        <v>/</v>
      </c>
      <c r="G359" s="120" t="str">
        <f>IF(I$351="Error","Error",IF(AND($E$351&lt;&gt;"/",$E$351&gt;'Paramètres - Admin'!$A8),'Paramètres - Admin'!$A9,"/"))</f>
        <v>/</v>
      </c>
      <c r="H359" s="266" t="str">
        <f>IF(G359&lt;&gt;"/",VLOOKUP(G359,COSTS_Barbarian_King[#All],2),"/")</f>
        <v>/</v>
      </c>
      <c r="I359" s="101" t="str">
        <f>IF(G359&lt;&gt;"/",VLOOKUP(G359,COSTS_Barbarian_King[#All],3),"/")</f>
        <v>/</v>
      </c>
      <c r="J359" s="266">
        <f t="shared" si="146"/>
        <v>0</v>
      </c>
      <c r="K359" s="121">
        <f t="shared" si="147"/>
        <v>0</v>
      </c>
      <c r="L359" s="606">
        <v>7</v>
      </c>
      <c r="M359" s="146" t="str">
        <f>IF(Paramètres!BG12=0,"",Paramètres!BG12)</f>
        <v/>
      </c>
      <c r="N359" s="147">
        <f t="shared" si="148"/>
        <v>0</v>
      </c>
      <c r="O359" s="117"/>
      <c r="P359" s="118"/>
      <c r="Q359" s="119" t="str">
        <f t="shared" si="151"/>
        <v>/</v>
      </c>
      <c r="R359" s="120" t="str">
        <f>IF(T$351="Error","Error",IF(AND($P$351&lt;&gt;"/",$P$351&gt;'Paramètres - Admin'!$A8),'Paramètres - Admin'!$A9,"/"))</f>
        <v>/</v>
      </c>
      <c r="S359" s="139" t="str">
        <f>IF(R359&lt;&gt;"/",VLOOKUP(R359,COSTS_Archer_Queen[#All],2),"/")</f>
        <v>/</v>
      </c>
      <c r="T359" s="101" t="str">
        <f>IF(R359&lt;&gt;"/",VLOOKUP(R359,COSTS_Archer_Queen[#All],3),"/")</f>
        <v>/</v>
      </c>
      <c r="U359" s="139">
        <f t="shared" si="149"/>
        <v>0</v>
      </c>
      <c r="V359" s="121">
        <f t="shared" si="150"/>
        <v>0</v>
      </c>
    </row>
    <row r="360" spans="1:22" ht="15" customHeight="1" x14ac:dyDescent="0.25">
      <c r="A360" s="148">
        <v>8</v>
      </c>
      <c r="B360" s="146" t="str">
        <f>IF(Paramètres!BF13=0,"",Paramètres!BF13)</f>
        <v/>
      </c>
      <c r="C360" s="147">
        <f t="shared" si="144"/>
        <v>0</v>
      </c>
      <c r="D360" s="117"/>
      <c r="E360" s="118"/>
      <c r="F360" s="119" t="str">
        <f t="shared" si="145"/>
        <v>/</v>
      </c>
      <c r="G360" s="120" t="str">
        <f>IF(I$351="Error","Error",IF(AND($E$351&lt;&gt;"/",$E$351&gt;'Paramètres - Admin'!$A9),'Paramètres - Admin'!$A10,"/"))</f>
        <v>/</v>
      </c>
      <c r="H360" s="266" t="str">
        <f>IF(G360&lt;&gt;"/",VLOOKUP(G360,COSTS_Barbarian_King[#All],2),"/")</f>
        <v>/</v>
      </c>
      <c r="I360" s="101" t="str">
        <f>IF(G360&lt;&gt;"/",VLOOKUP(G360,COSTS_Barbarian_King[#All],3),"/")</f>
        <v>/</v>
      </c>
      <c r="J360" s="266">
        <f t="shared" si="146"/>
        <v>0</v>
      </c>
      <c r="K360" s="121">
        <f t="shared" si="147"/>
        <v>0</v>
      </c>
      <c r="L360" s="606">
        <v>8</v>
      </c>
      <c r="M360" s="146" t="str">
        <f>IF(Paramètres!BG13=0,"",Paramètres!BG13)</f>
        <v/>
      </c>
      <c r="N360" s="147">
        <f t="shared" si="148"/>
        <v>0</v>
      </c>
      <c r="O360" s="117"/>
      <c r="P360" s="118"/>
      <c r="Q360" s="119" t="str">
        <f t="shared" si="151"/>
        <v>/</v>
      </c>
      <c r="R360" s="120" t="str">
        <f>IF(T$351="Error","Error",IF(AND($P$351&lt;&gt;"/",$P$351&gt;'Paramètres - Admin'!$A9),'Paramètres - Admin'!$A10,"/"))</f>
        <v>/</v>
      </c>
      <c r="S360" s="139" t="str">
        <f>IF(R360&lt;&gt;"/",VLOOKUP(R360,COSTS_Archer_Queen[#All],2),"/")</f>
        <v>/</v>
      </c>
      <c r="T360" s="101" t="str">
        <f>IF(R360&lt;&gt;"/",VLOOKUP(R360,COSTS_Archer_Queen[#All],3),"/")</f>
        <v>/</v>
      </c>
      <c r="U360" s="139">
        <f t="shared" si="149"/>
        <v>0</v>
      </c>
      <c r="V360" s="121">
        <f t="shared" si="150"/>
        <v>0</v>
      </c>
    </row>
    <row r="361" spans="1:22" ht="15" customHeight="1" x14ac:dyDescent="0.25">
      <c r="A361" s="148">
        <v>9</v>
      </c>
      <c r="B361" s="146" t="str">
        <f>IF(Paramètres!BF14=0,"",Paramètres!BF14)</f>
        <v/>
      </c>
      <c r="C361" s="147">
        <f t="shared" si="144"/>
        <v>0</v>
      </c>
      <c r="D361" s="117"/>
      <c r="E361" s="118"/>
      <c r="F361" s="119" t="str">
        <f t="shared" si="145"/>
        <v>/</v>
      </c>
      <c r="G361" s="120" t="str">
        <f>IF(I$351="Error","Error",IF(AND($E$351&lt;&gt;"/",$E$351&gt;'Paramètres - Admin'!$A10),'Paramètres - Admin'!$A11,"/"))</f>
        <v>/</v>
      </c>
      <c r="H361" s="266" t="str">
        <f>IF(G361&lt;&gt;"/",VLOOKUP(G361,COSTS_Barbarian_King[#All],2),"/")</f>
        <v>/</v>
      </c>
      <c r="I361" s="101" t="str">
        <f>IF(G361&lt;&gt;"/",VLOOKUP(G361,COSTS_Barbarian_King[#All],3),"/")</f>
        <v>/</v>
      </c>
      <c r="J361" s="266">
        <f t="shared" si="146"/>
        <v>0</v>
      </c>
      <c r="K361" s="121">
        <f t="shared" si="147"/>
        <v>0</v>
      </c>
      <c r="L361" s="606">
        <v>9</v>
      </c>
      <c r="M361" s="146" t="str">
        <f>IF(Paramètres!BG14=0,"",Paramètres!BG14)</f>
        <v/>
      </c>
      <c r="N361" s="147">
        <f t="shared" si="148"/>
        <v>0</v>
      </c>
      <c r="O361" s="117"/>
      <c r="P361" s="118"/>
      <c r="Q361" s="119" t="str">
        <f t="shared" si="151"/>
        <v>/</v>
      </c>
      <c r="R361" s="120" t="str">
        <f>IF(T$351="Error","Error",IF(AND($P$351&lt;&gt;"/",$P$351&gt;'Paramètres - Admin'!$A10),'Paramètres - Admin'!$A11,"/"))</f>
        <v>/</v>
      </c>
      <c r="S361" s="139" t="str">
        <f>IF(R361&lt;&gt;"/",VLOOKUP(R361,COSTS_Archer_Queen[#All],2),"/")</f>
        <v>/</v>
      </c>
      <c r="T361" s="101" t="str">
        <f>IF(R361&lt;&gt;"/",VLOOKUP(R361,COSTS_Archer_Queen[#All],3),"/")</f>
        <v>/</v>
      </c>
      <c r="U361" s="139">
        <f t="shared" si="149"/>
        <v>0</v>
      </c>
      <c r="V361" s="121">
        <f t="shared" si="150"/>
        <v>0</v>
      </c>
    </row>
    <row r="362" spans="1:22" ht="15" customHeight="1" x14ac:dyDescent="0.25">
      <c r="A362" s="148">
        <v>10</v>
      </c>
      <c r="B362" s="146" t="str">
        <f>IF(Paramètres!BF15=0,"",Paramètres!BF15)</f>
        <v/>
      </c>
      <c r="C362" s="147">
        <f t="shared" si="144"/>
        <v>0</v>
      </c>
      <c r="D362" s="117"/>
      <c r="E362" s="118"/>
      <c r="F362" s="119" t="str">
        <f t="shared" si="145"/>
        <v>/</v>
      </c>
      <c r="G362" s="120" t="str">
        <f>IF(I$351="Error","Error",IF(AND($E$351&lt;&gt;"/",$E$351&gt;'Paramètres - Admin'!$A11),'Paramètres - Admin'!$A12,"/"))</f>
        <v>/</v>
      </c>
      <c r="H362" s="266" t="str">
        <f>IF(G362&lt;&gt;"/",VLOOKUP(G362,COSTS_Barbarian_King[#All],2),"/")</f>
        <v>/</v>
      </c>
      <c r="I362" s="101" t="str">
        <f>IF(G362&lt;&gt;"/",VLOOKUP(G362,COSTS_Barbarian_King[#All],3),"/")</f>
        <v>/</v>
      </c>
      <c r="J362" s="266">
        <f t="shared" si="146"/>
        <v>0</v>
      </c>
      <c r="K362" s="121">
        <f t="shared" si="147"/>
        <v>0</v>
      </c>
      <c r="L362" s="606">
        <v>10</v>
      </c>
      <c r="M362" s="146" t="str">
        <f>IF(Paramètres!BG15=0,"",Paramètres!BG15)</f>
        <v/>
      </c>
      <c r="N362" s="147">
        <f t="shared" si="148"/>
        <v>0</v>
      </c>
      <c r="O362" s="117"/>
      <c r="P362" s="118"/>
      <c r="Q362" s="119" t="str">
        <f t="shared" si="151"/>
        <v>/</v>
      </c>
      <c r="R362" s="120" t="str">
        <f>IF(T$351="Error","Error",IF(AND($P$351&lt;&gt;"/",$P$351&gt;'Paramètres - Admin'!$A11),'Paramètres - Admin'!$A12,"/"))</f>
        <v>/</v>
      </c>
      <c r="S362" s="139" t="str">
        <f>IF(R362&lt;&gt;"/",VLOOKUP(R362,COSTS_Archer_Queen[#All],2),"/")</f>
        <v>/</v>
      </c>
      <c r="T362" s="101" t="str">
        <f>IF(R362&lt;&gt;"/",VLOOKUP(R362,COSTS_Archer_Queen[#All],3),"/")</f>
        <v>/</v>
      </c>
      <c r="U362" s="139">
        <f t="shared" si="149"/>
        <v>0</v>
      </c>
      <c r="V362" s="121">
        <f t="shared" si="150"/>
        <v>0</v>
      </c>
    </row>
    <row r="363" spans="1:22" ht="15" customHeight="1" x14ac:dyDescent="0.25">
      <c r="A363" s="148">
        <v>11</v>
      </c>
      <c r="B363" s="146" t="str">
        <f>IF(Paramètres!BF16=0,"",Paramètres!BF16)</f>
        <v/>
      </c>
      <c r="C363" s="147">
        <f t="shared" si="144"/>
        <v>0</v>
      </c>
      <c r="D363" s="117"/>
      <c r="E363" s="118"/>
      <c r="F363" s="119" t="str">
        <f t="shared" si="145"/>
        <v>/</v>
      </c>
      <c r="G363" s="120" t="str">
        <f>IF(I$351="Error","Error",IF(AND($E$351&lt;&gt;"/",$E$351&gt;'Paramètres - Admin'!$A12),'Paramètres - Admin'!$A13,"/"))</f>
        <v>/</v>
      </c>
      <c r="H363" s="266" t="str">
        <f>IF(G363&lt;&gt;"/",VLOOKUP(G363,COSTS_Barbarian_King[#All],2),"/")</f>
        <v>/</v>
      </c>
      <c r="I363" s="101" t="str">
        <f>IF(G363&lt;&gt;"/",VLOOKUP(G363,COSTS_Barbarian_King[#All],3),"/")</f>
        <v>/</v>
      </c>
      <c r="J363" s="266">
        <f t="shared" si="146"/>
        <v>0</v>
      </c>
      <c r="K363" s="121">
        <f t="shared" si="147"/>
        <v>0</v>
      </c>
      <c r="L363" s="606">
        <v>11</v>
      </c>
      <c r="M363" s="146" t="str">
        <f>IF(Paramètres!BG16=0,"",Paramètres!BG16)</f>
        <v/>
      </c>
      <c r="N363" s="147">
        <f t="shared" si="148"/>
        <v>0</v>
      </c>
      <c r="O363" s="117"/>
      <c r="P363" s="118"/>
      <c r="Q363" s="119" t="str">
        <f t="shared" si="151"/>
        <v>/</v>
      </c>
      <c r="R363" s="120" t="str">
        <f>IF(T$351="Error","Error",IF(AND($P$351&lt;&gt;"/",$P$351&gt;'Paramètres - Admin'!$A12),'Paramètres - Admin'!$A13,"/"))</f>
        <v>/</v>
      </c>
      <c r="S363" s="139" t="str">
        <f>IF(R363&lt;&gt;"/",VLOOKUP(R363,COSTS_Archer_Queen[#All],2),"/")</f>
        <v>/</v>
      </c>
      <c r="T363" s="101" t="str">
        <f>IF(R363&lt;&gt;"/",VLOOKUP(R363,COSTS_Archer_Queen[#All],3),"/")</f>
        <v>/</v>
      </c>
      <c r="U363" s="139">
        <f t="shared" si="149"/>
        <v>0</v>
      </c>
      <c r="V363" s="121">
        <f t="shared" si="150"/>
        <v>0</v>
      </c>
    </row>
    <row r="364" spans="1:22" ht="15" customHeight="1" x14ac:dyDescent="0.25">
      <c r="A364" s="148">
        <v>12</v>
      </c>
      <c r="B364" s="146" t="str">
        <f>IF(Paramètres!BF17=0,"",Paramètres!BF17)</f>
        <v/>
      </c>
      <c r="C364" s="147">
        <f t="shared" si="144"/>
        <v>0</v>
      </c>
      <c r="D364" s="117"/>
      <c r="E364" s="118"/>
      <c r="F364" s="119" t="str">
        <f t="shared" si="145"/>
        <v>/</v>
      </c>
      <c r="G364" s="120" t="str">
        <f>IF(I$351="Error","Error",IF(AND($E$351&lt;&gt;"/",$E$351&gt;'Paramètres - Admin'!$A13),'Paramètres - Admin'!$A14,"/"))</f>
        <v>/</v>
      </c>
      <c r="H364" s="266" t="str">
        <f>IF(G364&lt;&gt;"/",VLOOKUP(G364,COSTS_Barbarian_King[#All],2),"/")</f>
        <v>/</v>
      </c>
      <c r="I364" s="101" t="str">
        <f>IF(G364&lt;&gt;"/",VLOOKUP(G364,COSTS_Barbarian_King[#All],3),"/")</f>
        <v>/</v>
      </c>
      <c r="J364" s="266">
        <f t="shared" si="146"/>
        <v>0</v>
      </c>
      <c r="K364" s="121">
        <f t="shared" si="147"/>
        <v>0</v>
      </c>
      <c r="L364" s="606">
        <v>12</v>
      </c>
      <c r="M364" s="146" t="str">
        <f>IF(Paramètres!BG17=0,"",Paramètres!BG17)</f>
        <v/>
      </c>
      <c r="N364" s="147">
        <f t="shared" si="148"/>
        <v>0</v>
      </c>
      <c r="O364" s="117"/>
      <c r="P364" s="118"/>
      <c r="Q364" s="119" t="str">
        <f t="shared" si="151"/>
        <v>/</v>
      </c>
      <c r="R364" s="120" t="str">
        <f>IF(T$351="Error","Error",IF(AND($P$351&lt;&gt;"/",$P$351&gt;'Paramètres - Admin'!$A13),'Paramètres - Admin'!$A14,"/"))</f>
        <v>/</v>
      </c>
      <c r="S364" s="139" t="str">
        <f>IF(R364&lt;&gt;"/",VLOOKUP(R364,COSTS_Archer_Queen[#All],2),"/")</f>
        <v>/</v>
      </c>
      <c r="T364" s="101" t="str">
        <f>IF(R364&lt;&gt;"/",VLOOKUP(R364,COSTS_Archer_Queen[#All],3),"/")</f>
        <v>/</v>
      </c>
      <c r="U364" s="139">
        <f t="shared" si="149"/>
        <v>0</v>
      </c>
      <c r="V364" s="121">
        <f t="shared" si="150"/>
        <v>0</v>
      </c>
    </row>
    <row r="365" spans="1:22" ht="15" customHeight="1" x14ac:dyDescent="0.25">
      <c r="A365" s="148">
        <v>13</v>
      </c>
      <c r="B365" s="146" t="str">
        <f>IF(Paramètres!BF18=0,"",Paramètres!BF18)</f>
        <v/>
      </c>
      <c r="C365" s="147">
        <f t="shared" si="144"/>
        <v>0</v>
      </c>
      <c r="D365" s="117"/>
      <c r="E365" s="118"/>
      <c r="F365" s="119" t="str">
        <f t="shared" si="145"/>
        <v>/</v>
      </c>
      <c r="G365" s="120" t="str">
        <f>IF(I$351="Error","Error",IF(AND($E$351&lt;&gt;"/",$E$351&gt;'Paramètres - Admin'!$A14),'Paramètres - Admin'!$A15,"/"))</f>
        <v>/</v>
      </c>
      <c r="H365" s="266" t="str">
        <f>IF(G365&lt;&gt;"/",VLOOKUP(G365,COSTS_Barbarian_King[#All],2),"/")</f>
        <v>/</v>
      </c>
      <c r="I365" s="101" t="str">
        <f>IF(G365&lt;&gt;"/",VLOOKUP(G365,COSTS_Barbarian_King[#All],3),"/")</f>
        <v>/</v>
      </c>
      <c r="J365" s="266">
        <f t="shared" si="146"/>
        <v>0</v>
      </c>
      <c r="K365" s="121">
        <f t="shared" si="147"/>
        <v>0</v>
      </c>
      <c r="L365" s="606">
        <v>13</v>
      </c>
      <c r="M365" s="146" t="str">
        <f>IF(Paramètres!BG18=0,"",Paramètres!BG18)</f>
        <v/>
      </c>
      <c r="N365" s="147">
        <f t="shared" si="148"/>
        <v>0</v>
      </c>
      <c r="O365" s="117"/>
      <c r="P365" s="118"/>
      <c r="Q365" s="119" t="str">
        <f t="shared" si="151"/>
        <v>/</v>
      </c>
      <c r="R365" s="120" t="str">
        <f>IF(T$351="Error","Error",IF(AND($P$351&lt;&gt;"/",$P$351&gt;'Paramètres - Admin'!$A14),'Paramètres - Admin'!$A15,"/"))</f>
        <v>/</v>
      </c>
      <c r="S365" s="139" t="str">
        <f>IF(R365&lt;&gt;"/",VLOOKUP(R365,COSTS_Archer_Queen[#All],2),"/")</f>
        <v>/</v>
      </c>
      <c r="T365" s="101" t="str">
        <f>IF(R365&lt;&gt;"/",VLOOKUP(R365,COSTS_Archer_Queen[#All],3),"/")</f>
        <v>/</v>
      </c>
      <c r="U365" s="139">
        <f t="shared" si="149"/>
        <v>0</v>
      </c>
      <c r="V365" s="121">
        <f t="shared" si="150"/>
        <v>0</v>
      </c>
    </row>
    <row r="366" spans="1:22" ht="15" customHeight="1" x14ac:dyDescent="0.25">
      <c r="A366" s="148">
        <v>14</v>
      </c>
      <c r="B366" s="146" t="str">
        <f>IF(Paramètres!BF19=0,"",Paramètres!BF19)</f>
        <v/>
      </c>
      <c r="C366" s="147">
        <f t="shared" si="144"/>
        <v>0</v>
      </c>
      <c r="D366" s="117"/>
      <c r="E366" s="118"/>
      <c r="F366" s="119" t="str">
        <f t="shared" si="145"/>
        <v>/</v>
      </c>
      <c r="G366" s="120" t="str">
        <f>IF(I$351="Error","Error",IF(AND($E$351&lt;&gt;"/",$E$351&gt;'Paramètres - Admin'!$A15),'Paramètres - Admin'!$A16,"/"))</f>
        <v>/</v>
      </c>
      <c r="H366" s="266" t="str">
        <f>IF(G366&lt;&gt;"/",VLOOKUP(G366,COSTS_Barbarian_King[#All],2),"/")</f>
        <v>/</v>
      </c>
      <c r="I366" s="101" t="str">
        <f>IF(G366&lt;&gt;"/",VLOOKUP(G366,COSTS_Barbarian_King[#All],3),"/")</f>
        <v>/</v>
      </c>
      <c r="J366" s="266">
        <f t="shared" si="146"/>
        <v>0</v>
      </c>
      <c r="K366" s="121">
        <f t="shared" si="147"/>
        <v>0</v>
      </c>
      <c r="L366" s="606">
        <v>14</v>
      </c>
      <c r="M366" s="146" t="str">
        <f>IF(Paramètres!BG19=0,"",Paramètres!BG19)</f>
        <v/>
      </c>
      <c r="N366" s="147">
        <f t="shared" si="148"/>
        <v>0</v>
      </c>
      <c r="O366" s="117"/>
      <c r="P366" s="118"/>
      <c r="Q366" s="119" t="str">
        <f t="shared" si="151"/>
        <v>/</v>
      </c>
      <c r="R366" s="120" t="str">
        <f>IF(T$351="Error","Error",IF(AND($P$351&lt;&gt;"/",$P$351&gt;'Paramètres - Admin'!$A15),'Paramètres - Admin'!$A16,"/"))</f>
        <v>/</v>
      </c>
      <c r="S366" s="139" t="str">
        <f>IF(R366&lt;&gt;"/",VLOOKUP(R366,COSTS_Archer_Queen[#All],2),"/")</f>
        <v>/</v>
      </c>
      <c r="T366" s="101" t="str">
        <f>IF(R366&lt;&gt;"/",VLOOKUP(R366,COSTS_Archer_Queen[#All],3),"/")</f>
        <v>/</v>
      </c>
      <c r="U366" s="139">
        <f t="shared" si="149"/>
        <v>0</v>
      </c>
      <c r="V366" s="121">
        <f t="shared" si="150"/>
        <v>0</v>
      </c>
    </row>
    <row r="367" spans="1:22" ht="15" customHeight="1" x14ac:dyDescent="0.25">
      <c r="A367" s="148">
        <v>15</v>
      </c>
      <c r="B367" s="146" t="str">
        <f>IF(Paramètres!BF20=0,"",Paramètres!BF20)</f>
        <v/>
      </c>
      <c r="C367" s="147">
        <f t="shared" si="144"/>
        <v>0</v>
      </c>
      <c r="D367" s="117"/>
      <c r="E367" s="118"/>
      <c r="F367" s="119" t="str">
        <f t="shared" si="145"/>
        <v>/</v>
      </c>
      <c r="G367" s="120" t="str">
        <f>IF(I$351="Error","Error",IF(AND($E$351&lt;&gt;"/",$E$351&gt;'Paramètres - Admin'!$A16),'Paramètres - Admin'!$A17,"/"))</f>
        <v>/</v>
      </c>
      <c r="H367" s="266" t="str">
        <f>IF(G367&lt;&gt;"/",VLOOKUP(G367,COSTS_Barbarian_King[#All],2),"/")</f>
        <v>/</v>
      </c>
      <c r="I367" s="101" t="str">
        <f>IF(G367&lt;&gt;"/",VLOOKUP(G367,COSTS_Barbarian_King[#All],3),"/")</f>
        <v>/</v>
      </c>
      <c r="J367" s="266">
        <f t="shared" si="146"/>
        <v>0</v>
      </c>
      <c r="K367" s="121">
        <f t="shared" si="147"/>
        <v>0</v>
      </c>
      <c r="L367" s="606">
        <v>15</v>
      </c>
      <c r="M367" s="146" t="str">
        <f>IF(Paramètres!BG20=0,"",Paramètres!BG20)</f>
        <v/>
      </c>
      <c r="N367" s="147">
        <f t="shared" si="148"/>
        <v>0</v>
      </c>
      <c r="O367" s="117"/>
      <c r="P367" s="118"/>
      <c r="Q367" s="119" t="str">
        <f t="shared" si="151"/>
        <v>/</v>
      </c>
      <c r="R367" s="120" t="str">
        <f>IF(T$351="Error","Error",IF(AND($P$351&lt;&gt;"/",$P$351&gt;'Paramètres - Admin'!$A16),'Paramètres - Admin'!$A17,"/"))</f>
        <v>/</v>
      </c>
      <c r="S367" s="139" t="str">
        <f>IF(R367&lt;&gt;"/",VLOOKUP(R367,COSTS_Archer_Queen[#All],2),"/")</f>
        <v>/</v>
      </c>
      <c r="T367" s="101" t="str">
        <f>IF(R367&lt;&gt;"/",VLOOKUP(R367,COSTS_Archer_Queen[#All],3),"/")</f>
        <v>/</v>
      </c>
      <c r="U367" s="139">
        <f t="shared" si="149"/>
        <v>0</v>
      </c>
      <c r="V367" s="121">
        <f t="shared" si="150"/>
        <v>0</v>
      </c>
    </row>
    <row r="368" spans="1:22" ht="15" customHeight="1" x14ac:dyDescent="0.25">
      <c r="A368" s="148">
        <v>16</v>
      </c>
      <c r="B368" s="146" t="str">
        <f>IF(Paramètres!BF21=0,"",Paramètres!BF21)</f>
        <v/>
      </c>
      <c r="C368" s="147">
        <f t="shared" si="144"/>
        <v>0</v>
      </c>
      <c r="D368" s="117"/>
      <c r="E368" s="118"/>
      <c r="F368" s="119" t="str">
        <f t="shared" si="145"/>
        <v>/</v>
      </c>
      <c r="G368" s="120" t="str">
        <f>IF(I$351="Error","Error",IF(AND($E$351&lt;&gt;"/",$E$351&gt;'Paramètres - Admin'!$A17),'Paramètres - Admin'!$A18,"/"))</f>
        <v>/</v>
      </c>
      <c r="H368" s="266" t="str">
        <f>IF(G368&lt;&gt;"/",VLOOKUP(G368,COSTS_Barbarian_King[#All],2),"/")</f>
        <v>/</v>
      </c>
      <c r="I368" s="101" t="str">
        <f>IF(G368&lt;&gt;"/",VLOOKUP(G368,COSTS_Barbarian_King[#All],3),"/")</f>
        <v>/</v>
      </c>
      <c r="J368" s="266">
        <f t="shared" si="146"/>
        <v>0</v>
      </c>
      <c r="K368" s="121">
        <f t="shared" si="147"/>
        <v>0</v>
      </c>
      <c r="L368" s="606">
        <v>16</v>
      </c>
      <c r="M368" s="146" t="str">
        <f>IF(Paramètres!BG21=0,"",Paramètres!BG21)</f>
        <v/>
      </c>
      <c r="N368" s="147">
        <f t="shared" si="148"/>
        <v>0</v>
      </c>
      <c r="O368" s="117"/>
      <c r="P368" s="118"/>
      <c r="Q368" s="119" t="str">
        <f t="shared" si="151"/>
        <v>/</v>
      </c>
      <c r="R368" s="120" t="str">
        <f>IF(T$351="Error","Error",IF(AND($P$351&lt;&gt;"/",$P$351&gt;'Paramètres - Admin'!$A17),'Paramètres - Admin'!$A18,"/"))</f>
        <v>/</v>
      </c>
      <c r="S368" s="139" t="str">
        <f>IF(R368&lt;&gt;"/",VLOOKUP(R368,COSTS_Archer_Queen[#All],2),"/")</f>
        <v>/</v>
      </c>
      <c r="T368" s="101" t="str">
        <f>IF(R368&lt;&gt;"/",VLOOKUP(R368,COSTS_Archer_Queen[#All],3),"/")</f>
        <v>/</v>
      </c>
      <c r="U368" s="139">
        <f t="shared" si="149"/>
        <v>0</v>
      </c>
      <c r="V368" s="121">
        <f t="shared" si="150"/>
        <v>0</v>
      </c>
    </row>
    <row r="369" spans="1:22" ht="15" customHeight="1" x14ac:dyDescent="0.25">
      <c r="A369" s="148">
        <v>17</v>
      </c>
      <c r="B369" s="146" t="str">
        <f>IF(Paramètres!BF22=0,"",Paramètres!BF22)</f>
        <v/>
      </c>
      <c r="C369" s="147">
        <f t="shared" si="144"/>
        <v>0</v>
      </c>
      <c r="D369" s="117"/>
      <c r="E369" s="118"/>
      <c r="F369" s="119" t="str">
        <f t="shared" si="145"/>
        <v>/</v>
      </c>
      <c r="G369" s="120" t="str">
        <f>IF(I$351="Error","Error",IF(AND($E$351&lt;&gt;"/",$E$351&gt;'Paramètres - Admin'!$A18),'Paramètres - Admin'!$A19,"/"))</f>
        <v>/</v>
      </c>
      <c r="H369" s="266" t="str">
        <f>IF(G369&lt;&gt;"/",VLOOKUP(G369,COSTS_Barbarian_King[#All],2),"/")</f>
        <v>/</v>
      </c>
      <c r="I369" s="101" t="str">
        <f>IF(G369&lt;&gt;"/",VLOOKUP(G369,COSTS_Barbarian_King[#All],3),"/")</f>
        <v>/</v>
      </c>
      <c r="J369" s="266">
        <f t="shared" si="146"/>
        <v>0</v>
      </c>
      <c r="K369" s="121">
        <f t="shared" si="147"/>
        <v>0</v>
      </c>
      <c r="L369" s="606">
        <v>17</v>
      </c>
      <c r="M369" s="146" t="str">
        <f>IF(Paramètres!BG22=0,"",Paramètres!BG22)</f>
        <v/>
      </c>
      <c r="N369" s="147">
        <f t="shared" si="148"/>
        <v>0</v>
      </c>
      <c r="O369" s="117"/>
      <c r="P369" s="118"/>
      <c r="Q369" s="119" t="str">
        <f t="shared" si="151"/>
        <v>/</v>
      </c>
      <c r="R369" s="120" t="str">
        <f>IF(T$351="Error","Error",IF(AND($P$351&lt;&gt;"/",$P$351&gt;'Paramètres - Admin'!$A18),'Paramètres - Admin'!$A19,"/"))</f>
        <v>/</v>
      </c>
      <c r="S369" s="139" t="str">
        <f>IF(R369&lt;&gt;"/",VLOOKUP(R369,COSTS_Archer_Queen[#All],2),"/")</f>
        <v>/</v>
      </c>
      <c r="T369" s="101" t="str">
        <f>IF(R369&lt;&gt;"/",VLOOKUP(R369,COSTS_Archer_Queen[#All],3),"/")</f>
        <v>/</v>
      </c>
      <c r="U369" s="139">
        <f t="shared" si="149"/>
        <v>0</v>
      </c>
      <c r="V369" s="121">
        <f t="shared" si="150"/>
        <v>0</v>
      </c>
    </row>
    <row r="370" spans="1:22" ht="15" customHeight="1" x14ac:dyDescent="0.25">
      <c r="A370" s="148">
        <v>18</v>
      </c>
      <c r="B370" s="146" t="str">
        <f>IF(Paramètres!BF23=0,"",Paramètres!BF23)</f>
        <v/>
      </c>
      <c r="C370" s="147">
        <f t="shared" si="144"/>
        <v>0</v>
      </c>
      <c r="D370" s="117"/>
      <c r="E370" s="118"/>
      <c r="F370" s="119" t="str">
        <f t="shared" si="145"/>
        <v>/</v>
      </c>
      <c r="G370" s="120" t="str">
        <f>IF(I$351="Error","Error",IF(AND($E$351&lt;&gt;"/",$E$351&gt;'Paramètres - Admin'!$A19),'Paramètres - Admin'!$A20,"/"))</f>
        <v>/</v>
      </c>
      <c r="H370" s="266" t="str">
        <f>IF(G370&lt;&gt;"/",VLOOKUP(G370,COSTS_Barbarian_King[#All],2),"/")</f>
        <v>/</v>
      </c>
      <c r="I370" s="101" t="str">
        <f>IF(G370&lt;&gt;"/",VLOOKUP(G370,COSTS_Barbarian_King[#All],3),"/")</f>
        <v>/</v>
      </c>
      <c r="J370" s="266">
        <f t="shared" si="146"/>
        <v>0</v>
      </c>
      <c r="K370" s="121">
        <f t="shared" si="147"/>
        <v>0</v>
      </c>
      <c r="L370" s="606">
        <v>18</v>
      </c>
      <c r="M370" s="146" t="str">
        <f>IF(Paramètres!BG23=0,"",Paramètres!BG23)</f>
        <v/>
      </c>
      <c r="N370" s="147">
        <f t="shared" si="148"/>
        <v>0</v>
      </c>
      <c r="O370" s="117"/>
      <c r="P370" s="118"/>
      <c r="Q370" s="119" t="str">
        <f t="shared" si="151"/>
        <v>/</v>
      </c>
      <c r="R370" s="120" t="str">
        <f>IF(T$351="Error","Error",IF(AND($P$351&lt;&gt;"/",$P$351&gt;'Paramètres - Admin'!$A19),'Paramètres - Admin'!$A20,"/"))</f>
        <v>/</v>
      </c>
      <c r="S370" s="139" t="str">
        <f>IF(R370&lt;&gt;"/",VLOOKUP(R370,COSTS_Archer_Queen[#All],2),"/")</f>
        <v>/</v>
      </c>
      <c r="T370" s="101" t="str">
        <f>IF(R370&lt;&gt;"/",VLOOKUP(R370,COSTS_Archer_Queen[#All],3),"/")</f>
        <v>/</v>
      </c>
      <c r="U370" s="139">
        <f t="shared" si="149"/>
        <v>0</v>
      </c>
      <c r="V370" s="121">
        <f t="shared" si="150"/>
        <v>0</v>
      </c>
    </row>
    <row r="371" spans="1:22" ht="15" customHeight="1" x14ac:dyDescent="0.25">
      <c r="A371" s="148">
        <v>19</v>
      </c>
      <c r="B371" s="146" t="str">
        <f>IF(Paramètres!BF24=0,"",Paramètres!BF24)</f>
        <v/>
      </c>
      <c r="C371" s="147">
        <f t="shared" si="144"/>
        <v>0</v>
      </c>
      <c r="D371" s="117"/>
      <c r="E371" s="118"/>
      <c r="F371" s="119" t="str">
        <f t="shared" si="145"/>
        <v>/</v>
      </c>
      <c r="G371" s="120" t="str">
        <f>IF(I$351="Error","Error",IF(AND($E$351&lt;&gt;"/",$E$351&gt;'Paramètres - Admin'!$A20),'Paramètres - Admin'!$A21,"/"))</f>
        <v>/</v>
      </c>
      <c r="H371" s="266" t="str">
        <f>IF(G371&lt;&gt;"/",VLOOKUP(G371,COSTS_Barbarian_King[#All],2),"/")</f>
        <v>/</v>
      </c>
      <c r="I371" s="101" t="str">
        <f>IF(G371&lt;&gt;"/",VLOOKUP(G371,COSTS_Barbarian_King[#All],3),"/")</f>
        <v>/</v>
      </c>
      <c r="J371" s="266">
        <f t="shared" si="146"/>
        <v>0</v>
      </c>
      <c r="K371" s="121">
        <f t="shared" si="147"/>
        <v>0</v>
      </c>
      <c r="L371" s="606">
        <v>19</v>
      </c>
      <c r="M371" s="146" t="str">
        <f>IF(Paramètres!BG24=0,"",Paramètres!BG24)</f>
        <v/>
      </c>
      <c r="N371" s="147">
        <f t="shared" si="148"/>
        <v>0</v>
      </c>
      <c r="O371" s="117"/>
      <c r="P371" s="118"/>
      <c r="Q371" s="119" t="str">
        <f t="shared" si="151"/>
        <v>/</v>
      </c>
      <c r="R371" s="120" t="str">
        <f>IF(T$351="Error","Error",IF(AND($P$351&lt;&gt;"/",$P$351&gt;'Paramètres - Admin'!$A20),'Paramètres - Admin'!$A21,"/"))</f>
        <v>/</v>
      </c>
      <c r="S371" s="139" t="str">
        <f>IF(R371&lt;&gt;"/",VLOOKUP(R371,COSTS_Archer_Queen[#All],2),"/")</f>
        <v>/</v>
      </c>
      <c r="T371" s="101" t="str">
        <f>IF(R371&lt;&gt;"/",VLOOKUP(R371,COSTS_Archer_Queen[#All],3),"/")</f>
        <v>/</v>
      </c>
      <c r="U371" s="139">
        <f t="shared" si="149"/>
        <v>0</v>
      </c>
      <c r="V371" s="121">
        <f t="shared" si="150"/>
        <v>0</v>
      </c>
    </row>
    <row r="372" spans="1:22" ht="15" customHeight="1" x14ac:dyDescent="0.25">
      <c r="A372" s="148">
        <v>20</v>
      </c>
      <c r="B372" s="146" t="str">
        <f>IF(Paramètres!BF25=0,"",Paramètres!BF25)</f>
        <v/>
      </c>
      <c r="C372" s="147">
        <f t="shared" si="144"/>
        <v>0</v>
      </c>
      <c r="D372" s="117"/>
      <c r="E372" s="118"/>
      <c r="F372" s="119" t="str">
        <f t="shared" si="145"/>
        <v>/</v>
      </c>
      <c r="G372" s="120" t="str">
        <f>IF(I$351="Error","Error",IF(AND($E$351&lt;&gt;"/",$E$351&gt;'Paramètres - Admin'!$A21),'Paramètres - Admin'!$A22,"/"))</f>
        <v>/</v>
      </c>
      <c r="H372" s="266" t="str">
        <f>IF(G372&lt;&gt;"/",VLOOKUP(G372,COSTS_Barbarian_King[#All],2),"/")</f>
        <v>/</v>
      </c>
      <c r="I372" s="101" t="str">
        <f>IF(G372&lt;&gt;"/",VLOOKUP(G372,COSTS_Barbarian_King[#All],3),"/")</f>
        <v>/</v>
      </c>
      <c r="J372" s="266">
        <f t="shared" si="146"/>
        <v>0</v>
      </c>
      <c r="K372" s="121">
        <f t="shared" si="147"/>
        <v>0</v>
      </c>
      <c r="L372" s="606">
        <v>20</v>
      </c>
      <c r="M372" s="146" t="str">
        <f>IF(Paramètres!BG25=0,"",Paramètres!BG25)</f>
        <v/>
      </c>
      <c r="N372" s="147">
        <f t="shared" si="148"/>
        <v>0</v>
      </c>
      <c r="O372" s="117"/>
      <c r="P372" s="118"/>
      <c r="Q372" s="119" t="str">
        <f t="shared" si="151"/>
        <v>/</v>
      </c>
      <c r="R372" s="120" t="str">
        <f>IF(T$351="Error","Error",IF(AND($P$351&lt;&gt;"/",$P$351&gt;'Paramètres - Admin'!$A21),'Paramètres - Admin'!$A22,"/"))</f>
        <v>/</v>
      </c>
      <c r="S372" s="139" t="str">
        <f>IF(R372&lt;&gt;"/",VLOOKUP(R372,COSTS_Archer_Queen[#All],2),"/")</f>
        <v>/</v>
      </c>
      <c r="T372" s="101" t="str">
        <f>IF(R372&lt;&gt;"/",VLOOKUP(R372,COSTS_Archer_Queen[#All],3),"/")</f>
        <v>/</v>
      </c>
      <c r="U372" s="139">
        <f t="shared" si="149"/>
        <v>0</v>
      </c>
      <c r="V372" s="121">
        <f t="shared" si="150"/>
        <v>0</v>
      </c>
    </row>
    <row r="373" spans="1:22" ht="15" customHeight="1" x14ac:dyDescent="0.25">
      <c r="A373" s="148">
        <v>21</v>
      </c>
      <c r="B373" s="146" t="str">
        <f>IF(Paramètres!BF26=0,"",Paramètres!BF26)</f>
        <v/>
      </c>
      <c r="C373" s="147">
        <f t="shared" si="144"/>
        <v>0</v>
      </c>
      <c r="D373" s="117"/>
      <c r="E373" s="118"/>
      <c r="F373" s="119" t="str">
        <f t="shared" si="145"/>
        <v>/</v>
      </c>
      <c r="G373" s="120" t="str">
        <f>IF(I$351="Error","Error",IF(AND($E$351&lt;&gt;"/",$E$351&gt;'Paramètres - Admin'!$A22),'Paramètres - Admin'!$A23,"/"))</f>
        <v>/</v>
      </c>
      <c r="H373" s="266" t="str">
        <f>IF(G373&lt;&gt;"/",VLOOKUP(G373,COSTS_Barbarian_King[#All],2),"/")</f>
        <v>/</v>
      </c>
      <c r="I373" s="101" t="str">
        <f>IF(G373&lt;&gt;"/",VLOOKUP(G373,COSTS_Barbarian_King[#All],3),"/")</f>
        <v>/</v>
      </c>
      <c r="J373" s="266">
        <f t="shared" si="146"/>
        <v>0</v>
      </c>
      <c r="K373" s="121">
        <f t="shared" si="147"/>
        <v>0</v>
      </c>
      <c r="L373" s="606">
        <v>21</v>
      </c>
      <c r="M373" s="146" t="str">
        <f>IF(Paramètres!BG26=0,"",Paramètres!BG26)</f>
        <v/>
      </c>
      <c r="N373" s="147">
        <f t="shared" si="148"/>
        <v>0</v>
      </c>
      <c r="O373" s="117"/>
      <c r="P373" s="118"/>
      <c r="Q373" s="119" t="str">
        <f t="shared" si="151"/>
        <v>/</v>
      </c>
      <c r="R373" s="120" t="str">
        <f>IF(T$351="Error","Error",IF(AND($P$351&lt;&gt;"/",$P$351&gt;'Paramètres - Admin'!$A22),'Paramètres - Admin'!$A23,"/"))</f>
        <v>/</v>
      </c>
      <c r="S373" s="139" t="str">
        <f>IF(R373&lt;&gt;"/",VLOOKUP(R373,COSTS_Archer_Queen[#All],2),"/")</f>
        <v>/</v>
      </c>
      <c r="T373" s="101" t="str">
        <f>IF(R373&lt;&gt;"/",VLOOKUP(R373,COSTS_Archer_Queen[#All],3),"/")</f>
        <v>/</v>
      </c>
      <c r="U373" s="139">
        <f t="shared" si="149"/>
        <v>0</v>
      </c>
      <c r="V373" s="121">
        <f t="shared" si="150"/>
        <v>0</v>
      </c>
    </row>
    <row r="374" spans="1:22" ht="15" customHeight="1" x14ac:dyDescent="0.25">
      <c r="A374" s="148">
        <v>22</v>
      </c>
      <c r="B374" s="146" t="str">
        <f>IF(Paramètres!BF27=0,"",Paramètres!BF27)</f>
        <v/>
      </c>
      <c r="C374" s="147">
        <f t="shared" si="144"/>
        <v>0</v>
      </c>
      <c r="D374" s="117"/>
      <c r="E374" s="118"/>
      <c r="F374" s="119" t="str">
        <f t="shared" si="145"/>
        <v>/</v>
      </c>
      <c r="G374" s="120" t="str">
        <f>IF(I$351="Error","Error",IF(AND($E$351&lt;&gt;"/",$E$351&gt;'Paramètres - Admin'!$A23),'Paramètres - Admin'!$A24,"/"))</f>
        <v>/</v>
      </c>
      <c r="H374" s="266" t="str">
        <f>IF(G374&lt;&gt;"/",VLOOKUP(G374,COSTS_Barbarian_King[#All],2),"/")</f>
        <v>/</v>
      </c>
      <c r="I374" s="101" t="str">
        <f>IF(G374&lt;&gt;"/",VLOOKUP(G374,COSTS_Barbarian_King[#All],3),"/")</f>
        <v>/</v>
      </c>
      <c r="J374" s="266">
        <f t="shared" si="146"/>
        <v>0</v>
      </c>
      <c r="K374" s="121">
        <f t="shared" si="147"/>
        <v>0</v>
      </c>
      <c r="L374" s="606">
        <v>22</v>
      </c>
      <c r="M374" s="146" t="str">
        <f>IF(Paramètres!BG27=0,"",Paramètres!BG27)</f>
        <v/>
      </c>
      <c r="N374" s="147">
        <f t="shared" si="148"/>
        <v>0</v>
      </c>
      <c r="O374" s="117"/>
      <c r="P374" s="118"/>
      <c r="Q374" s="119" t="str">
        <f t="shared" si="151"/>
        <v>/</v>
      </c>
      <c r="R374" s="120" t="str">
        <f>IF(T$351="Error","Error",IF(AND($P$351&lt;&gt;"/",$P$351&gt;'Paramètres - Admin'!$A23),'Paramètres - Admin'!$A24,"/"))</f>
        <v>/</v>
      </c>
      <c r="S374" s="139" t="str">
        <f>IF(R374&lt;&gt;"/",VLOOKUP(R374,COSTS_Archer_Queen[#All],2),"/")</f>
        <v>/</v>
      </c>
      <c r="T374" s="101" t="str">
        <f>IF(R374&lt;&gt;"/",VLOOKUP(R374,COSTS_Archer_Queen[#All],3),"/")</f>
        <v>/</v>
      </c>
      <c r="U374" s="139">
        <f t="shared" si="149"/>
        <v>0</v>
      </c>
      <c r="V374" s="121">
        <f t="shared" si="150"/>
        <v>0</v>
      </c>
    </row>
    <row r="375" spans="1:22" ht="15" customHeight="1" x14ac:dyDescent="0.25">
      <c r="A375" s="148">
        <v>23</v>
      </c>
      <c r="B375" s="146" t="str">
        <f>IF(Paramètres!BF28=0,"",Paramètres!BF28)</f>
        <v/>
      </c>
      <c r="C375" s="147">
        <f t="shared" si="144"/>
        <v>0</v>
      </c>
      <c r="D375" s="117"/>
      <c r="E375" s="118"/>
      <c r="F375" s="119" t="str">
        <f t="shared" si="145"/>
        <v>/</v>
      </c>
      <c r="G375" s="120" t="str">
        <f>IF(I$351="Error","Error",IF(AND($E$351&lt;&gt;"/",$E$351&gt;'Paramètres - Admin'!$A24),'Paramètres - Admin'!$A25,"/"))</f>
        <v>/</v>
      </c>
      <c r="H375" s="266" t="str">
        <f>IF(G375&lt;&gt;"/",VLOOKUP(G375,COSTS_Barbarian_King[#All],2),"/")</f>
        <v>/</v>
      </c>
      <c r="I375" s="101" t="str">
        <f>IF(G375&lt;&gt;"/",VLOOKUP(G375,COSTS_Barbarian_King[#All],3),"/")</f>
        <v>/</v>
      </c>
      <c r="J375" s="266">
        <f t="shared" si="146"/>
        <v>0</v>
      </c>
      <c r="K375" s="121">
        <f t="shared" si="147"/>
        <v>0</v>
      </c>
      <c r="L375" s="606">
        <v>23</v>
      </c>
      <c r="M375" s="146" t="str">
        <f>IF(Paramètres!BG28=0,"",Paramètres!BG28)</f>
        <v/>
      </c>
      <c r="N375" s="147">
        <f t="shared" si="148"/>
        <v>0</v>
      </c>
      <c r="O375" s="117"/>
      <c r="P375" s="118"/>
      <c r="Q375" s="119" t="str">
        <f t="shared" si="151"/>
        <v>/</v>
      </c>
      <c r="R375" s="120" t="str">
        <f>IF(T$351="Error","Error",IF(AND($P$351&lt;&gt;"/",$P$351&gt;'Paramètres - Admin'!$A24),'Paramètres - Admin'!$A25,"/"))</f>
        <v>/</v>
      </c>
      <c r="S375" s="139" t="str">
        <f>IF(R375&lt;&gt;"/",VLOOKUP(R375,COSTS_Archer_Queen[#All],2),"/")</f>
        <v>/</v>
      </c>
      <c r="T375" s="101" t="str">
        <f>IF(R375&lt;&gt;"/",VLOOKUP(R375,COSTS_Archer_Queen[#All],3),"/")</f>
        <v>/</v>
      </c>
      <c r="U375" s="139">
        <f t="shared" si="149"/>
        <v>0</v>
      </c>
      <c r="V375" s="121">
        <f t="shared" si="150"/>
        <v>0</v>
      </c>
    </row>
    <row r="376" spans="1:22" ht="15" customHeight="1" x14ac:dyDescent="0.25">
      <c r="A376" s="148">
        <v>24</v>
      </c>
      <c r="B376" s="146" t="str">
        <f>IF(Paramètres!BF29=0,"",Paramètres!BF29)</f>
        <v/>
      </c>
      <c r="C376" s="147">
        <f t="shared" si="144"/>
        <v>0</v>
      </c>
      <c r="D376" s="117"/>
      <c r="E376" s="118"/>
      <c r="F376" s="119" t="str">
        <f t="shared" si="145"/>
        <v>/</v>
      </c>
      <c r="G376" s="120" t="str">
        <f>IF(I$351="Error","Error",IF(AND($E$351&lt;&gt;"/",$E$351&gt;'Paramètres - Admin'!$A25),'Paramètres - Admin'!$A26,"/"))</f>
        <v>/</v>
      </c>
      <c r="H376" s="266" t="str">
        <f>IF(G376&lt;&gt;"/",VLOOKUP(G376,COSTS_Barbarian_King[#All],2),"/")</f>
        <v>/</v>
      </c>
      <c r="I376" s="101" t="str">
        <f>IF(G376&lt;&gt;"/",VLOOKUP(G376,COSTS_Barbarian_King[#All],3),"/")</f>
        <v>/</v>
      </c>
      <c r="J376" s="266">
        <f t="shared" si="146"/>
        <v>0</v>
      </c>
      <c r="K376" s="121">
        <f t="shared" si="147"/>
        <v>0</v>
      </c>
      <c r="L376" s="606">
        <v>24</v>
      </c>
      <c r="M376" s="146" t="str">
        <f>IF(Paramètres!BG29=0,"",Paramètres!BG29)</f>
        <v/>
      </c>
      <c r="N376" s="147">
        <f t="shared" si="148"/>
        <v>0</v>
      </c>
      <c r="O376" s="117"/>
      <c r="P376" s="118"/>
      <c r="Q376" s="119" t="str">
        <f t="shared" si="151"/>
        <v>/</v>
      </c>
      <c r="R376" s="120" t="str">
        <f>IF(T$351="Error","Error",IF(AND($P$351&lt;&gt;"/",$P$351&gt;'Paramètres - Admin'!$A25),'Paramètres - Admin'!$A26,"/"))</f>
        <v>/</v>
      </c>
      <c r="S376" s="139" t="str">
        <f>IF(R376&lt;&gt;"/",VLOOKUP(R376,COSTS_Archer_Queen[#All],2),"/")</f>
        <v>/</v>
      </c>
      <c r="T376" s="101" t="str">
        <f>IF(R376&lt;&gt;"/",VLOOKUP(R376,COSTS_Archer_Queen[#All],3),"/")</f>
        <v>/</v>
      </c>
      <c r="U376" s="139">
        <f t="shared" si="149"/>
        <v>0</v>
      </c>
      <c r="V376" s="121">
        <f t="shared" si="150"/>
        <v>0</v>
      </c>
    </row>
    <row r="377" spans="1:22" ht="15" customHeight="1" x14ac:dyDescent="0.25">
      <c r="A377" s="148">
        <v>25</v>
      </c>
      <c r="B377" s="146" t="str">
        <f>IF(Paramètres!BF30=0,"",Paramètres!BF30)</f>
        <v/>
      </c>
      <c r="C377" s="147">
        <f t="shared" si="144"/>
        <v>0</v>
      </c>
      <c r="D377" s="117"/>
      <c r="E377" s="118"/>
      <c r="F377" s="119" t="str">
        <f t="shared" si="145"/>
        <v>/</v>
      </c>
      <c r="G377" s="120" t="str">
        <f>IF(I$351="Error","Error",IF(AND($E$351&lt;&gt;"/",$E$351&gt;'Paramètres - Admin'!$A26),'Paramètres - Admin'!$A27,"/"))</f>
        <v>/</v>
      </c>
      <c r="H377" s="266" t="str">
        <f>IF(G377&lt;&gt;"/",VLOOKUP(G377,COSTS_Barbarian_King[#All],2),"/")</f>
        <v>/</v>
      </c>
      <c r="I377" s="101" t="str">
        <f>IF(G377&lt;&gt;"/",VLOOKUP(G377,COSTS_Barbarian_King[#All],3),"/")</f>
        <v>/</v>
      </c>
      <c r="J377" s="266">
        <f t="shared" si="146"/>
        <v>0</v>
      </c>
      <c r="K377" s="121">
        <f t="shared" si="147"/>
        <v>0</v>
      </c>
      <c r="L377" s="606">
        <v>25</v>
      </c>
      <c r="M377" s="146" t="str">
        <f>IF(Paramètres!BG30=0,"",Paramètres!BG30)</f>
        <v/>
      </c>
      <c r="N377" s="147">
        <f t="shared" si="148"/>
        <v>0</v>
      </c>
      <c r="O377" s="117"/>
      <c r="P377" s="118"/>
      <c r="Q377" s="119" t="str">
        <f t="shared" si="151"/>
        <v>/</v>
      </c>
      <c r="R377" s="120" t="str">
        <f>IF(T$351="Error","Error",IF(AND($P$351&lt;&gt;"/",$P$351&gt;'Paramètres - Admin'!$A26),'Paramètres - Admin'!$A27,"/"))</f>
        <v>/</v>
      </c>
      <c r="S377" s="139" t="str">
        <f>IF(R377&lt;&gt;"/",VLOOKUP(R377,COSTS_Archer_Queen[#All],2),"/")</f>
        <v>/</v>
      </c>
      <c r="T377" s="101" t="str">
        <f>IF(R377&lt;&gt;"/",VLOOKUP(R377,COSTS_Archer_Queen[#All],3),"/")</f>
        <v>/</v>
      </c>
      <c r="U377" s="139">
        <f t="shared" si="149"/>
        <v>0</v>
      </c>
      <c r="V377" s="121">
        <f t="shared" si="150"/>
        <v>0</v>
      </c>
    </row>
    <row r="378" spans="1:22" ht="15" customHeight="1" x14ac:dyDescent="0.25">
      <c r="A378" s="148">
        <v>26</v>
      </c>
      <c r="B378" s="146" t="str">
        <f>IF(Paramètres!BF31=0,"",Paramètres!BF31)</f>
        <v/>
      </c>
      <c r="C378" s="147">
        <f t="shared" si="144"/>
        <v>0</v>
      </c>
      <c r="D378" s="117"/>
      <c r="E378" s="118"/>
      <c r="F378" s="119" t="str">
        <f t="shared" si="145"/>
        <v>/</v>
      </c>
      <c r="G378" s="120" t="str">
        <f>IF(I$351="Error","Error",IF(AND($E$351&lt;&gt;"/",$E$351&gt;'Paramètres - Admin'!$A27),'Paramètres - Admin'!$A28,"/"))</f>
        <v>/</v>
      </c>
      <c r="H378" s="266" t="str">
        <f>IF(G378&lt;&gt;"/",VLOOKUP(G378,COSTS_Barbarian_King[#All],2),"/")</f>
        <v>/</v>
      </c>
      <c r="I378" s="101" t="str">
        <f>IF(G378&lt;&gt;"/",VLOOKUP(G378,COSTS_Barbarian_King[#All],3),"/")</f>
        <v>/</v>
      </c>
      <c r="J378" s="266">
        <f t="shared" si="146"/>
        <v>0</v>
      </c>
      <c r="K378" s="121">
        <f t="shared" si="147"/>
        <v>0</v>
      </c>
      <c r="L378" s="606">
        <v>26</v>
      </c>
      <c r="M378" s="146" t="str">
        <f>IF(Paramètres!BG31=0,"",Paramètres!BG31)</f>
        <v/>
      </c>
      <c r="N378" s="147">
        <f t="shared" si="148"/>
        <v>0</v>
      </c>
      <c r="O378" s="117"/>
      <c r="P378" s="118"/>
      <c r="Q378" s="119" t="str">
        <f t="shared" si="151"/>
        <v>/</v>
      </c>
      <c r="R378" s="120" t="str">
        <f>IF(T$351="Error","Error",IF(AND($P$351&lt;&gt;"/",$P$351&gt;'Paramètres - Admin'!$A27),'Paramètres - Admin'!$A28,"/"))</f>
        <v>/</v>
      </c>
      <c r="S378" s="139" t="str">
        <f>IF(R378&lt;&gt;"/",VLOOKUP(R378,COSTS_Archer_Queen[#All],2),"/")</f>
        <v>/</v>
      </c>
      <c r="T378" s="101" t="str">
        <f>IF(R378&lt;&gt;"/",VLOOKUP(R378,COSTS_Archer_Queen[#All],3),"/")</f>
        <v>/</v>
      </c>
      <c r="U378" s="139">
        <f t="shared" si="149"/>
        <v>0</v>
      </c>
      <c r="V378" s="121">
        <f t="shared" si="150"/>
        <v>0</v>
      </c>
    </row>
    <row r="379" spans="1:22" ht="15" customHeight="1" x14ac:dyDescent="0.25">
      <c r="A379" s="148">
        <v>27</v>
      </c>
      <c r="B379" s="146" t="str">
        <f>IF(Paramètres!BF32=0,"",Paramètres!BF32)</f>
        <v/>
      </c>
      <c r="C379" s="147">
        <f t="shared" si="144"/>
        <v>0</v>
      </c>
      <c r="D379" s="117"/>
      <c r="E379" s="118"/>
      <c r="F379" s="119" t="str">
        <f t="shared" si="145"/>
        <v>/</v>
      </c>
      <c r="G379" s="120" t="str">
        <f>IF(I$351="Error","Error",IF(AND($E$351&lt;&gt;"/",$E$351&gt;'Paramètres - Admin'!$A28),'Paramètres - Admin'!$A29,"/"))</f>
        <v>/</v>
      </c>
      <c r="H379" s="266" t="str">
        <f>IF(G379&lt;&gt;"/",VLOOKUP(G379,COSTS_Barbarian_King[#All],2),"/")</f>
        <v>/</v>
      </c>
      <c r="I379" s="101" t="str">
        <f>IF(G379&lt;&gt;"/",VLOOKUP(G379,COSTS_Barbarian_King[#All],3),"/")</f>
        <v>/</v>
      </c>
      <c r="J379" s="266">
        <f t="shared" si="146"/>
        <v>0</v>
      </c>
      <c r="K379" s="121">
        <f t="shared" si="147"/>
        <v>0</v>
      </c>
      <c r="L379" s="606">
        <v>27</v>
      </c>
      <c r="M379" s="146" t="str">
        <f>IF(Paramètres!BG32=0,"",Paramètres!BG32)</f>
        <v/>
      </c>
      <c r="N379" s="147">
        <f t="shared" si="148"/>
        <v>0</v>
      </c>
      <c r="O379" s="117"/>
      <c r="P379" s="118"/>
      <c r="Q379" s="119" t="str">
        <f t="shared" si="151"/>
        <v>/</v>
      </c>
      <c r="R379" s="120" t="str">
        <f>IF(T$351="Error","Error",IF(AND($P$351&lt;&gt;"/",$P$351&gt;'Paramètres - Admin'!$A28),'Paramètres - Admin'!$A29,"/"))</f>
        <v>/</v>
      </c>
      <c r="S379" s="139" t="str">
        <f>IF(R379&lt;&gt;"/",VLOOKUP(R379,COSTS_Archer_Queen[#All],2),"/")</f>
        <v>/</v>
      </c>
      <c r="T379" s="101" t="str">
        <f>IF(R379&lt;&gt;"/",VLOOKUP(R379,COSTS_Archer_Queen[#All],3),"/")</f>
        <v>/</v>
      </c>
      <c r="U379" s="139">
        <f t="shared" si="149"/>
        <v>0</v>
      </c>
      <c r="V379" s="121">
        <f t="shared" si="150"/>
        <v>0</v>
      </c>
    </row>
    <row r="380" spans="1:22" ht="15" customHeight="1" x14ac:dyDescent="0.25">
      <c r="A380" s="148">
        <v>28</v>
      </c>
      <c r="B380" s="146" t="str">
        <f>IF(Paramètres!BF33=0,"",Paramètres!BF33)</f>
        <v/>
      </c>
      <c r="C380" s="147">
        <f t="shared" si="144"/>
        <v>0</v>
      </c>
      <c r="D380" s="117"/>
      <c r="E380" s="118"/>
      <c r="F380" s="119" t="str">
        <f t="shared" si="145"/>
        <v>/</v>
      </c>
      <c r="G380" s="120" t="str">
        <f>IF(I$351="Error","Error",IF(AND($E$351&lt;&gt;"/",$E$351&gt;'Paramètres - Admin'!$A29),'Paramètres - Admin'!$A30,"/"))</f>
        <v>/</v>
      </c>
      <c r="H380" s="266" t="str">
        <f>IF(G380&lt;&gt;"/",VLOOKUP(G380,COSTS_Barbarian_King[#All],2),"/")</f>
        <v>/</v>
      </c>
      <c r="I380" s="101" t="str">
        <f>IF(G380&lt;&gt;"/",VLOOKUP(G380,COSTS_Barbarian_King[#All],3),"/")</f>
        <v>/</v>
      </c>
      <c r="J380" s="266">
        <f t="shared" si="146"/>
        <v>0</v>
      </c>
      <c r="K380" s="121">
        <f t="shared" si="147"/>
        <v>0</v>
      </c>
      <c r="L380" s="606">
        <v>28</v>
      </c>
      <c r="M380" s="146" t="str">
        <f>IF(Paramètres!BG33=0,"",Paramètres!BG33)</f>
        <v/>
      </c>
      <c r="N380" s="147">
        <f t="shared" si="148"/>
        <v>0</v>
      </c>
      <c r="O380" s="117"/>
      <c r="P380" s="118"/>
      <c r="Q380" s="119" t="str">
        <f t="shared" si="151"/>
        <v>/</v>
      </c>
      <c r="R380" s="120" t="str">
        <f>IF(T$351="Error","Error",IF(AND($P$351&lt;&gt;"/",$P$351&gt;'Paramètres - Admin'!$A29),'Paramètres - Admin'!$A30,"/"))</f>
        <v>/</v>
      </c>
      <c r="S380" s="139" t="str">
        <f>IF(R380&lt;&gt;"/",VLOOKUP(R380,COSTS_Archer_Queen[#All],2),"/")</f>
        <v>/</v>
      </c>
      <c r="T380" s="101" t="str">
        <f>IF(R380&lt;&gt;"/",VLOOKUP(R380,COSTS_Archer_Queen[#All],3),"/")</f>
        <v>/</v>
      </c>
      <c r="U380" s="139">
        <f t="shared" si="149"/>
        <v>0</v>
      </c>
      <c r="V380" s="121">
        <f t="shared" si="150"/>
        <v>0</v>
      </c>
    </row>
    <row r="381" spans="1:22" ht="15" customHeight="1" x14ac:dyDescent="0.25">
      <c r="A381" s="148">
        <v>29</v>
      </c>
      <c r="B381" s="146" t="str">
        <f>IF(Paramètres!BF34=0,"",Paramètres!BF34)</f>
        <v/>
      </c>
      <c r="C381" s="147">
        <f t="shared" si="144"/>
        <v>0</v>
      </c>
      <c r="D381" s="117"/>
      <c r="E381" s="118"/>
      <c r="F381" s="119" t="str">
        <f t="shared" si="145"/>
        <v>/</v>
      </c>
      <c r="G381" s="120" t="str">
        <f>IF(I$351="Error","Error",IF(AND($E$351&lt;&gt;"/",$E$351&gt;'Paramètres - Admin'!$A30),'Paramètres - Admin'!$A31,"/"))</f>
        <v>/</v>
      </c>
      <c r="H381" s="266" t="str">
        <f>IF(G381&lt;&gt;"/",VLOOKUP(G381,COSTS_Barbarian_King[#All],2),"/")</f>
        <v>/</v>
      </c>
      <c r="I381" s="101" t="str">
        <f>IF(G381&lt;&gt;"/",VLOOKUP(G381,COSTS_Barbarian_King[#All],3),"/")</f>
        <v>/</v>
      </c>
      <c r="J381" s="266">
        <f t="shared" si="146"/>
        <v>0</v>
      </c>
      <c r="K381" s="121">
        <f t="shared" si="147"/>
        <v>0</v>
      </c>
      <c r="L381" s="606">
        <v>29</v>
      </c>
      <c r="M381" s="146" t="str">
        <f>IF(Paramètres!BG34=0,"",Paramètres!BG34)</f>
        <v/>
      </c>
      <c r="N381" s="147">
        <f t="shared" si="148"/>
        <v>0</v>
      </c>
      <c r="O381" s="117"/>
      <c r="P381" s="118"/>
      <c r="Q381" s="119" t="str">
        <f t="shared" si="151"/>
        <v>/</v>
      </c>
      <c r="R381" s="120" t="str">
        <f>IF(T$351="Error","Error",IF(AND($P$351&lt;&gt;"/",$P$351&gt;'Paramètres - Admin'!$A30),'Paramètres - Admin'!$A31,"/"))</f>
        <v>/</v>
      </c>
      <c r="S381" s="139" t="str">
        <f>IF(R381&lt;&gt;"/",VLOOKUP(R381,COSTS_Archer_Queen[#All],2),"/")</f>
        <v>/</v>
      </c>
      <c r="T381" s="101" t="str">
        <f>IF(R381&lt;&gt;"/",VLOOKUP(R381,COSTS_Archer_Queen[#All],3),"/")</f>
        <v>/</v>
      </c>
      <c r="U381" s="139">
        <f t="shared" si="149"/>
        <v>0</v>
      </c>
      <c r="V381" s="121">
        <f t="shared" si="150"/>
        <v>0</v>
      </c>
    </row>
    <row r="382" spans="1:22" ht="15" customHeight="1" x14ac:dyDescent="0.25">
      <c r="A382" s="148">
        <v>30</v>
      </c>
      <c r="B382" s="146" t="str">
        <f>IF(Paramètres!BF35=0,"",Paramètres!BF35)</f>
        <v/>
      </c>
      <c r="C382" s="147">
        <f t="shared" si="144"/>
        <v>0</v>
      </c>
      <c r="D382" s="117"/>
      <c r="E382" s="118"/>
      <c r="F382" s="119" t="str">
        <f t="shared" si="145"/>
        <v>/</v>
      </c>
      <c r="G382" s="120" t="str">
        <f>IF(I$351="Error","Error",IF(AND($E$351&lt;&gt;"/",$E$351&gt;'Paramètres - Admin'!$A31),'Paramètres - Admin'!$A32,"/"))</f>
        <v>/</v>
      </c>
      <c r="H382" s="266" t="str">
        <f>IF(G382&lt;&gt;"/",VLOOKUP(G382,COSTS_Barbarian_King[#All],2),"/")</f>
        <v>/</v>
      </c>
      <c r="I382" s="101" t="str">
        <f>IF(G382&lt;&gt;"/",VLOOKUP(G382,COSTS_Barbarian_King[#All],3),"/")</f>
        <v>/</v>
      </c>
      <c r="J382" s="266">
        <f t="shared" si="146"/>
        <v>0</v>
      </c>
      <c r="K382" s="121">
        <f t="shared" si="147"/>
        <v>0</v>
      </c>
      <c r="L382" s="606">
        <v>30</v>
      </c>
      <c r="M382" s="146" t="str">
        <f>IF(Paramètres!BG35=0,"",Paramètres!BG35)</f>
        <v/>
      </c>
      <c r="N382" s="147">
        <f t="shared" si="148"/>
        <v>0</v>
      </c>
      <c r="O382" s="117"/>
      <c r="P382" s="118"/>
      <c r="Q382" s="119" t="str">
        <f t="shared" si="151"/>
        <v>/</v>
      </c>
      <c r="R382" s="120" t="str">
        <f>IF(T$351="Error","Error",IF(AND($P$351&lt;&gt;"/",$P$351&gt;'Paramètres - Admin'!$A31),'Paramètres - Admin'!$A32,"/"))</f>
        <v>/</v>
      </c>
      <c r="S382" s="139" t="str">
        <f>IF(R382&lt;&gt;"/",VLOOKUP(R382,COSTS_Archer_Queen[#All],2),"/")</f>
        <v>/</v>
      </c>
      <c r="T382" s="101" t="str">
        <f>IF(R382&lt;&gt;"/",VLOOKUP(R382,COSTS_Archer_Queen[#All],3),"/")</f>
        <v>/</v>
      </c>
      <c r="U382" s="139">
        <f t="shared" si="149"/>
        <v>0</v>
      </c>
      <c r="V382" s="121">
        <f t="shared" si="150"/>
        <v>0</v>
      </c>
    </row>
    <row r="383" spans="1:22" ht="15" customHeight="1" x14ac:dyDescent="0.25">
      <c r="A383" s="148">
        <v>31</v>
      </c>
      <c r="B383" s="146" t="str">
        <f>IF(Paramètres!BF36=0,"",Paramètres!BF36)</f>
        <v/>
      </c>
      <c r="C383" s="147">
        <f t="shared" si="144"/>
        <v>0</v>
      </c>
      <c r="D383" s="117"/>
      <c r="E383" s="118"/>
      <c r="F383" s="119" t="str">
        <f t="shared" si="145"/>
        <v>/</v>
      </c>
      <c r="G383" s="120" t="str">
        <f>IF(I$351="Error","Error",IF(AND($E$351&lt;&gt;"/",$E$351&gt;'Paramètres - Admin'!$A32),'Paramètres - Admin'!$A33,"/"))</f>
        <v>/</v>
      </c>
      <c r="H383" s="139" t="str">
        <f>IF(G383&lt;&gt;"/",VLOOKUP(G383,COSTS_Barbarian_King[#All],2),"/")</f>
        <v>/</v>
      </c>
      <c r="I383" s="101" t="str">
        <f>IF(G383&lt;&gt;"/",VLOOKUP(G383,COSTS_Barbarian_King[#All],3),"/")</f>
        <v>/</v>
      </c>
      <c r="J383" s="266">
        <f t="shared" si="146"/>
        <v>0</v>
      </c>
      <c r="K383" s="121">
        <f t="shared" si="147"/>
        <v>0</v>
      </c>
      <c r="L383" s="606">
        <v>31</v>
      </c>
      <c r="M383" s="146" t="str">
        <f>IF(Paramètres!BG36=0,"",Paramètres!BG36)</f>
        <v/>
      </c>
      <c r="N383" s="147">
        <f t="shared" si="148"/>
        <v>0</v>
      </c>
      <c r="O383" s="117"/>
      <c r="P383" s="118"/>
      <c r="Q383" s="119" t="str">
        <f t="shared" si="151"/>
        <v>/</v>
      </c>
      <c r="R383" s="120" t="str">
        <f>IF(T$351="Error","Error",IF(AND($P$351&lt;&gt;"/",$P$351&gt;'Paramètres - Admin'!$A32),'Paramètres - Admin'!$A33,"/"))</f>
        <v>/</v>
      </c>
      <c r="S383" s="139" t="str">
        <f>IF(R383&lt;&gt;"/",VLOOKUP(R383,COSTS_Archer_Queen[#All],2),"/")</f>
        <v>/</v>
      </c>
      <c r="T383" s="101" t="str">
        <f>IF(R383&lt;&gt;"/",VLOOKUP(R383,COSTS_Archer_Queen[#All],3),"/")</f>
        <v>/</v>
      </c>
      <c r="U383" s="139">
        <f t="shared" si="149"/>
        <v>0</v>
      </c>
      <c r="V383" s="121">
        <f t="shared" si="150"/>
        <v>0</v>
      </c>
    </row>
    <row r="384" spans="1:22" ht="15" customHeight="1" x14ac:dyDescent="0.25">
      <c r="A384" s="148">
        <v>32</v>
      </c>
      <c r="B384" s="146" t="str">
        <f>IF(Paramètres!BF37=0,"",Paramètres!BF37)</f>
        <v/>
      </c>
      <c r="C384" s="147">
        <f t="shared" si="144"/>
        <v>0</v>
      </c>
      <c r="D384" s="117"/>
      <c r="E384" s="118"/>
      <c r="F384" s="119" t="str">
        <f t="shared" si="145"/>
        <v>/</v>
      </c>
      <c r="G384" s="120" t="str">
        <f>IF(I$351="Error","Error",IF(AND($E$351&lt;&gt;"/",$E$351&gt;'Paramètres - Admin'!$A33),'Paramètres - Admin'!$A34,"/"))</f>
        <v>/</v>
      </c>
      <c r="H384" s="139" t="str">
        <f>IF(G384&lt;&gt;"/",VLOOKUP(G384,COSTS_Barbarian_King[#All],2),"/")</f>
        <v>/</v>
      </c>
      <c r="I384" s="101" t="str">
        <f>IF(G384&lt;&gt;"/",VLOOKUP(G384,COSTS_Barbarian_King[#All],3),"/")</f>
        <v>/</v>
      </c>
      <c r="J384" s="266">
        <f t="shared" si="146"/>
        <v>0</v>
      </c>
      <c r="K384" s="121">
        <f t="shared" si="147"/>
        <v>0</v>
      </c>
      <c r="L384" s="606">
        <v>32</v>
      </c>
      <c r="M384" s="146" t="str">
        <f>IF(Paramètres!BG37=0,"",Paramètres!BG37)</f>
        <v/>
      </c>
      <c r="N384" s="147">
        <f t="shared" si="148"/>
        <v>0</v>
      </c>
      <c r="O384" s="117"/>
      <c r="P384" s="118"/>
      <c r="Q384" s="119" t="str">
        <f t="shared" si="151"/>
        <v>/</v>
      </c>
      <c r="R384" s="120" t="str">
        <f>IF(T$351="Error","Error",IF(AND($P$351&lt;&gt;"/",$P$351&gt;'Paramètres - Admin'!$A33),'Paramètres - Admin'!$A34,"/"))</f>
        <v>/</v>
      </c>
      <c r="S384" s="139" t="str">
        <f>IF(R384&lt;&gt;"/",VLOOKUP(R384,COSTS_Archer_Queen[#All],2),"/")</f>
        <v>/</v>
      </c>
      <c r="T384" s="101" t="str">
        <f>IF(R384&lt;&gt;"/",VLOOKUP(R384,COSTS_Archer_Queen[#All],3),"/")</f>
        <v>/</v>
      </c>
      <c r="U384" s="139">
        <f t="shared" si="149"/>
        <v>0</v>
      </c>
      <c r="V384" s="121">
        <f t="shared" si="150"/>
        <v>0</v>
      </c>
    </row>
    <row r="385" spans="1:84" ht="15" customHeight="1" x14ac:dyDescent="0.25">
      <c r="A385" s="148">
        <v>33</v>
      </c>
      <c r="B385" s="146" t="str">
        <f>IF(Paramètres!BF38=0,"",Paramètres!BF38)</f>
        <v/>
      </c>
      <c r="C385" s="147">
        <f t="shared" si="144"/>
        <v>0</v>
      </c>
      <c r="D385" s="117"/>
      <c r="E385" s="118"/>
      <c r="F385" s="119" t="str">
        <f t="shared" si="145"/>
        <v>/</v>
      </c>
      <c r="G385" s="120" t="str">
        <f>IF(I$351="Error","Error",IF(AND($E$351&lt;&gt;"/",$E$351&gt;'Paramètres - Admin'!$A34),'Paramètres - Admin'!$A35,"/"))</f>
        <v>/</v>
      </c>
      <c r="H385" s="139" t="str">
        <f>IF(G385&lt;&gt;"/",VLOOKUP(G385,COSTS_Barbarian_King[#All],2),"/")</f>
        <v>/</v>
      </c>
      <c r="I385" s="101" t="str">
        <f>IF(G385&lt;&gt;"/",VLOOKUP(G385,COSTS_Barbarian_King[#All],3),"/")</f>
        <v>/</v>
      </c>
      <c r="J385" s="266">
        <f t="shared" si="146"/>
        <v>0</v>
      </c>
      <c r="K385" s="121">
        <f t="shared" si="147"/>
        <v>0</v>
      </c>
      <c r="L385" s="606">
        <v>33</v>
      </c>
      <c r="M385" s="146" t="str">
        <f>IF(Paramètres!BG38=0,"",Paramètres!BG38)</f>
        <v/>
      </c>
      <c r="N385" s="147">
        <f t="shared" si="148"/>
        <v>0</v>
      </c>
      <c r="O385" s="117"/>
      <c r="P385" s="118"/>
      <c r="Q385" s="119" t="str">
        <f t="shared" si="151"/>
        <v>/</v>
      </c>
      <c r="R385" s="120" t="str">
        <f>IF(T$351="Error","Error",IF(AND($P$351&lt;&gt;"/",$P$351&gt;'Paramètres - Admin'!$A34),'Paramètres - Admin'!$A35,"/"))</f>
        <v>/</v>
      </c>
      <c r="S385" s="139" t="str">
        <f>IF(R385&lt;&gt;"/",VLOOKUP(R385,COSTS_Archer_Queen[#All],2),"/")</f>
        <v>/</v>
      </c>
      <c r="T385" s="101" t="str">
        <f>IF(R385&lt;&gt;"/",VLOOKUP(R385,COSTS_Archer_Queen[#All],3),"/")</f>
        <v>/</v>
      </c>
      <c r="U385" s="139">
        <f t="shared" si="149"/>
        <v>0</v>
      </c>
      <c r="V385" s="121">
        <f t="shared" si="150"/>
        <v>0</v>
      </c>
      <c r="BV385" s="637"/>
      <c r="BW385" s="637"/>
      <c r="BX385" s="637"/>
      <c r="BY385" s="637"/>
      <c r="BZ385" s="637"/>
      <c r="CA385" s="637"/>
      <c r="CB385" s="637"/>
      <c r="CC385" s="637"/>
      <c r="CD385" s="637"/>
      <c r="CE385" s="637"/>
      <c r="CF385" s="637"/>
    </row>
    <row r="386" spans="1:84" ht="15" customHeight="1" x14ac:dyDescent="0.25">
      <c r="A386" s="148">
        <v>34</v>
      </c>
      <c r="B386" s="146" t="str">
        <f>IF(Paramètres!BF39=0,"",Paramètres!BF39)</f>
        <v/>
      </c>
      <c r="C386" s="147">
        <f t="shared" si="144"/>
        <v>0</v>
      </c>
      <c r="D386" s="117"/>
      <c r="E386" s="118"/>
      <c r="F386" s="119" t="str">
        <f t="shared" si="145"/>
        <v>/</v>
      </c>
      <c r="G386" s="120" t="str">
        <f>IF(I$351="Error","Error",IF(AND($E$351&lt;&gt;"/",$E$351&gt;'Paramètres - Admin'!$A35),'Paramètres - Admin'!$A36,"/"))</f>
        <v>/</v>
      </c>
      <c r="H386" s="139" t="str">
        <f>IF(G386&lt;&gt;"/",VLOOKUP(G386,COSTS_Barbarian_King[#All],2),"/")</f>
        <v>/</v>
      </c>
      <c r="I386" s="101" t="str">
        <f>IF(G386&lt;&gt;"/",VLOOKUP(G386,COSTS_Barbarian_King[#All],3),"/")</f>
        <v>/</v>
      </c>
      <c r="J386" s="266">
        <f t="shared" si="146"/>
        <v>0</v>
      </c>
      <c r="K386" s="121">
        <f t="shared" si="147"/>
        <v>0</v>
      </c>
      <c r="L386" s="606">
        <v>34</v>
      </c>
      <c r="M386" s="146" t="str">
        <f>IF(Paramètres!BG39=0,"",Paramètres!BG39)</f>
        <v/>
      </c>
      <c r="N386" s="147">
        <f t="shared" si="148"/>
        <v>0</v>
      </c>
      <c r="O386" s="117"/>
      <c r="P386" s="118"/>
      <c r="Q386" s="119" t="str">
        <f t="shared" si="151"/>
        <v>/</v>
      </c>
      <c r="R386" s="120" t="str">
        <f>IF(T$351="Error","Error",IF(AND($P$351&lt;&gt;"/",$P$351&gt;'Paramètres - Admin'!$A35),'Paramètres - Admin'!$A36,"/"))</f>
        <v>/</v>
      </c>
      <c r="S386" s="139" t="str">
        <f>IF(R386&lt;&gt;"/",VLOOKUP(R386,COSTS_Archer_Queen[#All],2),"/")</f>
        <v>/</v>
      </c>
      <c r="T386" s="101" t="str">
        <f>IF(R386&lt;&gt;"/",VLOOKUP(R386,COSTS_Archer_Queen[#All],3),"/")</f>
        <v>/</v>
      </c>
      <c r="U386" s="139">
        <f t="shared" si="149"/>
        <v>0</v>
      </c>
      <c r="V386" s="121">
        <f t="shared" si="150"/>
        <v>0</v>
      </c>
      <c r="BV386" s="637"/>
      <c r="BW386" s="637"/>
      <c r="BX386" s="637"/>
      <c r="BY386" s="637"/>
      <c r="BZ386" s="637"/>
      <c r="CA386" s="637"/>
      <c r="CB386" s="637"/>
      <c r="CC386" s="637"/>
      <c r="CD386" s="637"/>
      <c r="CE386" s="637"/>
      <c r="CF386" s="637"/>
    </row>
    <row r="387" spans="1:84" ht="15" customHeight="1" x14ac:dyDescent="0.25">
      <c r="A387" s="148">
        <v>35</v>
      </c>
      <c r="B387" s="146" t="str">
        <f>IF(Paramètres!BF40=0,"",Paramètres!BF40)</f>
        <v/>
      </c>
      <c r="C387" s="147">
        <f t="shared" si="144"/>
        <v>0</v>
      </c>
      <c r="D387" s="117"/>
      <c r="E387" s="118"/>
      <c r="F387" s="119" t="str">
        <f t="shared" si="145"/>
        <v>/</v>
      </c>
      <c r="G387" s="120" t="str">
        <f>IF(I$351="Error","Error",IF(AND($E$351&lt;&gt;"/",$E$351&gt;'Paramètres - Admin'!$A36),'Paramètres - Admin'!$A37,"/"))</f>
        <v>/</v>
      </c>
      <c r="H387" s="139" t="str">
        <f>IF(G387&lt;&gt;"/",VLOOKUP(G387,COSTS_Barbarian_King[#All],2),"/")</f>
        <v>/</v>
      </c>
      <c r="I387" s="101" t="str">
        <f>IF(G387&lt;&gt;"/",VLOOKUP(G387,COSTS_Barbarian_King[#All],3),"/")</f>
        <v>/</v>
      </c>
      <c r="J387" s="266">
        <f t="shared" si="146"/>
        <v>0</v>
      </c>
      <c r="K387" s="121">
        <f t="shared" si="147"/>
        <v>0</v>
      </c>
      <c r="L387" s="606">
        <v>35</v>
      </c>
      <c r="M387" s="146" t="str">
        <f>IF(Paramètres!BG40=0,"",Paramètres!BG40)</f>
        <v/>
      </c>
      <c r="N387" s="147">
        <f t="shared" si="148"/>
        <v>0</v>
      </c>
      <c r="O387" s="117"/>
      <c r="P387" s="118"/>
      <c r="Q387" s="119" t="str">
        <f t="shared" si="151"/>
        <v>/</v>
      </c>
      <c r="R387" s="120" t="str">
        <f>IF(T$351="Error","Error",IF(AND($P$351&lt;&gt;"/",$P$351&gt;'Paramètres - Admin'!$A36),'Paramètres - Admin'!$A37,"/"))</f>
        <v>/</v>
      </c>
      <c r="S387" s="139" t="str">
        <f>IF(R387&lt;&gt;"/",VLOOKUP(R387,COSTS_Archer_Queen[#All],2),"/")</f>
        <v>/</v>
      </c>
      <c r="T387" s="101" t="str">
        <f>IF(R387&lt;&gt;"/",VLOOKUP(R387,COSTS_Archer_Queen[#All],3),"/")</f>
        <v>/</v>
      </c>
      <c r="U387" s="139">
        <f t="shared" si="149"/>
        <v>0</v>
      </c>
      <c r="V387" s="121">
        <f t="shared" si="150"/>
        <v>0</v>
      </c>
      <c r="BV387" s="637"/>
      <c r="BW387" s="637"/>
      <c r="BX387" s="637"/>
      <c r="BY387" s="637"/>
      <c r="BZ387" s="637"/>
      <c r="CA387" s="637"/>
      <c r="CB387" s="637"/>
      <c r="CC387" s="637"/>
      <c r="CD387" s="637"/>
      <c r="CE387" s="637"/>
      <c r="CF387" s="637"/>
    </row>
    <row r="388" spans="1:84" ht="15" customHeight="1" x14ac:dyDescent="0.25">
      <c r="A388" s="148">
        <v>36</v>
      </c>
      <c r="B388" s="146" t="str">
        <f>IF(Paramètres!BF41=0,"",Paramètres!BF41)</f>
        <v/>
      </c>
      <c r="C388" s="147">
        <f t="shared" si="144"/>
        <v>0</v>
      </c>
      <c r="D388" s="117"/>
      <c r="E388" s="118"/>
      <c r="F388" s="119" t="str">
        <f t="shared" si="145"/>
        <v>/</v>
      </c>
      <c r="G388" s="120" t="str">
        <f>IF(I$351="Error","Error",IF(AND($E$351&lt;&gt;"/",$E$351&gt;'Paramètres - Admin'!$A37),'Paramètres - Admin'!$A38,"/"))</f>
        <v>/</v>
      </c>
      <c r="H388" s="139" t="str">
        <f>IF(G388&lt;&gt;"/",VLOOKUP(G388,COSTS_Barbarian_King[#All],2),"/")</f>
        <v>/</v>
      </c>
      <c r="I388" s="101" t="str">
        <f>IF(G388&lt;&gt;"/",VLOOKUP(G388,COSTS_Barbarian_King[#All],3),"/")</f>
        <v>/</v>
      </c>
      <c r="J388" s="266">
        <f t="shared" si="146"/>
        <v>0</v>
      </c>
      <c r="K388" s="121">
        <f t="shared" si="147"/>
        <v>0</v>
      </c>
      <c r="L388" s="606">
        <v>36</v>
      </c>
      <c r="M388" s="146" t="str">
        <f>IF(Paramètres!BG41=0,"",Paramètres!BG41)</f>
        <v/>
      </c>
      <c r="N388" s="147">
        <f t="shared" si="148"/>
        <v>0</v>
      </c>
      <c r="O388" s="117"/>
      <c r="P388" s="118"/>
      <c r="Q388" s="119" t="str">
        <f t="shared" si="151"/>
        <v>/</v>
      </c>
      <c r="R388" s="120" t="str">
        <f>IF(T$351="Error","Error",IF(AND($P$351&lt;&gt;"/",$P$351&gt;'Paramètres - Admin'!$A37),'Paramètres - Admin'!$A38,"/"))</f>
        <v>/</v>
      </c>
      <c r="S388" s="139" t="str">
        <f>IF(R388&lt;&gt;"/",VLOOKUP(R388,COSTS_Archer_Queen[#All],2),"/")</f>
        <v>/</v>
      </c>
      <c r="T388" s="101" t="str">
        <f>IF(R388&lt;&gt;"/",VLOOKUP(R388,COSTS_Archer_Queen[#All],3),"/")</f>
        <v>/</v>
      </c>
      <c r="U388" s="139">
        <f t="shared" si="149"/>
        <v>0</v>
      </c>
      <c r="V388" s="121">
        <f t="shared" si="150"/>
        <v>0</v>
      </c>
      <c r="BV388" s="637"/>
      <c r="BW388" s="637"/>
      <c r="BX388" s="637"/>
      <c r="BY388" s="637"/>
      <c r="BZ388" s="637"/>
      <c r="CA388" s="637"/>
      <c r="CB388" s="637"/>
      <c r="CC388" s="637"/>
      <c r="CD388" s="637"/>
      <c r="CE388" s="637"/>
      <c r="CF388" s="637"/>
    </row>
    <row r="389" spans="1:84" ht="15" customHeight="1" x14ac:dyDescent="0.25">
      <c r="A389" s="148">
        <v>37</v>
      </c>
      <c r="B389" s="146" t="str">
        <f>IF(Paramètres!BF42=0,"",Paramètres!BF42)</f>
        <v/>
      </c>
      <c r="C389" s="147">
        <f t="shared" si="144"/>
        <v>0</v>
      </c>
      <c r="D389" s="117"/>
      <c r="E389" s="118"/>
      <c r="F389" s="119" t="str">
        <f t="shared" si="145"/>
        <v>/</v>
      </c>
      <c r="G389" s="120" t="str">
        <f>IF(I$351="Error","Error",IF(AND($E$351&lt;&gt;"/",$E$351&gt;'Paramètres - Admin'!$A38),'Paramètres - Admin'!$A39,"/"))</f>
        <v>/</v>
      </c>
      <c r="H389" s="139" t="str">
        <f>IF(G389&lt;&gt;"/",VLOOKUP(G389,COSTS_Barbarian_King[#All],2),"/")</f>
        <v>/</v>
      </c>
      <c r="I389" s="101" t="str">
        <f>IF(G389&lt;&gt;"/",VLOOKUP(G389,COSTS_Barbarian_King[#All],3),"/")</f>
        <v>/</v>
      </c>
      <c r="J389" s="266">
        <f t="shared" si="146"/>
        <v>0</v>
      </c>
      <c r="K389" s="121">
        <f t="shared" si="147"/>
        <v>0</v>
      </c>
      <c r="L389" s="606">
        <v>37</v>
      </c>
      <c r="M389" s="146" t="str">
        <f>IF(Paramètres!BG42=0,"",Paramètres!BG42)</f>
        <v/>
      </c>
      <c r="N389" s="147">
        <f t="shared" si="148"/>
        <v>0</v>
      </c>
      <c r="O389" s="117"/>
      <c r="P389" s="118"/>
      <c r="Q389" s="119" t="str">
        <f t="shared" si="151"/>
        <v>/</v>
      </c>
      <c r="R389" s="120" t="str">
        <f>IF(T$351="Error","Error",IF(AND($P$351&lt;&gt;"/",$P$351&gt;'Paramètres - Admin'!$A38),'Paramètres - Admin'!$A39,"/"))</f>
        <v>/</v>
      </c>
      <c r="S389" s="139" t="str">
        <f>IF(R389&lt;&gt;"/",VLOOKUP(R389,COSTS_Archer_Queen[#All],2),"/")</f>
        <v>/</v>
      </c>
      <c r="T389" s="101" t="str">
        <f>IF(R389&lt;&gt;"/",VLOOKUP(R389,COSTS_Archer_Queen[#All],3),"/")</f>
        <v>/</v>
      </c>
      <c r="U389" s="139">
        <f t="shared" si="149"/>
        <v>0</v>
      </c>
      <c r="V389" s="121">
        <f t="shared" si="150"/>
        <v>0</v>
      </c>
      <c r="BK389" s="637"/>
      <c r="BL389" s="637"/>
      <c r="BM389" s="637"/>
      <c r="BN389" s="637"/>
      <c r="BO389" s="637"/>
      <c r="BP389" s="637"/>
      <c r="BQ389" s="637"/>
      <c r="BR389" s="637"/>
      <c r="BS389" s="637"/>
      <c r="BT389" s="637"/>
      <c r="BU389" s="637"/>
      <c r="BV389" s="637"/>
      <c r="BW389" s="637"/>
      <c r="BX389" s="637"/>
      <c r="BY389" s="637"/>
      <c r="BZ389" s="637"/>
      <c r="CA389" s="637"/>
      <c r="CB389" s="637"/>
      <c r="CC389" s="637"/>
      <c r="CD389" s="637"/>
      <c r="CE389" s="637"/>
      <c r="CF389" s="637"/>
    </row>
    <row r="390" spans="1:84" ht="15" customHeight="1" x14ac:dyDescent="0.25">
      <c r="A390" s="148">
        <v>38</v>
      </c>
      <c r="B390" s="146" t="str">
        <f>IF(Paramètres!BF43=0,"",Paramètres!BF43)</f>
        <v/>
      </c>
      <c r="C390" s="147">
        <f t="shared" si="144"/>
        <v>0</v>
      </c>
      <c r="D390" s="117"/>
      <c r="E390" s="118"/>
      <c r="F390" s="119" t="str">
        <f t="shared" si="145"/>
        <v>/</v>
      </c>
      <c r="G390" s="120" t="str">
        <f>IF(I$351="Error","Error",IF(AND($E$351&lt;&gt;"/",$E$351&gt;'Paramètres - Admin'!$A39),'Paramètres - Admin'!$A40,"/"))</f>
        <v>/</v>
      </c>
      <c r="H390" s="139" t="str">
        <f>IF(G390&lt;&gt;"/",VLOOKUP(G390,COSTS_Barbarian_King[#All],2),"/")</f>
        <v>/</v>
      </c>
      <c r="I390" s="101" t="str">
        <f>IF(G390&lt;&gt;"/",VLOOKUP(G390,COSTS_Barbarian_King[#All],3),"/")</f>
        <v>/</v>
      </c>
      <c r="J390" s="266">
        <f t="shared" si="146"/>
        <v>0</v>
      </c>
      <c r="K390" s="121">
        <f t="shared" si="147"/>
        <v>0</v>
      </c>
      <c r="L390" s="606">
        <v>38</v>
      </c>
      <c r="M390" s="146" t="str">
        <f>IF(Paramètres!BG43=0,"",Paramètres!BG43)</f>
        <v/>
      </c>
      <c r="N390" s="147">
        <f t="shared" si="148"/>
        <v>0</v>
      </c>
      <c r="O390" s="117"/>
      <c r="P390" s="118"/>
      <c r="Q390" s="119" t="str">
        <f t="shared" si="151"/>
        <v>/</v>
      </c>
      <c r="R390" s="120" t="str">
        <f>IF(T$351="Error","Error",IF(AND($P$351&lt;&gt;"/",$P$351&gt;'Paramètres - Admin'!$A39),'Paramètres - Admin'!$A40,"/"))</f>
        <v>/</v>
      </c>
      <c r="S390" s="139" t="str">
        <f>IF(R390&lt;&gt;"/",VLOOKUP(R390,COSTS_Archer_Queen[#All],2),"/")</f>
        <v>/</v>
      </c>
      <c r="T390" s="101" t="str">
        <f>IF(R390&lt;&gt;"/",VLOOKUP(R390,COSTS_Archer_Queen[#All],3),"/")</f>
        <v>/</v>
      </c>
      <c r="U390" s="139">
        <f t="shared" si="149"/>
        <v>0</v>
      </c>
      <c r="V390" s="121">
        <f t="shared" si="150"/>
        <v>0</v>
      </c>
      <c r="BK390" s="637"/>
      <c r="BL390" s="637"/>
      <c r="BM390" s="637"/>
      <c r="BN390" s="637"/>
      <c r="BO390" s="637"/>
      <c r="BP390" s="637"/>
      <c r="BQ390" s="637"/>
      <c r="BR390" s="637"/>
      <c r="BS390" s="637"/>
      <c r="BT390" s="637"/>
      <c r="BU390" s="637"/>
      <c r="BV390" s="637"/>
      <c r="BW390" s="637"/>
      <c r="BX390" s="637"/>
      <c r="BY390" s="637"/>
      <c r="BZ390" s="637"/>
      <c r="CA390" s="637"/>
      <c r="CB390" s="637"/>
      <c r="CC390" s="637"/>
      <c r="CD390" s="637"/>
      <c r="CE390" s="637"/>
      <c r="CF390" s="637"/>
    </row>
    <row r="391" spans="1:84" ht="15" customHeight="1" x14ac:dyDescent="0.25">
      <c r="A391" s="148">
        <v>39</v>
      </c>
      <c r="B391" s="146" t="str">
        <f>IF(Paramètres!BF44=0,"",Paramètres!BF44)</f>
        <v/>
      </c>
      <c r="C391" s="147">
        <f t="shared" si="144"/>
        <v>0</v>
      </c>
      <c r="D391" s="117"/>
      <c r="E391" s="118"/>
      <c r="F391" s="119" t="str">
        <f t="shared" si="145"/>
        <v>/</v>
      </c>
      <c r="G391" s="120" t="str">
        <f>IF(I$351="Error","Error",IF(AND($E$351&lt;&gt;"/",$E$351&gt;'Paramètres - Admin'!$A40),'Paramètres - Admin'!$A41,"/"))</f>
        <v>/</v>
      </c>
      <c r="H391" s="139" t="str">
        <f>IF(G391&lt;&gt;"/",VLOOKUP(G391,COSTS_Barbarian_King[#All],2),"/")</f>
        <v>/</v>
      </c>
      <c r="I391" s="101" t="str">
        <f>IF(G391&lt;&gt;"/",VLOOKUP(G391,COSTS_Barbarian_King[#All],3),"/")</f>
        <v>/</v>
      </c>
      <c r="J391" s="266">
        <f t="shared" si="146"/>
        <v>0</v>
      </c>
      <c r="K391" s="121">
        <f t="shared" si="147"/>
        <v>0</v>
      </c>
      <c r="L391" s="606">
        <v>39</v>
      </c>
      <c r="M391" s="146" t="str">
        <f>IF(Paramètres!BG44=0,"",Paramètres!BG44)</f>
        <v/>
      </c>
      <c r="N391" s="147">
        <f t="shared" si="148"/>
        <v>0</v>
      </c>
      <c r="O391" s="117"/>
      <c r="P391" s="118"/>
      <c r="Q391" s="119" t="str">
        <f t="shared" si="151"/>
        <v>/</v>
      </c>
      <c r="R391" s="120" t="str">
        <f>IF(T$351="Error","Error",IF(AND($P$351&lt;&gt;"/",$P$351&gt;'Paramètres - Admin'!$A40),'Paramètres - Admin'!$A41,"/"))</f>
        <v>/</v>
      </c>
      <c r="S391" s="139" t="str">
        <f>IF(R391&lt;&gt;"/",VLOOKUP(R391,COSTS_Archer_Queen[#All],2),"/")</f>
        <v>/</v>
      </c>
      <c r="T391" s="101" t="str">
        <f>IF(R391&lt;&gt;"/",VLOOKUP(R391,COSTS_Archer_Queen[#All],3),"/")</f>
        <v>/</v>
      </c>
      <c r="U391" s="139">
        <f t="shared" si="149"/>
        <v>0</v>
      </c>
      <c r="V391" s="121">
        <f t="shared" si="150"/>
        <v>0</v>
      </c>
      <c r="AO391" s="637"/>
      <c r="AP391" s="637"/>
      <c r="AQ391" s="637"/>
      <c r="AR391" s="637"/>
      <c r="AS391" s="637"/>
      <c r="AT391" s="637"/>
      <c r="AU391" s="637"/>
      <c r="AV391" s="637"/>
      <c r="AW391" s="637"/>
      <c r="AX391" s="637"/>
      <c r="AY391" s="637"/>
      <c r="BK391" s="637"/>
      <c r="BL391" s="637"/>
      <c r="BM391" s="637"/>
      <c r="BN391" s="637"/>
      <c r="BO391" s="637"/>
      <c r="BP391" s="637"/>
      <c r="BQ391" s="637"/>
      <c r="BR391" s="637"/>
      <c r="BS391" s="637"/>
      <c r="BT391" s="637"/>
      <c r="BU391" s="637"/>
      <c r="BV391" s="637"/>
      <c r="BW391" s="637"/>
      <c r="BX391" s="637"/>
      <c r="BY391" s="637"/>
      <c r="BZ391" s="637"/>
      <c r="CA391" s="637"/>
      <c r="CB391" s="637"/>
      <c r="CC391" s="637"/>
      <c r="CD391" s="637"/>
      <c r="CE391" s="637"/>
      <c r="CF391" s="637"/>
    </row>
    <row r="392" spans="1:84" ht="15" customHeight="1" thickBot="1" x14ac:dyDescent="0.3">
      <c r="A392" s="148">
        <v>40</v>
      </c>
      <c r="B392" s="146" t="str">
        <f>IF(Paramètres!BF45=0,"",Paramètres!BF45)</f>
        <v/>
      </c>
      <c r="C392" s="147">
        <f t="shared" si="144"/>
        <v>0</v>
      </c>
      <c r="D392" s="117"/>
      <c r="E392" s="118"/>
      <c r="F392" s="132" t="str">
        <f t="shared" si="145"/>
        <v>/</v>
      </c>
      <c r="G392" s="130" t="str">
        <f>IF(I$351="Error","Error",IF(AND($E$351&lt;&gt;"/",$E$351&gt;'Paramètres - Admin'!$A41),'Paramètres - Admin'!$A42,"/"))</f>
        <v>/</v>
      </c>
      <c r="H392" s="234" t="str">
        <f>IF(G392&lt;&gt;"/",VLOOKUP(G392,COSTS_Barbarian_King[#All],2),"/")</f>
        <v>/</v>
      </c>
      <c r="I392" s="127" t="str">
        <f>IF(G392&lt;&gt;"/",VLOOKUP(G392,COSTS_Barbarian_King[#All],3),"/")</f>
        <v>/</v>
      </c>
      <c r="J392" s="266">
        <f t="shared" si="146"/>
        <v>0</v>
      </c>
      <c r="K392" s="131">
        <f t="shared" si="147"/>
        <v>0</v>
      </c>
      <c r="L392" s="606">
        <v>40</v>
      </c>
      <c r="M392" s="146" t="str">
        <f>IF(Paramètres!BG45=0,"",Paramètres!BG45)</f>
        <v/>
      </c>
      <c r="N392" s="147">
        <f t="shared" si="148"/>
        <v>0</v>
      </c>
      <c r="O392" s="117"/>
      <c r="P392" s="118"/>
      <c r="Q392" s="132" t="str">
        <f t="shared" si="151"/>
        <v>/</v>
      </c>
      <c r="R392" s="130" t="str">
        <f>IF(T$351="Error","Error",IF(AND($P$351&lt;&gt;"/",$P$351&gt;'Paramètres - Admin'!$A41),'Paramètres - Admin'!$A42,"/"))</f>
        <v>/</v>
      </c>
      <c r="S392" s="234" t="str">
        <f>IF(R392&lt;&gt;"/",VLOOKUP(R392,COSTS_Archer_Queen[#All],2),"/")</f>
        <v>/</v>
      </c>
      <c r="T392" s="127" t="str">
        <f>IF(R392&lt;&gt;"/",VLOOKUP(R392,COSTS_Archer_Queen[#All],3),"/")</f>
        <v>/</v>
      </c>
      <c r="U392" s="234">
        <f t="shared" si="149"/>
        <v>0</v>
      </c>
      <c r="V392" s="131">
        <f t="shared" si="150"/>
        <v>0</v>
      </c>
      <c r="AO392" s="637"/>
      <c r="AP392" s="637"/>
      <c r="AQ392" s="637"/>
      <c r="AR392" s="637"/>
      <c r="AS392" s="637"/>
      <c r="AT392" s="637"/>
      <c r="AU392" s="637"/>
      <c r="AV392" s="637"/>
      <c r="AW392" s="637"/>
      <c r="AX392" s="637"/>
      <c r="AY392" s="637"/>
      <c r="BK392" s="637"/>
      <c r="BL392" s="637"/>
      <c r="BM392" s="637"/>
      <c r="BN392" s="637"/>
      <c r="BO392" s="637"/>
      <c r="BP392" s="637"/>
      <c r="BQ392" s="637"/>
      <c r="BR392" s="637"/>
      <c r="BS392" s="637"/>
      <c r="BT392" s="637"/>
      <c r="BU392" s="637"/>
      <c r="BV392" s="637"/>
      <c r="BW392" s="637"/>
      <c r="BX392" s="637"/>
      <c r="BY392" s="637"/>
      <c r="BZ392" s="637"/>
      <c r="CA392" s="637"/>
      <c r="CB392" s="637"/>
      <c r="CC392" s="637"/>
      <c r="CD392" s="637"/>
      <c r="CE392" s="637"/>
      <c r="CF392" s="637"/>
    </row>
    <row r="393" spans="1:84" s="637" customFormat="1" ht="15" customHeight="1" thickBot="1" x14ac:dyDescent="0.3">
      <c r="A393" s="1106"/>
      <c r="B393" s="1148"/>
      <c r="C393" s="1148"/>
      <c r="D393" s="1148"/>
      <c r="E393" s="1148"/>
      <c r="F393" s="1148"/>
      <c r="G393" s="1148"/>
      <c r="H393" s="1149"/>
      <c r="I393" s="614" t="s">
        <v>31</v>
      </c>
      <c r="J393" s="270">
        <f>IF(I$351="Error","Error",SUM(J353:J392))</f>
        <v>0</v>
      </c>
      <c r="K393" s="268">
        <f>IF(I$351="Error","Error",SUM(K353:K392))</f>
        <v>0</v>
      </c>
      <c r="L393" s="1106"/>
      <c r="M393" s="1148"/>
      <c r="N393" s="1148"/>
      <c r="O393" s="1148"/>
      <c r="P393" s="1148"/>
      <c r="Q393" s="1148"/>
      <c r="R393" s="1148"/>
      <c r="S393" s="1149"/>
      <c r="T393" s="614" t="s">
        <v>31</v>
      </c>
      <c r="U393" s="270">
        <f>IF(T$351="Error","Error",SUM(U353:U392))</f>
        <v>0</v>
      </c>
      <c r="V393" s="268">
        <f>IF(T$351="Error","Error",SUM(V353:V392))</f>
        <v>0</v>
      </c>
    </row>
    <row r="394" spans="1:84" s="637" customFormat="1" ht="15" customHeight="1" x14ac:dyDescent="0.25">
      <c r="A394" s="153"/>
      <c r="B394" s="153"/>
      <c r="C394" s="153"/>
      <c r="D394" s="153"/>
      <c r="E394" s="153"/>
      <c r="F394" s="153"/>
      <c r="G394" s="152"/>
      <c r="H394" s="152"/>
      <c r="I394" s="152"/>
      <c r="J394" s="152"/>
      <c r="K394" s="152"/>
      <c r="L394" s="152"/>
      <c r="M394" s="152"/>
      <c r="N394" s="152"/>
      <c r="O394" s="152"/>
      <c r="P394" s="152"/>
      <c r="Q394" s="152"/>
      <c r="R394" s="152"/>
      <c r="S394" s="152"/>
      <c r="T394" s="152"/>
      <c r="U394" s="152"/>
      <c r="V394" s="152"/>
    </row>
    <row r="395" spans="1:84" s="637" customFormat="1" ht="15" customHeight="1" x14ac:dyDescent="0.25">
      <c r="A395" s="153"/>
      <c r="B395" s="153"/>
      <c r="C395" s="153"/>
      <c r="D395" s="153"/>
      <c r="E395" s="153"/>
      <c r="F395" s="153"/>
    </row>
    <row r="396" spans="1:84" s="637" customFormat="1" ht="20.100000000000001" customHeight="1" x14ac:dyDescent="0.25"/>
    <row r="397" spans="1:84" s="637" customFormat="1" ht="15" customHeight="1" x14ac:dyDescent="0.25"/>
    <row r="398" spans="1:84" s="637" customFormat="1" ht="15" customHeight="1" x14ac:dyDescent="0.25"/>
    <row r="399" spans="1:84" s="637" customFormat="1" ht="15" customHeight="1" x14ac:dyDescent="0.25"/>
    <row r="400" spans="1:84" s="637" customFormat="1" ht="15" customHeight="1" x14ac:dyDescent="0.25">
      <c r="BV400" s="152"/>
      <c r="BW400" s="152"/>
      <c r="BX400" s="152"/>
      <c r="BY400" s="152"/>
      <c r="BZ400" s="152"/>
      <c r="CA400" s="152"/>
      <c r="CB400" s="152"/>
      <c r="CC400" s="152"/>
      <c r="CD400" s="152"/>
      <c r="CE400" s="152"/>
      <c r="CF400" s="152"/>
    </row>
    <row r="401" spans="1:84" s="637" customFormat="1" ht="15" customHeight="1" x14ac:dyDescent="0.25">
      <c r="BV401" s="152"/>
      <c r="BW401" s="152"/>
      <c r="BX401" s="152"/>
      <c r="BY401" s="152"/>
      <c r="BZ401" s="152"/>
      <c r="CA401" s="152"/>
      <c r="CB401" s="152"/>
      <c r="CC401" s="152"/>
      <c r="CD401" s="152"/>
      <c r="CE401" s="152"/>
      <c r="CF401" s="152"/>
    </row>
    <row r="402" spans="1:84" s="637" customFormat="1" ht="15" customHeight="1" x14ac:dyDescent="0.25">
      <c r="BV402" s="152"/>
      <c r="BW402" s="152"/>
      <c r="BX402" s="152"/>
      <c r="BY402" s="152"/>
      <c r="BZ402" s="152"/>
      <c r="CA402" s="152"/>
      <c r="CB402" s="152"/>
      <c r="CC402" s="152"/>
      <c r="CD402" s="152"/>
      <c r="CE402" s="152"/>
      <c r="CF402" s="152"/>
    </row>
    <row r="403" spans="1:84" s="637" customFormat="1" ht="15" customHeight="1" x14ac:dyDescent="0.25"/>
    <row r="404" spans="1:84" s="637" customFormat="1" ht="15" customHeight="1" x14ac:dyDescent="0.25">
      <c r="BK404" s="152"/>
      <c r="BL404" s="152"/>
      <c r="BM404" s="152"/>
      <c r="BN404" s="152"/>
      <c r="BO404" s="152"/>
      <c r="BP404" s="152"/>
      <c r="BQ404" s="152"/>
      <c r="BR404" s="152"/>
      <c r="BS404" s="152"/>
      <c r="BT404" s="152"/>
      <c r="BU404" s="152"/>
      <c r="BV404" s="152"/>
      <c r="BW404" s="152"/>
      <c r="BX404" s="152"/>
      <c r="BY404" s="152"/>
      <c r="BZ404" s="152"/>
      <c r="CA404" s="152"/>
      <c r="CB404" s="152"/>
      <c r="CC404" s="152"/>
      <c r="CD404" s="152"/>
      <c r="CE404" s="152"/>
      <c r="CF404" s="152"/>
    </row>
    <row r="405" spans="1:84" s="637" customFormat="1" ht="15" customHeight="1" x14ac:dyDescent="0.25">
      <c r="BK405" s="152"/>
      <c r="BL405" s="152"/>
      <c r="BM405" s="152"/>
      <c r="BN405" s="152"/>
      <c r="BO405" s="152"/>
      <c r="BP405" s="152"/>
      <c r="BQ405" s="152"/>
      <c r="BR405" s="152"/>
      <c r="BS405" s="152"/>
      <c r="BT405" s="152"/>
      <c r="BU405" s="152"/>
      <c r="BV405" s="152"/>
      <c r="BW405" s="152"/>
      <c r="BX405" s="152"/>
      <c r="BY405" s="152"/>
      <c r="BZ405" s="152"/>
      <c r="CA405" s="152"/>
      <c r="CB405" s="152"/>
      <c r="CC405" s="152"/>
      <c r="CD405" s="152"/>
      <c r="CE405" s="152"/>
      <c r="CF405" s="152"/>
    </row>
    <row r="406" spans="1:84" s="637" customFormat="1" ht="15" customHeight="1" x14ac:dyDescent="0.25">
      <c r="AO406" s="152"/>
      <c r="AP406" s="152"/>
      <c r="AQ406" s="152"/>
      <c r="AR406" s="152"/>
      <c r="AS406" s="152"/>
      <c r="AT406" s="152"/>
      <c r="AU406" s="152"/>
      <c r="AV406" s="152"/>
      <c r="AW406" s="152"/>
      <c r="AX406" s="152"/>
      <c r="AY406" s="152"/>
      <c r="BK406" s="152"/>
      <c r="BL406" s="152"/>
      <c r="BM406" s="152"/>
      <c r="BN406" s="152"/>
      <c r="BO406" s="152"/>
      <c r="BP406" s="152"/>
      <c r="BQ406" s="152"/>
      <c r="BR406" s="152"/>
      <c r="BS406" s="152"/>
      <c r="BT406" s="152"/>
      <c r="BU406" s="152"/>
      <c r="BV406" s="152"/>
      <c r="BW406" s="152"/>
      <c r="BX406" s="152"/>
      <c r="BY406" s="152"/>
      <c r="BZ406" s="152"/>
      <c r="CA406" s="152"/>
      <c r="CB406" s="152"/>
      <c r="CC406" s="152"/>
      <c r="CD406" s="152"/>
      <c r="CE406" s="152"/>
      <c r="CF406" s="152"/>
    </row>
    <row r="407" spans="1:84" s="637" customFormat="1" ht="15" customHeight="1" x14ac:dyDescent="0.25">
      <c r="AO407" s="152"/>
      <c r="AP407" s="152"/>
      <c r="AQ407" s="152"/>
      <c r="AR407" s="152"/>
      <c r="AS407" s="152"/>
      <c r="AT407" s="152"/>
      <c r="AU407" s="152"/>
      <c r="AV407" s="152"/>
      <c r="AW407" s="152"/>
      <c r="AX407" s="152"/>
      <c r="AY407" s="152"/>
      <c r="BV407" s="152"/>
      <c r="BW407" s="152"/>
      <c r="BX407" s="152"/>
      <c r="BY407" s="152"/>
      <c r="BZ407" s="152"/>
      <c r="CA407" s="152"/>
      <c r="CB407" s="152"/>
      <c r="CC407" s="152"/>
      <c r="CD407" s="152"/>
      <c r="CE407" s="152"/>
      <c r="CF407" s="152"/>
    </row>
    <row r="408" spans="1:84" ht="15" customHeight="1" x14ac:dyDescent="0.25">
      <c r="A408" s="152"/>
      <c r="B408" s="152"/>
      <c r="C408" s="152"/>
      <c r="D408" s="152"/>
      <c r="E408" s="152"/>
      <c r="F408" s="152"/>
    </row>
    <row r="409" spans="1:84" ht="15" customHeight="1" x14ac:dyDescent="0.25">
      <c r="A409" s="152"/>
      <c r="B409" s="152"/>
      <c r="C409" s="152"/>
      <c r="D409" s="152"/>
      <c r="E409" s="152"/>
      <c r="F409" s="152"/>
      <c r="AO409" s="637"/>
      <c r="AP409" s="637"/>
      <c r="AQ409" s="637"/>
      <c r="AR409" s="637"/>
      <c r="AS409" s="637"/>
      <c r="AT409" s="637"/>
      <c r="AU409" s="637"/>
      <c r="AV409" s="637"/>
      <c r="AW409" s="637"/>
      <c r="AX409" s="637"/>
      <c r="AY409" s="637"/>
    </row>
    <row r="410" spans="1:84" ht="15" customHeight="1" x14ac:dyDescent="0.25">
      <c r="A410" s="152"/>
      <c r="B410" s="152"/>
      <c r="C410" s="152"/>
      <c r="D410" s="152"/>
      <c r="E410" s="152"/>
      <c r="F410" s="152"/>
    </row>
    <row r="411" spans="1:84" s="637" customFormat="1" ht="15" customHeight="1" x14ac:dyDescent="0.25">
      <c r="AO411" s="152"/>
      <c r="AP411" s="152"/>
      <c r="AQ411" s="152"/>
      <c r="AR411" s="152"/>
      <c r="AS411" s="152"/>
      <c r="AT411" s="152"/>
      <c r="AU411" s="152"/>
      <c r="AV411" s="152"/>
      <c r="AW411" s="152"/>
      <c r="AX411" s="152"/>
      <c r="AY411" s="152"/>
      <c r="BK411" s="152"/>
      <c r="BL411" s="152"/>
      <c r="BM411" s="152"/>
      <c r="BN411" s="152"/>
      <c r="BO411" s="152"/>
      <c r="BP411" s="152"/>
      <c r="BQ411" s="152"/>
      <c r="BR411" s="152"/>
      <c r="BS411" s="152"/>
      <c r="BT411" s="152"/>
      <c r="BU411" s="152"/>
      <c r="BV411" s="152"/>
      <c r="BW411" s="152"/>
      <c r="BX411" s="152"/>
      <c r="BY411" s="152"/>
      <c r="BZ411" s="152"/>
      <c r="CA411" s="152"/>
      <c r="CB411" s="152"/>
      <c r="CC411" s="152"/>
      <c r="CD411" s="152"/>
      <c r="CE411" s="152"/>
      <c r="CF411" s="152"/>
    </row>
    <row r="412" spans="1:84" ht="15" customHeight="1" x14ac:dyDescent="0.25">
      <c r="A412" s="152"/>
      <c r="B412" s="152"/>
      <c r="C412" s="152"/>
      <c r="D412" s="152"/>
      <c r="E412" s="152"/>
      <c r="F412" s="152"/>
    </row>
    <row r="413" spans="1:84" ht="15" customHeight="1" x14ac:dyDescent="0.25">
      <c r="A413" s="152"/>
      <c r="B413" s="152"/>
      <c r="C413" s="152"/>
      <c r="D413" s="152"/>
      <c r="E413" s="152"/>
      <c r="F413" s="152"/>
    </row>
    <row r="414" spans="1:84" ht="15" customHeight="1" x14ac:dyDescent="0.25">
      <c r="A414" s="152"/>
      <c r="B414" s="152"/>
      <c r="C414" s="152"/>
      <c r="D414" s="152"/>
      <c r="E414" s="152"/>
      <c r="F414" s="152"/>
    </row>
    <row r="415" spans="1:84" ht="15" customHeight="1" x14ac:dyDescent="0.25">
      <c r="A415" s="152"/>
      <c r="B415" s="152"/>
      <c r="C415" s="152"/>
      <c r="D415" s="152"/>
      <c r="E415" s="152"/>
      <c r="F415" s="152"/>
    </row>
    <row r="416" spans="1:84" ht="15" customHeight="1" x14ac:dyDescent="0.25">
      <c r="A416" s="152"/>
      <c r="B416" s="152"/>
      <c r="C416" s="152"/>
      <c r="D416" s="152"/>
      <c r="E416" s="152"/>
      <c r="F416" s="152"/>
    </row>
    <row r="417" spans="1:6" ht="15" customHeight="1" x14ac:dyDescent="0.25">
      <c r="A417" s="152"/>
      <c r="B417" s="152"/>
      <c r="C417" s="152"/>
      <c r="D417" s="152"/>
      <c r="E417" s="152"/>
      <c r="F417" s="152"/>
    </row>
    <row r="418" spans="1:6" ht="15" customHeight="1" x14ac:dyDescent="0.25">
      <c r="A418" s="152"/>
      <c r="B418" s="152"/>
      <c r="C418" s="152"/>
      <c r="D418" s="152"/>
      <c r="E418" s="152"/>
      <c r="F418" s="152"/>
    </row>
    <row r="419" spans="1:6" ht="15" customHeight="1" x14ac:dyDescent="0.25">
      <c r="A419" s="152"/>
      <c r="B419" s="152"/>
      <c r="C419" s="152"/>
      <c r="D419" s="152"/>
      <c r="E419" s="152"/>
      <c r="F419" s="152"/>
    </row>
    <row r="420" spans="1:6" ht="15" customHeight="1" x14ac:dyDescent="0.25">
      <c r="A420" s="152"/>
      <c r="B420" s="152"/>
      <c r="C420" s="152"/>
      <c r="D420" s="152"/>
      <c r="E420" s="152"/>
      <c r="F420" s="152"/>
    </row>
  </sheetData>
  <sheetProtection selectLockedCells="1"/>
  <mergeCells count="130">
    <mergeCell ref="L279:N280"/>
    <mergeCell ref="A317:V317"/>
    <mergeCell ref="A348:V348"/>
    <mergeCell ref="L319:N320"/>
    <mergeCell ref="L328:N329"/>
    <mergeCell ref="L252:N253"/>
    <mergeCell ref="L262:N263"/>
    <mergeCell ref="L270:N271"/>
    <mergeCell ref="A163:V163"/>
    <mergeCell ref="A181:V181"/>
    <mergeCell ref="A208:V208"/>
    <mergeCell ref="A241:V241"/>
    <mergeCell ref="A318:V318"/>
    <mergeCell ref="L242:N243"/>
    <mergeCell ref="L177:S177"/>
    <mergeCell ref="L203:S203"/>
    <mergeCell ref="L182:N183"/>
    <mergeCell ref="L189:S189"/>
    <mergeCell ref="L190:N191"/>
    <mergeCell ref="L196:S196"/>
    <mergeCell ref="A242:C243"/>
    <mergeCell ref="A240:V240"/>
    <mergeCell ref="A192:C193"/>
    <mergeCell ref="A204:H204"/>
    <mergeCell ref="A182:C183"/>
    <mergeCell ref="A196:H196"/>
    <mergeCell ref="L136:N137"/>
    <mergeCell ref="A191:H191"/>
    <mergeCell ref="A180:V180"/>
    <mergeCell ref="A207:V207"/>
    <mergeCell ref="A162:V162"/>
    <mergeCell ref="A173:H173"/>
    <mergeCell ref="L164:N165"/>
    <mergeCell ref="A164:C165"/>
    <mergeCell ref="L150:S150"/>
    <mergeCell ref="A148:H148"/>
    <mergeCell ref="A149:C150"/>
    <mergeCell ref="L143:S143"/>
    <mergeCell ref="A393:H393"/>
    <mergeCell ref="L393:S393"/>
    <mergeCell ref="A197:C198"/>
    <mergeCell ref="A329:C330"/>
    <mergeCell ref="A338:C339"/>
    <mergeCell ref="A237:H237"/>
    <mergeCell ref="L209:N210"/>
    <mergeCell ref="L215:S215"/>
    <mergeCell ref="A209:C210"/>
    <mergeCell ref="A219:C220"/>
    <mergeCell ref="A229:C230"/>
    <mergeCell ref="L216:N217"/>
    <mergeCell ref="L224:S224"/>
    <mergeCell ref="L334:N335"/>
    <mergeCell ref="L197:N198"/>
    <mergeCell ref="L350:N351"/>
    <mergeCell ref="A350:C351"/>
    <mergeCell ref="A253:C254"/>
    <mergeCell ref="A264:C265"/>
    <mergeCell ref="A274:C275"/>
    <mergeCell ref="A285:C286"/>
    <mergeCell ref="A319:C320"/>
    <mergeCell ref="A345:H345"/>
    <mergeCell ref="A294:H294"/>
    <mergeCell ref="L4:V4"/>
    <mergeCell ref="A5:C6"/>
    <mergeCell ref="L5:N6"/>
    <mergeCell ref="A20:H20"/>
    <mergeCell ref="L20:S20"/>
    <mergeCell ref="A30:H30"/>
    <mergeCell ref="L35:S35"/>
    <mergeCell ref="A73:H73"/>
    <mergeCell ref="A60:C61"/>
    <mergeCell ref="A4:K4"/>
    <mergeCell ref="A31:C32"/>
    <mergeCell ref="L21:N22"/>
    <mergeCell ref="A46:C47"/>
    <mergeCell ref="A45:H45"/>
    <mergeCell ref="A55:H55"/>
    <mergeCell ref="L71:S71"/>
    <mergeCell ref="L72:N73"/>
    <mergeCell ref="A21:C22"/>
    <mergeCell ref="A58:V58"/>
    <mergeCell ref="A59:V59"/>
    <mergeCell ref="A3:V3"/>
    <mergeCell ref="L60:N61"/>
    <mergeCell ref="A160:H160"/>
    <mergeCell ref="L135:S135"/>
    <mergeCell ref="A115:C116"/>
    <mergeCell ref="L100:N101"/>
    <mergeCell ref="L80:S80"/>
    <mergeCell ref="A83:H83"/>
    <mergeCell ref="L151:N152"/>
    <mergeCell ref="A100:C101"/>
    <mergeCell ref="A84:C85"/>
    <mergeCell ref="A95:H95"/>
    <mergeCell ref="A114:H114"/>
    <mergeCell ref="A132:C133"/>
    <mergeCell ref="L144:N145"/>
    <mergeCell ref="L111:S111"/>
    <mergeCell ref="L112:N113"/>
    <mergeCell ref="L123:S123"/>
    <mergeCell ref="L124:N125"/>
    <mergeCell ref="A98:V98"/>
    <mergeCell ref="A99:V99"/>
    <mergeCell ref="A131:H131"/>
    <mergeCell ref="L81:N82"/>
    <mergeCell ref="L87:S87"/>
    <mergeCell ref="A297:V297"/>
    <mergeCell ref="A298:V298"/>
    <mergeCell ref="A299:C300"/>
    <mergeCell ref="L299:N300"/>
    <mergeCell ref="L306:S306"/>
    <mergeCell ref="A307:C308"/>
    <mergeCell ref="A349:V349"/>
    <mergeCell ref="A2:B2"/>
    <mergeCell ref="A1:B1"/>
    <mergeCell ref="C2:E2"/>
    <mergeCell ref="F2:H2"/>
    <mergeCell ref="I2:J2"/>
    <mergeCell ref="K2:M2"/>
    <mergeCell ref="R2:T2"/>
    <mergeCell ref="U2:V2"/>
    <mergeCell ref="A74:C75"/>
    <mergeCell ref="C1:E1"/>
    <mergeCell ref="F1:H1"/>
    <mergeCell ref="R1:T1"/>
    <mergeCell ref="I1:J1"/>
    <mergeCell ref="K1:M1"/>
    <mergeCell ref="U1:V1"/>
    <mergeCell ref="N1:Q1"/>
    <mergeCell ref="N2:Q2"/>
  </mergeCells>
  <conditionalFormatting sqref="J1:K180 J182:K207 J209:K240 J319:K348 J242:K295 J316:K317 J297:K297 J299:K314 J350:K1048576">
    <cfRule type="expression" dxfId="260" priority="896">
      <formula>AND($J1=0,$K1=0,$J1&lt;&gt;"",$J1&lt;&gt;"Total Cost")</formula>
    </cfRule>
  </conditionalFormatting>
  <conditionalFormatting sqref="U182:V207 U209:V240 U319:V348 U90:V180 U1:V87 U316:V317 U297:V297 U299:V310 U242:V275 U277:V295 U350:V1048576">
    <cfRule type="expression" dxfId="259" priority="897">
      <formula>AND($U1=0,$V1=0,$U1&lt;&gt;"",$U1&lt;&gt;"Total Cost")</formula>
    </cfRule>
  </conditionalFormatting>
  <conditionalFormatting sqref="U299:V305">
    <cfRule type="expression" dxfId="258" priority="3">
      <formula>AND($J299=0,$K299=0,$J299&lt;&gt;"",$J299&lt;&gt;"Total Cost")</formula>
    </cfRule>
  </conditionalFormatting>
  <conditionalFormatting sqref="U300:V300">
    <cfRule type="expression" dxfId="257" priority="2">
      <formula>AND($J300=0,$K300=0,$J300&lt;&gt;"",$J300&lt;&gt;"Total Cost")</formula>
    </cfRule>
  </conditionalFormatting>
  <conditionalFormatting sqref="U276:V276">
    <cfRule type="expression" dxfId="256" priority="1">
      <formula>AND($U276=0,$V276=0,$U276&lt;&gt;"",$U276&lt;&gt;"Total Cost")</formula>
    </cfRule>
  </conditionalFormatting>
  <pageMargins left="0.70866141732283472" right="0.70866141732283472" top="0.74803149606299213" bottom="0.74803149606299213" header="0.31496062992125984" footer="0.31496062992125984"/>
  <pageSetup paperSize="9" scale="54" fitToHeight="6" orientation="landscape" r:id="rId1"/>
  <ignoredErrors>
    <ignoredError sqref="A8:S8 A63:B63 A17 A9:A16 L9:L16 A18 L17 L36:S38 A73 A64:A72 L71 L64:L69 A83 A77:B77 A80 L80 A78:A79 L78:L79 L90:S93 O72:S72 D75:H75 D74:H74 L74:R74 A76:B76 L76 K73 O73:S73 J75 L75:M75 L70 D63:M63 O63:S63 D77:L77 O75:S75 D76:G76"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tabColor rgb="FFFFFF00"/>
  </sheetPr>
  <dimension ref="A1:N33"/>
  <sheetViews>
    <sheetView showGridLines="0" zoomScale="90" zoomScaleNormal="90" workbookViewId="0">
      <pane ySplit="2" topLeftCell="A12" activePane="bottomLeft" state="frozen"/>
      <selection activeCell="A3" sqref="A3:H6"/>
      <selection pane="bottomLeft" activeCell="Q25" sqref="Q25"/>
    </sheetView>
  </sheetViews>
  <sheetFormatPr baseColWidth="10" defaultColWidth="11.42578125" defaultRowHeight="15" customHeight="1" x14ac:dyDescent="0.25"/>
  <cols>
    <col min="1" max="1" width="21.28515625" style="158" bestFit="1" customWidth="1"/>
    <col min="2" max="2" width="7.28515625" style="156" customWidth="1"/>
    <col min="3" max="3" width="7.85546875" style="158" bestFit="1" customWidth="1"/>
    <col min="4" max="4" width="9.28515625" style="158" bestFit="1" customWidth="1"/>
    <col min="5" max="5" width="6.7109375" style="158" customWidth="1"/>
    <col min="6" max="6" width="14.85546875" style="158" bestFit="1" customWidth="1"/>
    <col min="7" max="8" width="2.7109375" style="158" customWidth="1"/>
    <col min="9" max="9" width="21.28515625" style="158" bestFit="1" customWidth="1"/>
    <col min="10" max="10" width="6" style="158" bestFit="1" customWidth="1"/>
    <col min="11" max="11" width="7.85546875" style="158" bestFit="1" customWidth="1"/>
    <col min="12" max="12" width="7.28515625" style="158" bestFit="1" customWidth="1"/>
    <col min="13" max="13" width="6.7109375" style="158" bestFit="1" customWidth="1"/>
    <col min="14" max="14" width="19.85546875" style="158" bestFit="1" customWidth="1"/>
    <col min="15" max="16384" width="11.42578125" style="158"/>
  </cols>
  <sheetData>
    <row r="1" spans="1:14" ht="23.25" thickBot="1" x14ac:dyDescent="0.3">
      <c r="A1" s="385" t="s">
        <v>291</v>
      </c>
      <c r="B1" s="1167" t="s">
        <v>294</v>
      </c>
      <c r="C1" s="1168"/>
      <c r="E1" s="156"/>
      <c r="F1" s="156"/>
      <c r="I1" s="218" t="s">
        <v>318</v>
      </c>
      <c r="J1" s="156"/>
      <c r="K1" s="156"/>
      <c r="L1" s="156"/>
      <c r="M1" s="156"/>
      <c r="N1" s="156"/>
    </row>
    <row r="2" spans="1:14" ht="16.5" thickBot="1" x14ac:dyDescent="0.3">
      <c r="A2" s="871">
        <f>Paramètres!$BI$2</f>
        <v>1</v>
      </c>
      <c r="B2" s="1169">
        <f>Paramètres!BL2</f>
        <v>2012</v>
      </c>
      <c r="C2" s="1170"/>
      <c r="E2" s="156"/>
      <c r="F2" s="156"/>
      <c r="I2" s="872">
        <f>Paramètres!H46</f>
        <v>0</v>
      </c>
      <c r="J2" s="156"/>
      <c r="K2" s="156"/>
      <c r="L2" s="156"/>
      <c r="M2" s="156"/>
      <c r="N2" s="156"/>
    </row>
    <row r="3" spans="1:14" ht="19.5" thickBot="1" x14ac:dyDescent="0.3">
      <c r="A3" s="1086" t="s">
        <v>422</v>
      </c>
      <c r="B3" s="1086"/>
      <c r="C3" s="1086"/>
      <c r="D3" s="1086"/>
      <c r="E3" s="1086"/>
      <c r="I3" s="1073" t="s">
        <v>313</v>
      </c>
      <c r="J3" s="1074"/>
      <c r="K3" s="1074"/>
      <c r="L3" s="1074"/>
      <c r="M3" s="1074"/>
      <c r="N3" s="1075"/>
    </row>
    <row r="4" spans="1:14" ht="16.5" customHeight="1" thickTop="1" thickBot="1" x14ac:dyDescent="0.3">
      <c r="A4" s="274" t="s">
        <v>123</v>
      </c>
      <c r="B4" s="1171" t="s">
        <v>424</v>
      </c>
      <c r="C4" s="1172"/>
      <c r="D4" s="873" t="s">
        <v>655</v>
      </c>
      <c r="E4" s="832" t="s">
        <v>656</v>
      </c>
      <c r="I4" s="332"/>
      <c r="J4" s="108" t="s">
        <v>39</v>
      </c>
      <c r="K4" s="272" t="s">
        <v>331</v>
      </c>
      <c r="L4" s="272" t="s">
        <v>391</v>
      </c>
      <c r="M4" s="333" t="s">
        <v>258</v>
      </c>
      <c r="N4" s="271" t="s">
        <v>207</v>
      </c>
    </row>
    <row r="5" spans="1:14" ht="16.5" customHeight="1" thickTop="1" x14ac:dyDescent="0.25">
      <c r="A5" s="396" t="s">
        <v>246</v>
      </c>
      <c r="B5" s="1181"/>
      <c r="C5" s="1182"/>
      <c r="D5" s="1183">
        <f>IF($E$4="Oui",VLOOKUP(1,LEAGUES_Bonus[#All],3),0)-VLOOKUP(1,LEAGUES_Find[#All],2)</f>
        <v>34990</v>
      </c>
      <c r="E5" s="1184"/>
      <c r="I5" s="137" t="s">
        <v>195</v>
      </c>
      <c r="J5" s="138">
        <f>VLOOKUP($A$2,AVAILABLE_Upgrades_Normal_Troops[#All],MATCH($I5,AVAILABLE_Upgrades_Normal_Troops[#Headers],0)+1)</f>
        <v>0</v>
      </c>
      <c r="K5" s="340">
        <f>IF(ISERROR(MATCH(1,Paramètres!AO$6:AO$45,0)),0,MATCH(1,Paramètres!AO$6:AO$45,0))</f>
        <v>0</v>
      </c>
      <c r="L5" s="341">
        <f>IF($K5&lt;&gt;0,VLOOKUP($K5,TRAINING_Barbarian[#All],2),0)</f>
        <v>0</v>
      </c>
      <c r="M5" s="102">
        <f>IF($K5&lt;&gt;0,VLOOKUP($K5,TRAINING_Barbarian[#All],3),0)</f>
        <v>0</v>
      </c>
      <c r="N5" s="428">
        <v>5</v>
      </c>
    </row>
    <row r="6" spans="1:14" ht="16.5" customHeight="1" x14ac:dyDescent="0.25">
      <c r="A6" s="97" t="s">
        <v>247</v>
      </c>
      <c r="B6" s="1185"/>
      <c r="C6" s="1186"/>
      <c r="D6" s="1187">
        <f>IF($E$4="Oui",VLOOKUP(1,LEAGUES_Bonus[#All],4),0)</f>
        <v>35000</v>
      </c>
      <c r="E6" s="1188"/>
      <c r="I6" s="137" t="s">
        <v>50</v>
      </c>
      <c r="J6" s="138">
        <f>VLOOKUP($A$2,AVAILABLE_Upgrades_Normal_Troops[#All],MATCH($I6,AVAILABLE_Upgrades_Normal_Troops[#Headers],0)+1)</f>
        <v>0</v>
      </c>
      <c r="K6" s="340">
        <f>IF(ISERROR(MATCH(1,Paramètres!AP$6:AP$45,0)),0,MATCH(1,Paramètres!AP$6:AP$45,0))</f>
        <v>0</v>
      </c>
      <c r="L6" s="341">
        <f>IF($K6&lt;&gt;0,VLOOKUP($K6,TRAINING_Archer[#All],2),0)</f>
        <v>0</v>
      </c>
      <c r="M6" s="102">
        <f>IF($K6&lt;&gt;0,VLOOKUP($K6,TRAINING_Archer[#All],3),0)</f>
        <v>0</v>
      </c>
      <c r="N6" s="429"/>
    </row>
    <row r="7" spans="1:14" ht="16.5" customHeight="1" thickBot="1" x14ac:dyDescent="0.3">
      <c r="A7" s="431" t="s">
        <v>248</v>
      </c>
      <c r="B7" s="1189"/>
      <c r="C7" s="1190"/>
      <c r="D7" s="1195">
        <f>IF($E$4="Oui",VLOOKUP(1,LEAGUES_Bonus[#All],5),0)</f>
        <v>100</v>
      </c>
      <c r="E7" s="1196"/>
      <c r="I7" s="137" t="s">
        <v>189</v>
      </c>
      <c r="J7" s="138">
        <f>VLOOKUP($A$2,AVAILABLE_Upgrades_Normal_Troops[#All],MATCH($I7,AVAILABLE_Upgrades_Normal_Troops[#Headers],0)+1)</f>
        <v>0</v>
      </c>
      <c r="K7" s="340">
        <f>IF(ISERROR(MATCH(1,Paramètres!AQ$6:AQ$45,0)),0,MATCH(1,Paramètres!AQ$6:AQ$45,0))</f>
        <v>0</v>
      </c>
      <c r="L7" s="341">
        <f>IF($K7&lt;&gt;0,VLOOKUP($K7,TRAINING_Goblin[#All],2),0)</f>
        <v>0</v>
      </c>
      <c r="M7" s="102">
        <f>IF($K7&lt;&gt;0,VLOOKUP($K7,TRAINING_Goblin[#All],3),0)</f>
        <v>0</v>
      </c>
      <c r="N7" s="429"/>
    </row>
    <row r="8" spans="1:14" ht="16.5" customHeight="1" thickBot="1" x14ac:dyDescent="0.3">
      <c r="B8" s="158"/>
      <c r="I8" s="137" t="s">
        <v>188</v>
      </c>
      <c r="J8" s="138">
        <f>VLOOKUP($A$2,AVAILABLE_Upgrades_Normal_Troops[#All],MATCH($I8,AVAILABLE_Upgrades_Normal_Troops[#Headers],0)+1)</f>
        <v>0</v>
      </c>
      <c r="K8" s="340">
        <f>IF(ISERROR(MATCH(1,Paramètres!AR$6:AR$45,0)),0,MATCH(1,Paramètres!AR$6:AR$45,0))</f>
        <v>0</v>
      </c>
      <c r="L8" s="341">
        <f>IF($K8&lt;&gt;0,VLOOKUP($K8,TRAINING_Giant[#All],2),0)</f>
        <v>0</v>
      </c>
      <c r="M8" s="102">
        <f>IF($K8&lt;&gt;0,VLOOKUP($K8,TRAINING_Giant[#All],3),0)</f>
        <v>0</v>
      </c>
      <c r="N8" s="429"/>
    </row>
    <row r="9" spans="1:14" ht="16.5" customHeight="1" thickBot="1" x14ac:dyDescent="0.3">
      <c r="A9" s="1073" t="s">
        <v>423</v>
      </c>
      <c r="B9" s="1074"/>
      <c r="C9" s="1075"/>
      <c r="I9" s="137" t="s">
        <v>187</v>
      </c>
      <c r="J9" s="138">
        <f>VLOOKUP($A$2,AVAILABLE_Upgrades_Normal_Troops[#All],MATCH($I9,AVAILABLE_Upgrades_Normal_Troops[#Headers],0)+1)</f>
        <v>0</v>
      </c>
      <c r="K9" s="340">
        <f>IF(ISERROR(MATCH(1,Paramètres!AS$6:AS$45,0)),0,MATCH(1,Paramètres!AS$6:AS$45,0))</f>
        <v>0</v>
      </c>
      <c r="L9" s="341">
        <f>IF($K9&lt;&gt;0,VLOOKUP($K9,TRAINING_Wall_Breaker[#All],2),0)</f>
        <v>0</v>
      </c>
      <c r="M9" s="102">
        <f>IF($K9&lt;&gt;0,VLOOKUP($K9,TRAINING_Wall_Breaker[#All],3),0)</f>
        <v>0</v>
      </c>
      <c r="N9" s="429"/>
    </row>
    <row r="10" spans="1:14" ht="16.5" customHeight="1" thickBot="1" x14ac:dyDescent="0.3">
      <c r="A10" s="274" t="s">
        <v>123</v>
      </c>
      <c r="B10" s="1177" t="s">
        <v>424</v>
      </c>
      <c r="C10" s="1178"/>
      <c r="I10" s="137" t="s">
        <v>186</v>
      </c>
      <c r="J10" s="138">
        <f>VLOOKUP($A$2,AVAILABLE_Upgrades_Normal_Troops[#All],MATCH($I10,AVAILABLE_Upgrades_Normal_Troops[#Headers],0)+1)</f>
        <v>0</v>
      </c>
      <c r="K10" s="340">
        <f>IF(ISERROR(MATCH(1,Paramètres!AT$6:AT$45,0)),0,MATCH(1,Paramètres!AT$6:AT$45,0))</f>
        <v>0</v>
      </c>
      <c r="L10" s="341">
        <f>IF($K10&lt;&gt;0,VLOOKUP($K10,TRAINING_Balloon[#All],2),0)</f>
        <v>0</v>
      </c>
      <c r="M10" s="102">
        <f>IF($K10&lt;&gt;0,VLOOKUP($K10,TRAINING_Balloon[#All],3),0)</f>
        <v>0</v>
      </c>
      <c r="N10" s="429"/>
    </row>
    <row r="11" spans="1:14" ht="16.5" customHeight="1" x14ac:dyDescent="0.25">
      <c r="A11" s="134" t="s">
        <v>246</v>
      </c>
      <c r="B11" s="1179">
        <f>B5+D5</f>
        <v>34990</v>
      </c>
      <c r="C11" s="1180"/>
      <c r="I11" s="137" t="s">
        <v>185</v>
      </c>
      <c r="J11" s="138">
        <f>VLOOKUP($A$2,AVAILABLE_Upgrades_Normal_Troops[#All],MATCH($I11,AVAILABLE_Upgrades_Normal_Troops[#Headers],0)+1)</f>
        <v>0</v>
      </c>
      <c r="K11" s="340">
        <f>IF(ISERROR(MATCH(1,Paramètres!AU$6:AU$45,0)),0,MATCH(1,Paramètres!AU$6:AU$45,0))</f>
        <v>0</v>
      </c>
      <c r="L11" s="341">
        <f>IF($K11&lt;&gt;0,VLOOKUP($K11,TRAINING_Wizard[#All],2),0)</f>
        <v>0</v>
      </c>
      <c r="M11" s="102">
        <f>IF($K11&lt;&gt;0,VLOOKUP($K11,TRAINING_Wizard[#All],3),0)</f>
        <v>0</v>
      </c>
      <c r="N11" s="429"/>
    </row>
    <row r="12" spans="1:14" ht="16.5" customHeight="1" x14ac:dyDescent="0.25">
      <c r="A12" s="137" t="s">
        <v>247</v>
      </c>
      <c r="B12" s="1200">
        <f>(B6+D6)-(N33+N17)</f>
        <v>35000</v>
      </c>
      <c r="C12" s="1201"/>
      <c r="I12" s="137" t="s">
        <v>184</v>
      </c>
      <c r="J12" s="138">
        <f>VLOOKUP($A$2,AVAILABLE_Upgrades_Normal_Troops[#All],MATCH($I12,AVAILABLE_Upgrades_Normal_Troops[#Headers],0)+1)</f>
        <v>0</v>
      </c>
      <c r="K12" s="340">
        <f>IF(ISERROR(MATCH(1,Paramètres!AV$6:AV$45,0)),0,MATCH(1,Paramètres!AV$6:AV$45,0))</f>
        <v>0</v>
      </c>
      <c r="L12" s="341">
        <f>IF($K12&lt;&gt;0,VLOOKUP($K12,TRAINING_Healer[#All],2),0)</f>
        <v>0</v>
      </c>
      <c r="M12" s="102">
        <f>IF($K12&lt;&gt;0,VLOOKUP($K12,TRAINING_Healer[#All],3),0)</f>
        <v>0</v>
      </c>
      <c r="N12" s="429"/>
    </row>
    <row r="13" spans="1:14" ht="16.5" customHeight="1" thickBot="1" x14ac:dyDescent="0.3">
      <c r="A13" s="344" t="s">
        <v>248</v>
      </c>
      <c r="B13" s="1202">
        <f>B7-F30+D7</f>
        <v>100</v>
      </c>
      <c r="C13" s="1203"/>
      <c r="I13" s="137" t="s">
        <v>57</v>
      </c>
      <c r="J13" s="138">
        <f>VLOOKUP($A$2,AVAILABLE_Upgrades_Normal_Troops[#All],MATCH($I13,AVAILABLE_Upgrades_Normal_Troops[#Headers],0)+1)</f>
        <v>0</v>
      </c>
      <c r="K13" s="340">
        <f>IF(ISERROR(MATCH(1,Paramètres!AW$6:AW$45,0)),0,MATCH(1,Paramètres!AW$6:AW$45,0))</f>
        <v>0</v>
      </c>
      <c r="L13" s="341">
        <f>IF($K13&lt;&gt;0,VLOOKUP($K13,TRAINING_Dragon[#All],2),0)</f>
        <v>0</v>
      </c>
      <c r="M13" s="102">
        <f>IF($K13&lt;&gt;0,VLOOKUP($K13,TRAINING_Dragon[#All],3),0)</f>
        <v>0</v>
      </c>
      <c r="N13" s="429"/>
    </row>
    <row r="14" spans="1:14" ht="16.5" customHeight="1" thickBot="1" x14ac:dyDescent="0.3">
      <c r="I14" s="344" t="s">
        <v>58</v>
      </c>
      <c r="J14" s="184">
        <f>VLOOKUP($A$2,AVAILABLE_Upgrades_Normal_Troops[#All],MATCH($I14,AVAILABLE_Upgrades_Normal_Troops[#Headers],0)+1)</f>
        <v>0</v>
      </c>
      <c r="K14" s="624">
        <f>IF(ISERROR(MATCH(1,Paramètres!AX$6:AX$45,0)),0,MATCH(1,Paramètres!AX$6:AX$45,0))</f>
        <v>0</v>
      </c>
      <c r="L14" s="345">
        <f>IF($K14&lt;&gt;0,VLOOKUP($K14,TRAINING_PEKKA[#All],2),0)</f>
        <v>0</v>
      </c>
      <c r="M14" s="125">
        <f>IF($K14&lt;&gt;0,VLOOKUP($K14,TRAINING_PEKKA[#All],3),0)</f>
        <v>0</v>
      </c>
      <c r="N14" s="430"/>
    </row>
    <row r="15" spans="1:14" ht="16.5" customHeight="1" thickBot="1" x14ac:dyDescent="0.3">
      <c r="B15" s="1198" t="s">
        <v>298</v>
      </c>
      <c r="C15" s="1199"/>
      <c r="D15" s="1204" t="s">
        <v>332</v>
      </c>
      <c r="E15" s="1204"/>
      <c r="F15" s="1205"/>
      <c r="J15" s="1193" t="s">
        <v>317</v>
      </c>
      <c r="K15" s="1194"/>
      <c r="L15" s="865"/>
      <c r="M15" s="866"/>
      <c r="N15" s="354">
        <f>SUMPRODUCT(N$5:N$14,$L$5:$L$14)</f>
        <v>0</v>
      </c>
    </row>
    <row r="16" spans="1:14" ht="16.5" customHeight="1" thickBot="1" x14ac:dyDescent="0.3">
      <c r="B16" s="1173" t="s">
        <v>340</v>
      </c>
      <c r="C16" s="1174"/>
      <c r="D16" s="1175" t="s">
        <v>660</v>
      </c>
      <c r="E16" s="1175"/>
      <c r="F16" s="1176"/>
      <c r="J16" s="1191" t="s">
        <v>338</v>
      </c>
      <c r="K16" s="1197"/>
      <c r="L16" s="865"/>
      <c r="M16" s="866"/>
      <c r="N16" s="835">
        <f>SUMPRODUCT(Paramètres!J6:J13,'Coûts de Formation'!AH31:AH38)</f>
        <v>0</v>
      </c>
    </row>
    <row r="17" spans="1:14" ht="16.5" customHeight="1" x14ac:dyDescent="0.25">
      <c r="B17" s="869"/>
      <c r="C17" s="869"/>
      <c r="D17" s="870"/>
      <c r="E17" s="870"/>
      <c r="F17" s="870"/>
      <c r="J17" s="1191" t="s">
        <v>232</v>
      </c>
      <c r="K17" s="1192"/>
      <c r="L17" s="867"/>
      <c r="M17" s="352"/>
      <c r="N17" s="437">
        <f>SUMPRODUCT(N$5:N$14,$M$5:$M$14)</f>
        <v>0</v>
      </c>
    </row>
    <row r="18" spans="1:14" ht="16.5" customHeight="1" thickBot="1" x14ac:dyDescent="0.3"/>
    <row r="19" spans="1:14" ht="22.5" x14ac:dyDescent="0.25">
      <c r="A19" s="218" t="s">
        <v>319</v>
      </c>
      <c r="B19" s="158"/>
      <c r="I19" s="218" t="s">
        <v>315</v>
      </c>
      <c r="N19" s="218" t="s">
        <v>718</v>
      </c>
    </row>
    <row r="20" spans="1:14" ht="16.5" customHeight="1" thickBot="1" x14ac:dyDescent="0.3">
      <c r="A20" s="833">
        <f>Paramètres!I46</f>
        <v>0</v>
      </c>
      <c r="B20" s="158"/>
      <c r="I20" s="833">
        <f>IF(ISERROR(MATCH(1,Paramètres!L$6:L$45,0)),0,MATCH(1,Paramètres!L$6:L$45,0))</f>
        <v>0</v>
      </c>
      <c r="N20" s="833">
        <f>IF(ISERROR(MATCH(1,Paramètres!M$6:M$45,0)),0,MATCH(1,Paramètres!M$6:M$45,0))</f>
        <v>0</v>
      </c>
    </row>
    <row r="21" spans="1:14" ht="16.5" customHeight="1" thickBot="1" x14ac:dyDescent="0.3">
      <c r="A21" s="1073" t="s">
        <v>314</v>
      </c>
      <c r="B21" s="1074"/>
      <c r="C21" s="1074"/>
      <c r="D21" s="1074"/>
      <c r="E21" s="1074"/>
      <c r="F21" s="1075"/>
      <c r="I21" s="1073" t="s">
        <v>312</v>
      </c>
      <c r="J21" s="1074"/>
      <c r="K21" s="1074"/>
      <c r="L21" s="1074"/>
      <c r="M21" s="1074"/>
      <c r="N21" s="1075"/>
    </row>
    <row r="22" spans="1:14" ht="16.5" customHeight="1" thickBot="1" x14ac:dyDescent="0.3">
      <c r="A22" s="335"/>
      <c r="B22" s="329" t="s">
        <v>39</v>
      </c>
      <c r="C22" s="653" t="s">
        <v>331</v>
      </c>
      <c r="D22" s="653" t="s">
        <v>391</v>
      </c>
      <c r="E22" s="330" t="s">
        <v>258</v>
      </c>
      <c r="F22" s="400" t="s">
        <v>343</v>
      </c>
      <c r="I22" s="328"/>
      <c r="J22" s="329" t="s">
        <v>39</v>
      </c>
      <c r="K22" s="653" t="s">
        <v>331</v>
      </c>
      <c r="L22" s="653" t="s">
        <v>391</v>
      </c>
      <c r="M22" s="330" t="s">
        <v>258</v>
      </c>
      <c r="N22" s="400" t="s">
        <v>208</v>
      </c>
    </row>
    <row r="23" spans="1:14" ht="16.5" customHeight="1" thickTop="1" x14ac:dyDescent="0.25">
      <c r="A23" s="336" t="s">
        <v>183</v>
      </c>
      <c r="B23" s="138">
        <f>VLOOKUP($A$2,AVAILABLE_Upgrades_Dark_Troops[#All],MATCH($A23,AVAILABLE_Upgrades_Dark_Troops[#Headers],0)+1)</f>
        <v>0</v>
      </c>
      <c r="C23" s="340">
        <f>IF(ISERROR(MATCH(1,Paramètres!AY$6:AY$45,0)),0,MATCH(1,Paramètres!AY$6:AY$45,0))</f>
        <v>0</v>
      </c>
      <c r="D23" s="341">
        <f>IF($C23&lt;&gt;0,VLOOKUP($C23,TRAINING_Minion[#All],2),0)</f>
        <v>0</v>
      </c>
      <c r="E23" s="139">
        <f>IF($C23&lt;&gt;0,VLOOKUP($C23,TRAINING_Minion[#All],3),0)</f>
        <v>0</v>
      </c>
      <c r="F23" s="676"/>
      <c r="I23" s="336" t="s">
        <v>190</v>
      </c>
      <c r="J23" s="90">
        <f>VLOOKUP($A$2,AVAILABLE_Upgrades_Spells[#All],MATCH($I23,AVAILABLE_Upgrades_Spells[#Headers],0)+1)</f>
        <v>0</v>
      </c>
      <c r="K23" s="337">
        <f>IF(ISERROR(MATCH(1,Paramètres!AG$6:AG$45,0)),0,MATCH(1,Paramètres!AG$6:AG$45,0))</f>
        <v>0</v>
      </c>
      <c r="L23" s="338">
        <f>IF($K23&lt;&gt;0,VLOOKUP($K23,TRAINING_Spell_Lightning[#All],2),0)</f>
        <v>0</v>
      </c>
      <c r="M23" s="999">
        <f>IF($K23&lt;&gt;0,VLOOKUP($K23,TRAINING_Spell_Lightning[#All],3),0)</f>
        <v>0</v>
      </c>
      <c r="N23" s="428">
        <v>2</v>
      </c>
    </row>
    <row r="24" spans="1:14" ht="16.5" customHeight="1" x14ac:dyDescent="0.25">
      <c r="A24" s="137" t="s">
        <v>245</v>
      </c>
      <c r="B24" s="138">
        <f>VLOOKUP($A$2,AVAILABLE_Upgrades_Dark_Troops[#All],MATCH($A24,AVAILABLE_Upgrades_Dark_Troops[#Headers],0)+1)</f>
        <v>0</v>
      </c>
      <c r="C24" s="340">
        <f>IF(ISERROR(MATCH(1,Paramètres!AZ$6:AZ$45,0)),0,MATCH(1,Paramètres!AZ$6:AZ$45,0))</f>
        <v>0</v>
      </c>
      <c r="D24" s="341">
        <f>IF($C24&lt;&gt;0,VLOOKUP($C24,TRAINING_Hog_Rider[#All],2),0)</f>
        <v>0</v>
      </c>
      <c r="E24" s="139">
        <f>IF($C24&lt;&gt;0,VLOOKUP($C24,TRAINING_Hog_Rider[#All],3),0)</f>
        <v>0</v>
      </c>
      <c r="F24" s="677"/>
      <c r="I24" s="137" t="s">
        <v>191</v>
      </c>
      <c r="J24" s="98">
        <f>VLOOKUP($A$2,AVAILABLE_Upgrades_Spells[#All],MATCH($I24,AVAILABLE_Upgrades_Spells[#Headers],0)+1)</f>
        <v>0</v>
      </c>
      <c r="K24" s="340">
        <f>IF(ISERROR(MATCH(1,Paramètres!AH$6:AH$45,0)),0,MATCH(1,Paramètres!AH$6:AH$45,0))</f>
        <v>0</v>
      </c>
      <c r="L24" s="341">
        <f>IF($K24&lt;&gt;0,VLOOKUP($K24,TRAINING_Spell_Healing[#All],2),0)</f>
        <v>0</v>
      </c>
      <c r="M24" s="999">
        <f>IF($K24&lt;&gt;0,VLOOKUP($K24,TRAINING_Spell_Healing[#All],3),0)</f>
        <v>0</v>
      </c>
      <c r="N24" s="429"/>
    </row>
    <row r="25" spans="1:14" ht="16.5" customHeight="1" x14ac:dyDescent="0.25">
      <c r="A25" s="137" t="s">
        <v>66</v>
      </c>
      <c r="B25" s="138">
        <f>VLOOKUP($A$2,AVAILABLE_Upgrades_Dark_Troops[#All],MATCH($A25,AVAILABLE_Upgrades_Dark_Troops[#Headers],0)+1)</f>
        <v>0</v>
      </c>
      <c r="C25" s="340">
        <f>IF(ISERROR(MATCH(1,Paramètres!BA$6:BA$45,0)),0,MATCH(1,Paramètres!BA$6:BA$45,0))</f>
        <v>0</v>
      </c>
      <c r="D25" s="341">
        <f>IF($C25&lt;&gt;0,VLOOKUP($C25,TRAINING_Valkyrie[#All],2),0)</f>
        <v>0</v>
      </c>
      <c r="E25" s="139">
        <f>IF($C25&lt;&gt;0,VLOOKUP($C25,TRAINING_Valkyrie[#All],3),0)</f>
        <v>0</v>
      </c>
      <c r="F25" s="677"/>
      <c r="I25" s="137" t="s">
        <v>192</v>
      </c>
      <c r="J25" s="98">
        <f>VLOOKUP($A$2,AVAILABLE_Upgrades_Spells[#All],MATCH($I25,AVAILABLE_Upgrades_Spells[#Headers],0)+1)</f>
        <v>0</v>
      </c>
      <c r="K25" s="340">
        <f>IF(ISERROR(MATCH(1,Paramètres!AI$6:AI$45,0)),0,MATCH(1,Paramètres!AI$6:AI$45,0))</f>
        <v>0</v>
      </c>
      <c r="L25" s="341">
        <f>IF($K25&lt;&gt;0,VLOOKUP($K25,TRAINING_Spell_Rage[#All],2),0)</f>
        <v>0</v>
      </c>
      <c r="M25" s="999">
        <f>IF($K25&lt;&gt;0,VLOOKUP($K25,TRAINING_Spell_Rage[#All],3),0)</f>
        <v>0</v>
      </c>
      <c r="N25" s="429"/>
    </row>
    <row r="26" spans="1:14" ht="16.5" customHeight="1" x14ac:dyDescent="0.25">
      <c r="A26" s="137" t="s">
        <v>67</v>
      </c>
      <c r="B26" s="184">
        <f>VLOOKUP($A$2,AVAILABLE_Upgrades_Dark_Troops[#All],MATCH($A26,AVAILABLE_Upgrades_Dark_Troops[#Headers],0)+1)</f>
        <v>0</v>
      </c>
      <c r="C26" s="624">
        <f>IF(ISERROR(MATCH(1,Paramètres!BB$6:BB$45,0)),0,MATCH(1,Paramètres!BB$6:BB$45,0))</f>
        <v>0</v>
      </c>
      <c r="D26" s="345">
        <f>IF($C26&lt;&gt;0,VLOOKUP($C26,TRAINING_Golem[#All],2),0)</f>
        <v>0</v>
      </c>
      <c r="E26" s="140">
        <f>IF($C26&lt;&gt;0,VLOOKUP($C26,TRAINING_Golem[#All],3),0)</f>
        <v>0</v>
      </c>
      <c r="F26" s="677"/>
      <c r="I26" s="137" t="s">
        <v>193</v>
      </c>
      <c r="J26" s="98">
        <f>VLOOKUP($A$2,AVAILABLE_Upgrades_Spells[#All],MATCH($I26,AVAILABLE_Upgrades_Spells[#Headers],0)+1)</f>
        <v>0</v>
      </c>
      <c r="K26" s="340">
        <f>IF(ISERROR(MATCH(1,Paramètres!AJ$6:AJ$45,0)),0,MATCH(1,Paramètres!AJ$6:AJ$45,0))</f>
        <v>0</v>
      </c>
      <c r="L26" s="341">
        <f>IF($K26&lt;&gt;0,VLOOKUP($K26,TRAINING_Spell_Jump[#All],2),0)</f>
        <v>0</v>
      </c>
      <c r="M26" s="999">
        <f>IF($K26&lt;&gt;0,VLOOKUP($K26,TRAINING_Spell_Jump[#All],3),0)</f>
        <v>0</v>
      </c>
      <c r="N26" s="429"/>
    </row>
    <row r="27" spans="1:14" ht="16.5" customHeight="1" thickBot="1" x14ac:dyDescent="0.3">
      <c r="A27" s="137" t="s">
        <v>539</v>
      </c>
      <c r="B27" s="184">
        <f>VLOOKUP($A$2,AVAILABLE_Upgrades_Dark_Troops[#All],MATCH($A27,AVAILABLE_Upgrades_Dark_Troops[#Headers],0)+1)</f>
        <v>0</v>
      </c>
      <c r="C27" s="624">
        <f>IF(ISERROR(MATCH(1,Paramètres!BC$6:BC$45,0)),0,MATCH(1,Paramètres!BC$6:BC$45,0))</f>
        <v>0</v>
      </c>
      <c r="D27" s="345">
        <f>IF($C27&lt;&gt;0,VLOOKUP($C27,TRAINING_Witch[#All],2),0)</f>
        <v>0</v>
      </c>
      <c r="E27" s="140">
        <f>IF($C27&lt;&gt;0,VLOOKUP($C27,TRAINING_Witch[#All],3),0)</f>
        <v>0</v>
      </c>
      <c r="F27" s="677"/>
      <c r="I27" s="344" t="s">
        <v>194</v>
      </c>
      <c r="J27" s="620">
        <f>VLOOKUP($A$2,AVAILABLE_Upgrades_Spells[#All],MATCH($I27,AVAILABLE_Upgrades_Spells[#Headers],0)+1)</f>
        <v>0</v>
      </c>
      <c r="K27" s="264">
        <f>IF(ISERROR(MATCH(1,Paramètres!AK$6:AK$45,0)),0,MATCH(1,Paramètres!AK$6:AK$45,0))</f>
        <v>0</v>
      </c>
      <c r="L27" s="347">
        <f>IF($K27&lt;&gt;0,VLOOKUP($K27,TRAINING_Spell_Freeze[#All],2),0)</f>
        <v>0</v>
      </c>
      <c r="M27" s="999">
        <f>IF($K27&lt;&gt;0,VLOOKUP($K27,TRAINING_Spell_Freeze[#All],3),0)</f>
        <v>0</v>
      </c>
      <c r="N27" s="430"/>
    </row>
    <row r="28" spans="1:14" ht="16.5" customHeight="1" thickBot="1" x14ac:dyDescent="0.3">
      <c r="A28" s="134" t="s">
        <v>576</v>
      </c>
      <c r="B28" s="184">
        <f>VLOOKUP($A$2,AVAILABLE_Upgrades_Dark_Troops[#All],MATCH($A28,AVAILABLE_Upgrades_Dark_Troops[#Headers],0)+1)</f>
        <v>0</v>
      </c>
      <c r="C28" s="624">
        <f>IF(ISERROR(MATCH(1,Paramètres!BD$6:BD$45,0)),0,MATCH(1,Paramètres!BD$6:BD$45,0))</f>
        <v>0</v>
      </c>
      <c r="D28" s="345">
        <f>IF($C28&lt;&gt;0,VLOOKUP($C28,TRAINING_Lava_Hound[#All],2),0)</f>
        <v>0</v>
      </c>
      <c r="E28" s="140">
        <f>IF($C28&lt;&gt;0,VLOOKUP($C28,TRAINING_Lava_Hound[#All],3),0)</f>
        <v>0</v>
      </c>
      <c r="F28" s="678"/>
      <c r="I28" s="431" t="s">
        <v>712</v>
      </c>
      <c r="J28" s="552">
        <f>VLOOKUP($A$2,AVAILABLE_Upgrades_Dark_Spells[#All],MATCH($I28,AVAILABLE_Upgrades_Dark_Spells[#Headers],0)+1)</f>
        <v>0</v>
      </c>
      <c r="K28" s="553">
        <f>IF(ISERROR(MATCH(1,Paramètres!AL$6:AL$45,0)),0,MATCH(1,Paramètres!AL$6:AL$45,0))</f>
        <v>0</v>
      </c>
      <c r="L28" s="994">
        <f>IF($K28&lt;&gt;0,VLOOKUP($K28,TRAINING_Spell_Poison[#All],2),0)</f>
        <v>0</v>
      </c>
      <c r="M28" s="136">
        <f>IF($K28&lt;&gt;0,VLOOKUP($K28,TRAINING_Spell_Poison[#All],3),0)</f>
        <v>0</v>
      </c>
      <c r="N28" s="429"/>
    </row>
    <row r="29" spans="1:14" ht="16.5" customHeight="1" thickBot="1" x14ac:dyDescent="0.3">
      <c r="B29" s="1193" t="s">
        <v>317</v>
      </c>
      <c r="C29" s="1194"/>
      <c r="D29" s="335"/>
      <c r="E29" s="866"/>
      <c r="F29" s="354">
        <f>SUMPRODUCT(F$23:F$28,$D$23:$D$28)</f>
        <v>0</v>
      </c>
      <c r="I29" s="431" t="s">
        <v>713</v>
      </c>
      <c r="J29" s="98">
        <f>VLOOKUP($A$2,AVAILABLE_Upgrades_Dark_Spells[#All],MATCH($I29,AVAILABLE_Upgrades_Dark_Spells[#Headers],0)+1)</f>
        <v>0</v>
      </c>
      <c r="K29" s="340">
        <f>IF(ISERROR(MATCH(1,Paramètres!AM$6:AM$45,0)),0,MATCH(1,Paramètres!AM$6:AM$45,0))</f>
        <v>0</v>
      </c>
      <c r="L29" s="341">
        <f>IF($K29&lt;&gt;0,VLOOKUP($K29,TRAINING_Spell_Earthquake[#All],2),0)</f>
        <v>0</v>
      </c>
      <c r="M29" s="139">
        <f>IF($K29&lt;&gt;0,VLOOKUP($K29,TRAINING_Spell_Earthquake[#All],3),0)</f>
        <v>0</v>
      </c>
      <c r="N29" s="429"/>
    </row>
    <row r="30" spans="1:14" ht="16.5" customHeight="1" thickBot="1" x14ac:dyDescent="0.3">
      <c r="B30" s="1191" t="s">
        <v>232</v>
      </c>
      <c r="C30" s="1192"/>
      <c r="D30" s="868"/>
      <c r="E30" s="352"/>
      <c r="F30" s="360">
        <f>SUMPRODUCT(F$23:F$28,$E$23:$E$28)</f>
        <v>0</v>
      </c>
      <c r="I30" s="431" t="s">
        <v>714</v>
      </c>
      <c r="J30" s="620">
        <f>VLOOKUP($A$2,AVAILABLE_Upgrades_Dark_Spells[#All],MATCH($I30,AVAILABLE_Upgrades_Dark_Spells[#Headers],0)+1)</f>
        <v>0</v>
      </c>
      <c r="K30" s="264">
        <f>IF(ISERROR(MATCH(1,Paramètres!AN$6:AN$45,0)),0,MATCH(1,Paramètres!AN$6:AN$45,0))</f>
        <v>0</v>
      </c>
      <c r="L30" s="347">
        <f>IF($K30&lt;&gt;0,VLOOKUP($K30,TRAINING_Spell_Haste[#All],2),0)</f>
        <v>0</v>
      </c>
      <c r="M30" s="234">
        <f>IF($K30&lt;&gt;0,VLOOKUP($K30,TRAINING_Spell_Haste[#All],3),0)</f>
        <v>0</v>
      </c>
      <c r="N30" s="430"/>
    </row>
    <row r="31" spans="1:14" ht="15" customHeight="1" thickBot="1" x14ac:dyDescent="0.3">
      <c r="J31" s="1193" t="s">
        <v>317</v>
      </c>
      <c r="K31" s="1194"/>
      <c r="L31" s="335"/>
      <c r="M31" s="866"/>
      <c r="N31" s="357">
        <f>SUMPRODUCT(N$23:N$27,$L$23:$L$27)</f>
        <v>0</v>
      </c>
    </row>
    <row r="32" spans="1:14" ht="15" customHeight="1" x14ac:dyDescent="0.25">
      <c r="J32" s="1193" t="s">
        <v>659</v>
      </c>
      <c r="K32" s="1194"/>
      <c r="L32" s="335"/>
      <c r="M32" s="866"/>
      <c r="N32" s="835" t="e">
        <f>VLOOKUP($N$20,TRAINING_Dark_Spell_Factory[#All],2)+VLOOKUP($I$20,TRAINING_Spell_Factory[#All],2)</f>
        <v>#N/A</v>
      </c>
    </row>
    <row r="33" spans="10:14" ht="15" customHeight="1" x14ac:dyDescent="0.25">
      <c r="J33" s="1191" t="s">
        <v>232</v>
      </c>
      <c r="K33" s="1192"/>
      <c r="L33" s="868"/>
      <c r="M33" s="352"/>
      <c r="N33" s="437">
        <f>SUMPRODUCT(N$23:N$27,$M$23:$M$27)</f>
        <v>0</v>
      </c>
    </row>
  </sheetData>
  <sheetProtection selectLockedCells="1"/>
  <dataConsolidate/>
  <mergeCells count="30">
    <mergeCell ref="J33:K33"/>
    <mergeCell ref="B29:C29"/>
    <mergeCell ref="D7:E7"/>
    <mergeCell ref="J16:K16"/>
    <mergeCell ref="J32:K32"/>
    <mergeCell ref="B15:C15"/>
    <mergeCell ref="B12:C12"/>
    <mergeCell ref="B13:C13"/>
    <mergeCell ref="D15:F15"/>
    <mergeCell ref="B30:C30"/>
    <mergeCell ref="J15:K15"/>
    <mergeCell ref="J17:K17"/>
    <mergeCell ref="A21:F21"/>
    <mergeCell ref="J31:K31"/>
    <mergeCell ref="B1:C1"/>
    <mergeCell ref="B2:C2"/>
    <mergeCell ref="I21:N21"/>
    <mergeCell ref="I3:N3"/>
    <mergeCell ref="A3:E3"/>
    <mergeCell ref="B4:C4"/>
    <mergeCell ref="B16:C16"/>
    <mergeCell ref="D16:F16"/>
    <mergeCell ref="A9:C9"/>
    <mergeCell ref="B10:C10"/>
    <mergeCell ref="B11:C11"/>
    <mergeCell ref="B5:C5"/>
    <mergeCell ref="D5:E5"/>
    <mergeCell ref="B6:C6"/>
    <mergeCell ref="D6:E6"/>
    <mergeCell ref="B7:C7"/>
  </mergeCells>
  <conditionalFormatting sqref="B11:B13">
    <cfRule type="iconSet" priority="14">
      <iconSet iconSet="3Symbols2">
        <cfvo type="percent" val="0"/>
        <cfvo type="num" val="0"/>
        <cfvo type="num" val="1"/>
      </iconSet>
    </cfRule>
  </conditionalFormatting>
  <conditionalFormatting sqref="F27:F28">
    <cfRule type="expression" dxfId="255" priority="122">
      <formula>#REF!&lt;5</formula>
    </cfRule>
  </conditionalFormatting>
  <conditionalFormatting sqref="F28">
    <cfRule type="expression" dxfId="254" priority="134" stopIfTrue="1">
      <formula>$A$20&lt;1</formula>
    </cfRule>
  </conditionalFormatting>
  <conditionalFormatting sqref="F29 N15">
    <cfRule type="expression" dxfId="253" priority="149">
      <formula>$N$15+$F$29&gt;$N$16</formula>
    </cfRule>
  </conditionalFormatting>
  <conditionalFormatting sqref="N31">
    <cfRule type="expression" dxfId="252" priority="153">
      <formula>$N$31&gt;$N$32</formula>
    </cfRule>
  </conditionalFormatting>
  <conditionalFormatting sqref="N5:N14 N23:N27">
    <cfRule type="expression" dxfId="251" priority="224">
      <formula>OR($J5=0,$K5=0)</formula>
    </cfRule>
  </conditionalFormatting>
  <conditionalFormatting sqref="F23:F27">
    <cfRule type="expression" dxfId="250" priority="228">
      <formula>F$29&gt;#REF!</formula>
    </cfRule>
  </conditionalFormatting>
  <conditionalFormatting sqref="F23:F28">
    <cfRule type="expression" dxfId="249" priority="229">
      <formula>OR($B23=0,$C23=0)</formula>
    </cfRule>
    <cfRule type="expression" dxfId="248" priority="230">
      <formula>#REF!&lt;1</formula>
    </cfRule>
  </conditionalFormatting>
  <conditionalFormatting sqref="F28">
    <cfRule type="expression" dxfId="247" priority="231">
      <formula>#REF!&lt;6</formula>
    </cfRule>
    <cfRule type="expression" dxfId="246" priority="232" stopIfTrue="1">
      <formula>OR($B28=0,$C28=0)</formula>
    </cfRule>
    <cfRule type="expression" dxfId="245" priority="233" stopIfTrue="1">
      <formula>F$29&gt;#REF!</formula>
    </cfRule>
  </conditionalFormatting>
  <conditionalFormatting sqref="N28:N30">
    <cfRule type="expression" dxfId="244" priority="4">
      <formula>OR($B28=0,$C28=0)</formula>
    </cfRule>
  </conditionalFormatting>
  <conditionalFormatting sqref="N28:N30">
    <cfRule type="expression" dxfId="243" priority="3">
      <formula>$F$2&lt;1</formula>
    </cfRule>
  </conditionalFormatting>
  <conditionalFormatting sqref="N29:N30">
    <cfRule type="expression" dxfId="242" priority="2">
      <formula>$F$2&lt;2</formula>
    </cfRule>
  </conditionalFormatting>
  <conditionalFormatting sqref="N30">
    <cfRule type="expression" dxfId="241" priority="1">
      <formula>$F$2&lt;3</formula>
    </cfRule>
  </conditionalFormatting>
  <dataValidations count="5">
    <dataValidation type="whole" allowBlank="1" showInputMessage="1" showErrorMessage="1" sqref="N23:N29 G5:G9">
      <formula1>0</formula1>
      <formula2>10</formula2>
    </dataValidation>
    <dataValidation type="whole" allowBlank="1" showInputMessage="1" showErrorMessage="1" sqref="F23:F28 N5:N14">
      <formula1>0</formula1>
      <formula2>1000</formula2>
    </dataValidation>
    <dataValidation type="list" showErrorMessage="1" sqref="E4">
      <formula1>"Oui,Non"</formula1>
    </dataValidation>
    <dataValidation type="whole" allowBlank="1" showInputMessage="1" showErrorMessage="1" sqref="B5:B7">
      <formula1>0</formula1>
      <formula2>2000000</formula2>
    </dataValidation>
    <dataValidation type="list" allowBlank="1" showInputMessage="1" showErrorMessage="1" sqref="N2">
      <formula1>"0,1,2,3,4,5,6,7,8,9,10"</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FF0000"/>
  </sheetPr>
  <dimension ref="A1:O35"/>
  <sheetViews>
    <sheetView showGridLines="0" workbookViewId="0">
      <pane ySplit="2" topLeftCell="A9" activePane="bottomLeft" state="frozen"/>
      <selection activeCell="P319" sqref="P319"/>
      <selection pane="bottomLeft" activeCell="C2" sqref="C2"/>
    </sheetView>
  </sheetViews>
  <sheetFormatPr baseColWidth="10" defaultColWidth="11.42578125" defaultRowHeight="15" customHeight="1" x14ac:dyDescent="0.25"/>
  <cols>
    <col min="1" max="1" width="12.140625" style="158" bestFit="1" customWidth="1"/>
    <col min="2" max="7" width="10.7109375" style="158" customWidth="1"/>
    <col min="8" max="8" width="5.7109375" style="158" customWidth="1"/>
    <col min="9" max="9" width="11.7109375" style="158" customWidth="1"/>
    <col min="10" max="11" width="9.140625" style="158" customWidth="1"/>
    <col min="12" max="12" width="5.7109375" style="158" customWidth="1"/>
    <col min="13" max="13" width="15.7109375" style="158" customWidth="1"/>
    <col min="14" max="14" width="8.7109375" style="158" customWidth="1"/>
    <col min="15" max="15" width="10.7109375" style="158" customWidth="1"/>
    <col min="16" max="16384" width="11.42578125" style="158"/>
  </cols>
  <sheetData>
    <row r="1" spans="1:15" ht="15" customHeight="1" thickBot="1" x14ac:dyDescent="0.3">
      <c r="A1" s="385" t="s">
        <v>291</v>
      </c>
      <c r="B1" s="925" t="s">
        <v>286</v>
      </c>
      <c r="C1" s="400" t="s">
        <v>292</v>
      </c>
      <c r="D1" s="218" t="s">
        <v>293</v>
      </c>
    </row>
    <row r="2" spans="1:15" ht="15" customHeight="1" thickTop="1" thickBot="1" x14ac:dyDescent="0.3">
      <c r="A2" s="573">
        <f>Paramètres!$BI$2</f>
        <v>1</v>
      </c>
      <c r="B2" s="419" t="s">
        <v>289</v>
      </c>
      <c r="C2" s="419">
        <v>8</v>
      </c>
      <c r="D2" s="399">
        <f>IF($B$2='Paramètres - Admin'!$F$2,$C$2-$A$2,IF(B2='Paramètres - Admin'!$F$3,$A$2-$C$2))</f>
        <v>7</v>
      </c>
    </row>
    <row r="3" spans="1:15" ht="20.100000000000001" customHeight="1" thickBot="1" x14ac:dyDescent="0.3">
      <c r="A3" s="1087" t="s">
        <v>300</v>
      </c>
      <c r="B3" s="1088"/>
      <c r="C3" s="1088"/>
      <c r="D3" s="1088"/>
      <c r="E3" s="1088"/>
      <c r="F3" s="1088"/>
      <c r="G3" s="1210"/>
      <c r="M3" s="274" t="s">
        <v>123</v>
      </c>
      <c r="N3" s="108" t="s">
        <v>127</v>
      </c>
      <c r="O3" s="272" t="s">
        <v>295</v>
      </c>
    </row>
    <row r="4" spans="1:15" ht="15" customHeight="1" thickBot="1" x14ac:dyDescent="0.3">
      <c r="A4" s="390"/>
      <c r="B4" s="271" t="s">
        <v>212</v>
      </c>
      <c r="C4" s="272" t="s">
        <v>453</v>
      </c>
      <c r="D4" s="272" t="s">
        <v>452</v>
      </c>
      <c r="E4" s="272" t="s">
        <v>176</v>
      </c>
      <c r="F4" s="272" t="s">
        <v>210</v>
      </c>
      <c r="G4" s="273" t="s">
        <v>211</v>
      </c>
      <c r="M4" s="277" t="s">
        <v>212</v>
      </c>
      <c r="N4" s="278">
        <v>0.1</v>
      </c>
      <c r="O4" s="93">
        <v>400000</v>
      </c>
    </row>
    <row r="5" spans="1:15" ht="15" customHeight="1" thickBot="1" x14ac:dyDescent="0.3">
      <c r="A5" s="151" t="s">
        <v>38</v>
      </c>
      <c r="B5" s="275">
        <f>IF($B$2='Paramètres - Admin'!$F$2,VLOOKUP($C$2,AVAILABLE_Buildings_Resource[#All],MATCH(B$4,AVAILABLE_Buildings_Resource[#Headers],0)),IF($B$2='Paramètres - Admin'!$F$3,VLOOKUP($A$2,AVAILABLE_Buildings_Resource[#All],MATCH(B$4,AVAILABLE_Buildings_Resource[#Headers],0))))</f>
        <v>3</v>
      </c>
      <c r="C5" s="275">
        <f>IF($B$2='Paramètres - Admin'!$F$2,VLOOKUP($C$2,AVAILABLE_Buildings_Resource[#All],MATCH(C$4,AVAILABLE_Buildings_Resource[#Headers],0)),IF($B$2='Paramètres - Admin'!$F$3,VLOOKUP($A$2,AVAILABLE_Buildings_Resource[#All],MATCH(C$4,AVAILABLE_Buildings_Resource[#Headers],0))))</f>
        <v>3</v>
      </c>
      <c r="D5" s="275">
        <f>IF($B$2='Paramètres - Admin'!$F$2,VLOOKUP($C$2,AVAILABLE_Buildings_Resource[#All],MATCH(D$4,AVAILABLE_Buildings_Resource[#Headers],0)),IF($B$2='Paramètres - Admin'!$F$3,VLOOKUP($A$2,AVAILABLE_Buildings_Resource[#All],MATCH(D$4,AVAILABLE_Buildings_Resource[#Headers],0))))</f>
        <v>1</v>
      </c>
      <c r="E5" s="275">
        <f>IF($B$2='Paramètres - Admin'!$F$2,VLOOKUP($C$2,AVAILABLE_Buildings_Resource[#All],MATCH(E$4,AVAILABLE_Buildings_Resource[#Headers],0)),IF($B$2='Paramètres - Admin'!$F$3,VLOOKUP($A$2,AVAILABLE_Buildings_Resource[#All],MATCH(E$4,AVAILABLE_Buildings_Resource[#Headers],0))))</f>
        <v>6</v>
      </c>
      <c r="F5" s="275">
        <f>IF($B$2='Paramètres - Admin'!$F$2,VLOOKUP($C$2,AVAILABLE_Buildings_Resource[#All],MATCH(F$4,AVAILABLE_Buildings_Resource[#Headers],0)),IF($B$2='Paramètres - Admin'!$F$3,VLOOKUP($A$2,AVAILABLE_Buildings_Resource[#All],MATCH(F$4,AVAILABLE_Buildings_Resource[#Headers],0))))</f>
        <v>6</v>
      </c>
      <c r="G5" s="276">
        <f>IF($B$2='Paramètres - Admin'!$F$2,VLOOKUP($C$2,AVAILABLE_Buildings_Resource[#All],MATCH(G$4,AVAILABLE_Buildings_Resource[#Headers],0)),IF($B$2='Paramètres - Admin'!$F$3,VLOOKUP($A$2,AVAILABLE_Buildings_Resource[#All],MATCH(G$4,AVAILABLE_Buildings_Resource[#Headers],0))))</f>
        <v>2</v>
      </c>
      <c r="I5" s="1215" t="s">
        <v>298</v>
      </c>
      <c r="J5" s="1217" t="s">
        <v>308</v>
      </c>
      <c r="K5" s="1218"/>
      <c r="M5" s="279" t="s">
        <v>453</v>
      </c>
      <c r="N5" s="445">
        <v>0.1</v>
      </c>
      <c r="O5" s="441">
        <v>400000</v>
      </c>
    </row>
    <row r="6" spans="1:15" ht="15" customHeight="1" thickBot="1" x14ac:dyDescent="0.3">
      <c r="A6" s="576" t="s">
        <v>285</v>
      </c>
      <c r="B6" s="401">
        <f>IF($B$2='Paramètres - Admin'!$F$2,IF(ISERROR(VLOOKUP(VLOOKUP($C$2,AVAILABLE_Buildings_Resource[#All],MATCH(B$4,AVAILABLE_Buildings_Resource[#Headers],0)+1),EARNINGS_Gold_Storage[#All],2)),0,VLOOKUP(VLOOKUP($C$2,AVAILABLE_Buildings_Resource[#All],MATCH(B$4,AVAILABLE_Buildings_Resource[#Headers],0)+1),EARNINGS_Gold_Storage[#All],2)),IF($B$2='Paramètres - Admin'!$F$3,IF(ISERROR(VLOOKUP(VLOOKUP($A$2,AVAILABLE_Buildings_Resource[#All],MATCH(B$4,AVAILABLE_Buildings_Resource[#Headers],0)+1),EARNINGS_Gold_Storage[#All],2)),0,VLOOKUP(VLOOKUP($A$2,AVAILABLE_Buildings_Resource[#All],MATCH(B$4,AVAILABLE_Buildings_Resource[#Headers],0)+1),EARNINGS_Gold_Storage[#All],2))))</f>
        <v>2000000</v>
      </c>
      <c r="C6" s="401">
        <f>IF($B$2='Paramètres - Admin'!$F$2,IF(ISERROR(VLOOKUP(VLOOKUP($C$2,AVAILABLE_Buildings_Resource[#All],MATCH(C$4,AVAILABLE_Buildings_Resource[#Headers],0)+1),EARNINGS_Elixir_Storage[#All],2)),0,VLOOKUP(VLOOKUP($C$2,AVAILABLE_Buildings_Resource[#All],MATCH(C$4,AVAILABLE_Buildings_Resource[#Headers],0)+1),EARNINGS_Elixir_Storage[#All],2)),IF($B$2='Paramètres - Admin'!$F$3,IF(ISERROR(VLOOKUP(VLOOKUP($A$2,AVAILABLE_Buildings_Resource[#All],MATCH(C$4,AVAILABLE_Buildings_Resource[#Headers],0)+1),EARNINGS_Elixir_Storage[#All],2)),0,VLOOKUP(VLOOKUP($A$2,AVAILABLE_Buildings_Resource[#All],MATCH(C$4,AVAILABLE_Buildings_Resource[#Headers],0)+1),EARNINGS_Elixir_Storage[#All],2))))</f>
        <v>2000000</v>
      </c>
      <c r="D6" s="401">
        <f>IF($B$2='Paramètres - Admin'!$F$2,IF(ISERROR(VLOOKUP(VLOOKUP($C$2,AVAILABLE_Buildings_Resource[#All],MATCH(D$4,AVAILABLE_Buildings_Resource[#Headers],0)+1),EARNINGS_Dark_Elixir_Storage[#All],2)),0,VLOOKUP(VLOOKUP($C$2,AVAILABLE_Buildings_Resource[#All],MATCH(D$4,AVAILABLE_Buildings_Resource[#Headers],0)+1),EARNINGS_Dark_Elixir_Storage[#All],2)),IF($B$2='Paramètres - Admin'!$F$3,IF(ISERROR(VLOOKUP(VLOOKUP($A$2,AVAILABLE_Buildings_Resource[#All],MATCH(D$4,AVAILABLE_Buildings_Resource[#Headers],0)+1),EARNINGS_Dark_Elixir_Storage[#All],2)),0,VLOOKUP(VLOOKUP($A$2,AVAILABLE_Buildings_Resource[#All],MATCH(D$4,AVAILABLE_Buildings_Resource[#Headers],0)+1),EARNINGS_Dark_Elixir_Storage[#All],2))))</f>
        <v>80000</v>
      </c>
      <c r="E6" s="401">
        <f>IF($B$2='Paramètres - Admin'!$F$2,IF(ISERROR(VLOOKUP(VLOOKUP($C$2,AVAILABLE_Buildings_Resource[#All],MATCH(E$4,AVAILABLE_Buildings_Resource[#Headers],0)+1),EARNINGS_Gold_Mine[#All],3)),0,VLOOKUP(VLOOKUP($C$2,AVAILABLE_Buildings_Resource[#All],MATCH(E$4,AVAILABLE_Buildings_Resource[#Headers],0)+1),EARNINGS_Gold_Mine[#All],3)),IF($B$2='Paramètres - Admin'!$F$3,IF(ISERROR(VLOOKUP(VLOOKUP($A$2,AVAILABLE_Buildings_Resource[#All],MATCH(E$4,AVAILABLE_Buildings_Resource[#Headers],0)+1),EARNINGS_Gold_Mine[#All],3)),0,VLOOKUP(VLOOKUP($A$2,AVAILABLE_Buildings_Resource[#All],MATCH(E$4,AVAILABLE_Buildings_Resource[#Headers],0)+1),EARNINGS_Gold_Mine[#All],3))))</f>
        <v>200000</v>
      </c>
      <c r="F6" s="401">
        <f>IF($B$2='Paramètres - Admin'!$F$2,IF(ISERROR(VLOOKUP(VLOOKUP($C$2,AVAILABLE_Buildings_Resource[#All],MATCH(F$4,AVAILABLE_Buildings_Resource[#Headers],0)+1),EARNINGS_Elixir_Collector[#All],3)),0,VLOOKUP(VLOOKUP($C$2,AVAILABLE_Buildings_Resource[#All],MATCH(F$4,AVAILABLE_Buildings_Resource[#Headers],0)+1),EARNINGS_Elixir_Collector[#All],3)),IF($B$2='Paramètres - Admin'!$F$3,IF(ISERROR(VLOOKUP(VLOOKUP($A$2,AVAILABLE_Buildings_Resource[#All],MATCH(F$4,AVAILABLE_Buildings_Resource[#Headers],0)+1),EARNINGS_Elixir_Collector[#All],3)),0,VLOOKUP(VLOOKUP($A$2,AVAILABLE_Buildings_Resource[#All],MATCH(F$4,AVAILABLE_Buildings_Resource[#Headers],0)+1),EARNINGS_Elixir_Collector[#All],3))))</f>
        <v>200000</v>
      </c>
      <c r="G6" s="402">
        <f>IF($B$2='Paramètres - Admin'!$F$2,IF(ISERROR(VLOOKUP(VLOOKUP($C$2,AVAILABLE_Buildings_Resource[#All],MATCH(E$4,AVAILABLE_Buildings_Resource[#Headers],0)+1),EARNINGS_Dark_Elixir_Drill[#All],3)),0,VLOOKUP(VLOOKUP($C$2,AVAILABLE_Buildings_Resource[#All],MATCH(E$4,AVAILABLE_Buildings_Resource[#Headers],0)+1),EARNINGS_Dark_Elixir_Drill[#All],3)),IF($B$2='Paramètres - Admin'!$F$3,IF(ISERROR(VLOOKUP(VLOOKUP($A$2,AVAILABLE_Buildings_Resource[#All],MATCH(E$4,AVAILABLE_Buildings_Resource[#Headers],0)+1),EARNINGS_Dark_Elixir_Drill[#All],3)),0,VLOOKUP(VLOOKUP($A$2,AVAILABLE_Buildings_Resource[#All],MATCH(E$4,AVAILABLE_Buildings_Resource[#Headers],0)+1),EARNINGS_Dark_Elixir_Drill[#All],3))))</f>
        <v>1800</v>
      </c>
      <c r="I6" s="1216"/>
      <c r="J6" s="1219"/>
      <c r="K6" s="1220"/>
      <c r="M6" s="279" t="s">
        <v>452</v>
      </c>
      <c r="N6" s="280">
        <v>0.04</v>
      </c>
      <c r="O6" s="139">
        <v>3000</v>
      </c>
    </row>
    <row r="7" spans="1:15" ht="15" customHeight="1" thickTop="1" thickBot="1" x14ac:dyDescent="0.3">
      <c r="A7" s="122">
        <v>1</v>
      </c>
      <c r="B7" s="420"/>
      <c r="C7" s="421"/>
      <c r="D7" s="421"/>
      <c r="E7" s="421"/>
      <c r="F7" s="421"/>
      <c r="G7" s="422"/>
      <c r="M7" s="279" t="s">
        <v>176</v>
      </c>
      <c r="N7" s="281">
        <v>0.5</v>
      </c>
      <c r="O7" s="282">
        <f>IF($B$2='Paramètres - Admin'!$F$2,IF(ISERROR(VLOOKUP(VLOOKUP($C$2,AVAILABLE_Buildings_Resource[#All],MATCH(E$4,AVAILABLE_Buildings_Resource[#Headers],0)+1),EARNINGS_Gold_Storage[#All],2)),0,VLOOKUP(VLOOKUP($C$2,AVAILABLE_Buildings_Resource[#All],MATCH(E$4,AVAILABLE_Buildings_Resource[#Headers],0)+1),EARNINGS_Gold_Mine[#All],3)),IF($B$2='Paramètres - Admin'!$F$3,IF(ISERROR(VLOOKUP(VLOOKUP($A$2,AVAILABLE_Buildings_Resource[#All],MATCH(E$4,AVAILABLE_Buildings_Resource[#Headers],0)+1),EARNINGS_Gold_Storage[#All],2)),0,VLOOKUP(VLOOKUP($A$2,AVAILABLE_Buildings_Resource[#All],MATCH(E$4,AVAILABLE_Buildings_Resource[#Headers],0)+1),EARNINGS_Gold_Mine[#All],3))))</f>
        <v>200000</v>
      </c>
    </row>
    <row r="8" spans="1:15" ht="15" customHeight="1" x14ac:dyDescent="0.25">
      <c r="A8" s="115">
        <v>2</v>
      </c>
      <c r="B8" s="423"/>
      <c r="C8" s="296"/>
      <c r="D8" s="296"/>
      <c r="E8" s="296"/>
      <c r="F8" s="296"/>
      <c r="G8" s="424"/>
      <c r="I8" s="1221" t="s">
        <v>299</v>
      </c>
      <c r="J8" s="1223" t="s">
        <v>342</v>
      </c>
      <c r="K8" s="1224"/>
      <c r="M8" s="279" t="s">
        <v>210</v>
      </c>
      <c r="N8" s="445">
        <v>0.5</v>
      </c>
      <c r="O8" s="446">
        <f>IF($B$2='Paramètres - Admin'!$F$2,IF(ISERROR(VLOOKUP(VLOOKUP($C$2,AVAILABLE_Buildings_Resource[#All],MATCH(F$4,AVAILABLE_Buildings_Resource[#Headers],0)+1),EARNINGS_Gold_Storage[#All],2)),0,VLOOKUP(VLOOKUP($C$2,AVAILABLE_Buildings_Resource[#All],MATCH(F$4,AVAILABLE_Buildings_Resource[#Headers],0)+1),EARNINGS_Elixir_Collector[#All],3)),IF($B$2='Paramètres - Admin'!$F$3,IF(ISERROR(VLOOKUP(VLOOKUP($A$2,AVAILABLE_Buildings_Resource[#All],MATCH(F$4,AVAILABLE_Buildings_Resource[#Headers],0)+1),EARNINGS_Gold_Storage[#All],2)),0,VLOOKUP(VLOOKUP($A$2,AVAILABLE_Buildings_Resource[#All],MATCH(F$4,AVAILABLE_Buildings_Resource[#Headers],0)+1),EARNINGS_Elixir_Collector[#All],3))))</f>
        <v>200000</v>
      </c>
    </row>
    <row r="9" spans="1:15" ht="15" customHeight="1" thickBot="1" x14ac:dyDescent="0.3">
      <c r="A9" s="115">
        <v>3</v>
      </c>
      <c r="B9" s="423"/>
      <c r="C9" s="296"/>
      <c r="D9" s="296"/>
      <c r="E9" s="296"/>
      <c r="F9" s="296"/>
      <c r="G9" s="424"/>
      <c r="I9" s="1222"/>
      <c r="J9" s="1225"/>
      <c r="K9" s="1226"/>
      <c r="M9" s="279" t="s">
        <v>211</v>
      </c>
      <c r="N9" s="280">
        <v>0.75</v>
      </c>
      <c r="O9" s="283">
        <v>1600</v>
      </c>
    </row>
    <row r="10" spans="1:15" ht="15" customHeight="1" x14ac:dyDescent="0.25">
      <c r="A10" s="115">
        <v>4</v>
      </c>
      <c r="B10" s="423"/>
      <c r="C10" s="296"/>
      <c r="D10" s="296"/>
      <c r="E10" s="296"/>
      <c r="F10" s="296"/>
      <c r="G10" s="424"/>
      <c r="M10" s="97" t="s">
        <v>344</v>
      </c>
      <c r="N10" s="281">
        <v>1</v>
      </c>
      <c r="O10" s="100">
        <v>1000</v>
      </c>
    </row>
    <row r="11" spans="1:15" ht="15" customHeight="1" thickBot="1" x14ac:dyDescent="0.3">
      <c r="A11" s="115">
        <v>5</v>
      </c>
      <c r="B11" s="423"/>
      <c r="C11" s="296"/>
      <c r="D11" s="296"/>
      <c r="E11" s="296"/>
      <c r="F11" s="296"/>
      <c r="G11" s="424"/>
      <c r="M11" s="126" t="s">
        <v>345</v>
      </c>
      <c r="N11" s="444">
        <v>1</v>
      </c>
      <c r="O11" s="442">
        <v>1000</v>
      </c>
    </row>
    <row r="12" spans="1:15" ht="15" customHeight="1" x14ac:dyDescent="0.25">
      <c r="A12" s="115">
        <v>6</v>
      </c>
      <c r="B12" s="423"/>
      <c r="C12" s="296"/>
      <c r="D12" s="296"/>
      <c r="E12" s="296"/>
      <c r="F12" s="296"/>
      <c r="G12" s="424"/>
    </row>
    <row r="13" spans="1:15" ht="15" customHeight="1" thickBot="1" x14ac:dyDescent="0.3">
      <c r="A13" s="288">
        <v>7</v>
      </c>
      <c r="B13" s="425"/>
      <c r="C13" s="426"/>
      <c r="D13" s="426"/>
      <c r="E13" s="426"/>
      <c r="F13" s="426"/>
      <c r="G13" s="427"/>
    </row>
    <row r="14" spans="1:15" ht="15" customHeight="1" thickTop="1" thickBot="1" x14ac:dyDescent="0.3">
      <c r="A14" s="274" t="s">
        <v>31</v>
      </c>
      <c r="B14" s="403">
        <f t="shared" ref="B14:G14" si="0">SUMIF($A7:$A13,"&lt;="&amp;B$5,B7:B13)</f>
        <v>0</v>
      </c>
      <c r="C14" s="404">
        <f t="shared" si="0"/>
        <v>0</v>
      </c>
      <c r="D14" s="404">
        <f t="shared" si="0"/>
        <v>0</v>
      </c>
      <c r="E14" s="404">
        <f t="shared" si="0"/>
        <v>0</v>
      </c>
      <c r="F14" s="404">
        <f t="shared" si="0"/>
        <v>0</v>
      </c>
      <c r="G14" s="405">
        <f t="shared" si="0"/>
        <v>0</v>
      </c>
    </row>
    <row r="16" spans="1:15" ht="15" customHeight="1" thickBot="1" x14ac:dyDescent="0.3"/>
    <row r="17" spans="1:8" ht="20.100000000000001" customHeight="1" thickBot="1" x14ac:dyDescent="0.3">
      <c r="A17" s="1073" t="s">
        <v>301</v>
      </c>
      <c r="B17" s="1074"/>
      <c r="C17" s="1074"/>
      <c r="D17" s="1074"/>
      <c r="E17" s="1074"/>
      <c r="F17" s="1074"/>
      <c r="G17" s="1075"/>
    </row>
    <row r="18" spans="1:8" ht="15" customHeight="1" thickBot="1" x14ac:dyDescent="0.3">
      <c r="A18" s="388"/>
      <c r="B18" s="271" t="s">
        <v>212</v>
      </c>
      <c r="C18" s="272" t="s">
        <v>453</v>
      </c>
      <c r="D18" s="272" t="s">
        <v>452</v>
      </c>
      <c r="E18" s="272" t="s">
        <v>176</v>
      </c>
      <c r="F18" s="272" t="s">
        <v>210</v>
      </c>
      <c r="G18" s="273" t="s">
        <v>211</v>
      </c>
    </row>
    <row r="19" spans="1:8" ht="15" customHeight="1" x14ac:dyDescent="0.25">
      <c r="A19" s="115">
        <v>1</v>
      </c>
      <c r="B19" s="284">
        <f>IF($A19&gt;B$5,0,IF((B$7*$N$4)+(B$8*$N$4)+(B$9*$N$4)+(B$10*$N$4)+(B$11*$N$4)+(B$12*$N$4)+(B$13*$N$4)&gt;$O$4,$O$4*(B7/B$14),B7*$N$4))</f>
        <v>0</v>
      </c>
      <c r="C19" s="440">
        <f t="shared" ref="C19:C25" si="1">IF($A19&gt;C$5,0,IF((C$7*$N$5)+(C$8*$N$5)+(C$9*$N$5)+(C$10*$N$5)+(C$11*$N$5)+(C$12*$N$5)+(C$13*$N$5)&gt;$O$5,$O$5*(C7/C$14),C7*$N$5))</f>
        <v>0</v>
      </c>
      <c r="D19" s="136">
        <f t="shared" ref="D19:D25" si="2">IF($A19&gt;D$5,0,IF((D$7*$N$6)+(D$8*$N$6)+(D$9*$N$6)+(D$10*$N$6)+(D$11*$N$6)+(D$12*$N$6)+(D$13*$N$6)&gt;$O$6,$O$6*(D7/D$14),D7*$N$6))</f>
        <v>0</v>
      </c>
      <c r="E19" s="93">
        <f t="shared" ref="E19:E25" si="3">IF($A19&gt;E$5,0,IF(E7&gt;$O$7,$O$7*$N$7,E7*$N$7))</f>
        <v>0</v>
      </c>
      <c r="F19" s="440">
        <f t="shared" ref="F19:F25" si="4">IF($A19&gt;F$5,0,IF(F7&gt;$O$8,$O$8*$N$8,F7*$N$8))</f>
        <v>0</v>
      </c>
      <c r="G19" s="285">
        <f t="shared" ref="G19:G25" si="5">IF($A19&gt;G$5,0,IF(G7&gt;$O$9,$O$9*$N$9,G7*$N$9))</f>
        <v>0</v>
      </c>
    </row>
    <row r="20" spans="1:8" ht="15" customHeight="1" x14ac:dyDescent="0.25">
      <c r="A20" s="115">
        <v>2</v>
      </c>
      <c r="B20" s="286">
        <f t="shared" ref="B20:B25" si="6">IF($A20&gt;B$5,0,IF((B$7*$N$4)+(B$8*$N$4)+(B$9*$N$4)+(B$10*$N$4)+(B$11*$N$4)+(B$12*$N$4)+(B$13*$N$4)&gt;$O$4,$O$4*(B8/B$14),B8*$N$4))</f>
        <v>0</v>
      </c>
      <c r="C20" s="441">
        <f t="shared" si="1"/>
        <v>0</v>
      </c>
      <c r="D20" s="139">
        <f t="shared" si="2"/>
        <v>0</v>
      </c>
      <c r="E20" s="100">
        <f t="shared" si="3"/>
        <v>0</v>
      </c>
      <c r="F20" s="441">
        <f>IF($A20&gt;F$5,0,IF(F8&gt;$O$8,$O$8*$N$8,F8*$N$8))</f>
        <v>0</v>
      </c>
      <c r="G20" s="287">
        <f t="shared" si="5"/>
        <v>0</v>
      </c>
    </row>
    <row r="21" spans="1:8" ht="15" customHeight="1" x14ac:dyDescent="0.25">
      <c r="A21" s="115">
        <v>3</v>
      </c>
      <c r="B21" s="286">
        <f t="shared" si="6"/>
        <v>0</v>
      </c>
      <c r="C21" s="441">
        <f t="shared" si="1"/>
        <v>0</v>
      </c>
      <c r="D21" s="139">
        <f t="shared" si="2"/>
        <v>0</v>
      </c>
      <c r="E21" s="100">
        <f t="shared" si="3"/>
        <v>0</v>
      </c>
      <c r="F21" s="441">
        <f t="shared" si="4"/>
        <v>0</v>
      </c>
      <c r="G21" s="287">
        <f t="shared" si="5"/>
        <v>0</v>
      </c>
    </row>
    <row r="22" spans="1:8" ht="15" customHeight="1" x14ac:dyDescent="0.25">
      <c r="A22" s="115">
        <v>4</v>
      </c>
      <c r="B22" s="286">
        <f t="shared" si="6"/>
        <v>0</v>
      </c>
      <c r="C22" s="441">
        <f t="shared" si="1"/>
        <v>0</v>
      </c>
      <c r="D22" s="139">
        <f t="shared" si="2"/>
        <v>0</v>
      </c>
      <c r="E22" s="100">
        <f t="shared" si="3"/>
        <v>0</v>
      </c>
      <c r="F22" s="441">
        <f t="shared" si="4"/>
        <v>0</v>
      </c>
      <c r="G22" s="287">
        <f t="shared" si="5"/>
        <v>0</v>
      </c>
    </row>
    <row r="23" spans="1:8" ht="15" customHeight="1" x14ac:dyDescent="0.25">
      <c r="A23" s="115">
        <v>5</v>
      </c>
      <c r="B23" s="286">
        <f t="shared" si="6"/>
        <v>0</v>
      </c>
      <c r="C23" s="441">
        <f t="shared" si="1"/>
        <v>0</v>
      </c>
      <c r="D23" s="139">
        <f t="shared" si="2"/>
        <v>0</v>
      </c>
      <c r="E23" s="100">
        <f t="shared" si="3"/>
        <v>0</v>
      </c>
      <c r="F23" s="441">
        <f t="shared" si="4"/>
        <v>0</v>
      </c>
      <c r="G23" s="287">
        <f t="shared" si="5"/>
        <v>0</v>
      </c>
    </row>
    <row r="24" spans="1:8" ht="15" customHeight="1" x14ac:dyDescent="0.25">
      <c r="A24" s="115">
        <v>6</v>
      </c>
      <c r="B24" s="286">
        <f t="shared" si="6"/>
        <v>0</v>
      </c>
      <c r="C24" s="441">
        <f t="shared" si="1"/>
        <v>0</v>
      </c>
      <c r="D24" s="139">
        <f t="shared" si="2"/>
        <v>0</v>
      </c>
      <c r="E24" s="100">
        <f t="shared" si="3"/>
        <v>0</v>
      </c>
      <c r="F24" s="441">
        <f t="shared" si="4"/>
        <v>0</v>
      </c>
      <c r="G24" s="287">
        <f t="shared" si="5"/>
        <v>0</v>
      </c>
    </row>
    <row r="25" spans="1:8" ht="15" customHeight="1" thickBot="1" x14ac:dyDescent="0.3">
      <c r="A25" s="288">
        <v>7</v>
      </c>
      <c r="B25" s="289">
        <f t="shared" si="6"/>
        <v>0</v>
      </c>
      <c r="C25" s="442">
        <f t="shared" si="1"/>
        <v>0</v>
      </c>
      <c r="D25" s="234">
        <f t="shared" si="2"/>
        <v>0</v>
      </c>
      <c r="E25" s="133">
        <f t="shared" si="3"/>
        <v>0</v>
      </c>
      <c r="F25" s="442">
        <f t="shared" si="4"/>
        <v>0</v>
      </c>
      <c r="G25" s="290">
        <f t="shared" si="5"/>
        <v>0</v>
      </c>
    </row>
    <row r="26" spans="1:8" ht="15" customHeight="1" thickBot="1" x14ac:dyDescent="0.3">
      <c r="A26" s="274" t="s">
        <v>31</v>
      </c>
      <c r="B26" s="291">
        <f t="shared" ref="B26:G26" si="7">SUM(B19:B25)</f>
        <v>0</v>
      </c>
      <c r="C26" s="443">
        <f t="shared" si="7"/>
        <v>0</v>
      </c>
      <c r="D26" s="270">
        <f t="shared" si="7"/>
        <v>0</v>
      </c>
      <c r="E26" s="269">
        <f t="shared" si="7"/>
        <v>0</v>
      </c>
      <c r="F26" s="443">
        <f t="shared" si="7"/>
        <v>0</v>
      </c>
      <c r="G26" s="292">
        <f t="shared" si="7"/>
        <v>0</v>
      </c>
    </row>
    <row r="28" spans="1:8" ht="15" customHeight="1" thickBot="1" x14ac:dyDescent="0.3"/>
    <row r="29" spans="1:8" ht="20.100000000000001" customHeight="1" thickBot="1" x14ac:dyDescent="0.3">
      <c r="A29" s="1073" t="str">
        <f>IF($B$2='Paramètres - Admin'!$F$2,$G$29 &amp; C2,IF($B$2='Paramètres - Admin'!$F$3,$H$29 &amp; C2))</f>
        <v>Loots - Gains Possibles vs HdV LVL 8</v>
      </c>
      <c r="B29" s="1074"/>
      <c r="C29" s="1074"/>
      <c r="D29" s="1074"/>
      <c r="E29" s="1074"/>
      <c r="F29" s="1075"/>
      <c r="G29" s="391" t="s">
        <v>310</v>
      </c>
      <c r="H29" s="391" t="s">
        <v>311</v>
      </c>
    </row>
    <row r="30" spans="1:8" ht="15" customHeight="1" thickBot="1" x14ac:dyDescent="0.3">
      <c r="A30" s="1211"/>
      <c r="B30" s="1212"/>
      <c r="C30" s="108" t="s">
        <v>307</v>
      </c>
      <c r="D30" s="272" t="s">
        <v>246</v>
      </c>
      <c r="E30" s="272" t="s">
        <v>247</v>
      </c>
      <c r="F30" s="273" t="s">
        <v>248</v>
      </c>
    </row>
    <row r="31" spans="1:8" ht="15" customHeight="1" x14ac:dyDescent="0.25">
      <c r="A31" s="1213" t="s">
        <v>454</v>
      </c>
      <c r="B31" s="1214"/>
      <c r="C31" s="293">
        <f>VLOOKUP(1,LEAGUES_Loot_Multiplier[#All],3)</f>
        <v>2</v>
      </c>
      <c r="D31" s="93">
        <f>B26*$C31</f>
        <v>0</v>
      </c>
      <c r="E31" s="440">
        <f>C26*$C31</f>
        <v>0</v>
      </c>
      <c r="F31" s="285">
        <f>D26*$C31</f>
        <v>0</v>
      </c>
    </row>
    <row r="32" spans="1:8" ht="15" customHeight="1" x14ac:dyDescent="0.25">
      <c r="A32" s="1206" t="s">
        <v>304</v>
      </c>
      <c r="B32" s="1207"/>
      <c r="C32" s="294">
        <f>VLOOKUP(1,LEAGUES_Loot_Multiplier[#All],3)</f>
        <v>2</v>
      </c>
      <c r="D32" s="100">
        <f>E26*$C32</f>
        <v>0</v>
      </c>
      <c r="E32" s="441">
        <f>F26*$C32</f>
        <v>0</v>
      </c>
      <c r="F32" s="287">
        <f>G26*$C32</f>
        <v>0</v>
      </c>
    </row>
    <row r="33" spans="1:6" ht="15" customHeight="1" x14ac:dyDescent="0.25">
      <c r="A33" s="1206" t="s">
        <v>197</v>
      </c>
      <c r="B33" s="1207"/>
      <c r="C33" s="294">
        <f>IF(D2&gt;0,1,VLOOKUP(1,LEAGUES_Loot_Multiplier[#All],3))</f>
        <v>1</v>
      </c>
      <c r="D33" s="100">
        <f>$O$10*$C33</f>
        <v>1000</v>
      </c>
      <c r="E33" s="441">
        <f>$O$11*$C33</f>
        <v>1000</v>
      </c>
      <c r="F33" s="287">
        <v>0</v>
      </c>
    </row>
    <row r="34" spans="1:6" ht="15" customHeight="1" thickBot="1" x14ac:dyDescent="0.3">
      <c r="A34" s="1208" t="s">
        <v>306</v>
      </c>
      <c r="B34" s="1209"/>
      <c r="C34" s="295" t="s">
        <v>118</v>
      </c>
      <c r="D34" s="133">
        <f>IF($B$2='Paramètres - Admin'!$F$2,VLOOKUP(1,LEAGUES_Bonus[#All],3),0)</f>
        <v>35000</v>
      </c>
      <c r="E34" s="442">
        <f>IF($B$2='Paramètres - Admin'!$F$2,VLOOKUP(1,LEAGUES_Bonus[#All],4),0)</f>
        <v>35000</v>
      </c>
      <c r="F34" s="290">
        <f>IF($B$2='Paramètres - Admin'!$F$2,VLOOKUP(1,LEAGUES_Bonus[#All],5),0)</f>
        <v>100</v>
      </c>
    </row>
    <row r="35" spans="1:6" ht="15" customHeight="1" thickBot="1" x14ac:dyDescent="0.3">
      <c r="A35" s="156"/>
      <c r="C35" s="614" t="s">
        <v>31</v>
      </c>
      <c r="D35" s="269">
        <f>SUM(D31:D34)</f>
        <v>36000</v>
      </c>
      <c r="E35" s="443">
        <f>SUM(E31:E34)</f>
        <v>36000</v>
      </c>
      <c r="F35" s="292">
        <f>SUM(F31:F34)</f>
        <v>100</v>
      </c>
    </row>
  </sheetData>
  <sheetProtection sheet="1" objects="1" scenarios="1" selectLockedCells="1"/>
  <mergeCells count="12">
    <mergeCell ref="I5:I6"/>
    <mergeCell ref="J5:K6"/>
    <mergeCell ref="I8:I9"/>
    <mergeCell ref="J8:K9"/>
    <mergeCell ref="A32:B32"/>
    <mergeCell ref="A33:B33"/>
    <mergeCell ref="A34:B34"/>
    <mergeCell ref="A17:G17"/>
    <mergeCell ref="A3:G3"/>
    <mergeCell ref="A29:F29"/>
    <mergeCell ref="A30:B30"/>
    <mergeCell ref="A31:B31"/>
  </mergeCells>
  <conditionalFormatting sqref="B7:G13">
    <cfRule type="expression" dxfId="240" priority="100">
      <formula>$A7&gt;B$5</formula>
    </cfRule>
  </conditionalFormatting>
  <conditionalFormatting sqref="B7:B13">
    <cfRule type="expression" dxfId="239" priority="99">
      <formula>$B7&gt;$B$6</formula>
    </cfRule>
  </conditionalFormatting>
  <conditionalFormatting sqref="D7:D13">
    <cfRule type="expression" dxfId="238" priority="97">
      <formula>$D7&gt;$D$6</formula>
    </cfRule>
  </conditionalFormatting>
  <conditionalFormatting sqref="E7:E13">
    <cfRule type="expression" dxfId="237" priority="96">
      <formula>$E7&gt;$E$6</formula>
    </cfRule>
  </conditionalFormatting>
  <conditionalFormatting sqref="G7:G13">
    <cfRule type="expression" dxfId="236" priority="70">
      <formula>$G7&gt;$G$6</formula>
    </cfRule>
  </conditionalFormatting>
  <conditionalFormatting sqref="C7:C13">
    <cfRule type="expression" dxfId="235" priority="98">
      <formula>$C7&gt;$C$6</formula>
    </cfRule>
  </conditionalFormatting>
  <conditionalFormatting sqref="F7:F13">
    <cfRule type="expression" dxfId="234" priority="95">
      <formula>$F7&gt;$F$6</formula>
    </cfRule>
  </conditionalFormatting>
  <conditionalFormatting sqref="B19:G26">
    <cfRule type="expression" dxfId="233" priority="1">
      <formula>B19=0</formula>
    </cfRule>
  </conditionalFormatting>
  <dataValidations count="3">
    <dataValidation type="list" allowBlank="1" showInputMessage="1" showErrorMessage="1" sqref="B2">
      <formula1>Attack_Defense</formula1>
    </dataValidation>
    <dataValidation type="list" allowBlank="1" showInputMessage="1" showErrorMessage="1" sqref="C2">
      <formula1>"1,2,3,4,5,6,7,8,9,10"</formula1>
    </dataValidation>
    <dataValidation type="whole" allowBlank="1" showInputMessage="1" showErrorMessage="1" sqref="B7:G13">
      <formula1>0</formula1>
      <formula2>2000000</formula2>
    </dataValidation>
  </dataValidations>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FF0000"/>
  </sheetPr>
  <dimension ref="A1:W41"/>
  <sheetViews>
    <sheetView showGridLines="0" zoomScaleNormal="100" workbookViewId="0">
      <pane ySplit="2" topLeftCell="A3" activePane="bottomLeft" state="frozen"/>
      <selection activeCell="P319" sqref="P319"/>
      <selection pane="bottomLeft" activeCell="T12" sqref="T12"/>
    </sheetView>
  </sheetViews>
  <sheetFormatPr baseColWidth="10" defaultColWidth="11.42578125" defaultRowHeight="15" customHeight="1" x14ac:dyDescent="0.25"/>
  <cols>
    <col min="1" max="1" width="15.5703125" style="158" customWidth="1"/>
    <col min="2" max="2" width="7.28515625" style="156" customWidth="1"/>
    <col min="3" max="3" width="7.28515625" style="158" customWidth="1"/>
    <col min="4" max="6" width="6.7109375" style="158" customWidth="1"/>
    <col min="7" max="7" width="15.7109375" style="158" customWidth="1"/>
    <col min="8" max="8" width="2.7109375" style="158" customWidth="1"/>
    <col min="9" max="9" width="10.7109375" style="158" customWidth="1"/>
    <col min="10" max="11" width="7.28515625" style="158" customWidth="1"/>
    <col min="12" max="14" width="6.7109375" style="158" hidden="1" customWidth="1"/>
    <col min="15" max="17" width="15.7109375" style="158" customWidth="1"/>
    <col min="18" max="18" width="16.42578125" style="158" customWidth="1"/>
    <col min="19" max="19" width="15.7109375" style="156" customWidth="1"/>
    <col min="20" max="20" width="19.28515625" style="158" customWidth="1"/>
    <col min="21" max="22" width="15.7109375" style="158" customWidth="1"/>
    <col min="23" max="23" width="15.7109375" style="156" customWidth="1"/>
    <col min="24" max="16384" width="11.42578125" style="158"/>
  </cols>
  <sheetData>
    <row r="1" spans="1:19" ht="24.95" customHeight="1" thickBot="1" x14ac:dyDescent="0.3">
      <c r="A1" s="385" t="s">
        <v>291</v>
      </c>
      <c r="B1" s="1080" t="s">
        <v>228</v>
      </c>
      <c r="C1" s="1236"/>
      <c r="D1" s="1227" t="s">
        <v>315</v>
      </c>
      <c r="E1" s="1233"/>
      <c r="F1" s="1227" t="s">
        <v>718</v>
      </c>
      <c r="G1" s="1228"/>
      <c r="I1" s="218" t="s">
        <v>318</v>
      </c>
      <c r="L1" s="323"/>
      <c r="M1" s="323"/>
      <c r="N1" s="324"/>
      <c r="O1" s="271" t="s">
        <v>323</v>
      </c>
      <c r="P1" s="272" t="s">
        <v>324</v>
      </c>
      <c r="Q1" s="272" t="s">
        <v>325</v>
      </c>
      <c r="R1" s="273" t="s">
        <v>326</v>
      </c>
    </row>
    <row r="2" spans="1:19" ht="15" customHeight="1" thickTop="1" thickBot="1" x14ac:dyDescent="0.3">
      <c r="A2" s="743">
        <f>Paramètres!$BI$2</f>
        <v>1</v>
      </c>
      <c r="B2" s="1078" t="s">
        <v>160</v>
      </c>
      <c r="C2" s="1237"/>
      <c r="D2" s="1234">
        <f>IF(ISERROR(MATCH(1,Paramètres!L$6:L$45,0)),0,MATCH(1,Paramètres!L$6:L$45,0))</f>
        <v>0</v>
      </c>
      <c r="E2" s="1235"/>
      <c r="F2" s="1229">
        <f>IF(ISERROR(MATCH(1,Paramètres!M$6:M$45,0)),0,MATCH(1,Paramètres!M$6:M$45,0))</f>
        <v>0</v>
      </c>
      <c r="G2" s="1230"/>
      <c r="I2" s="325">
        <f>Paramètres!H46</f>
        <v>0</v>
      </c>
      <c r="L2" s="326"/>
      <c r="M2" s="326"/>
      <c r="N2" s="327"/>
      <c r="O2" s="432">
        <v>9</v>
      </c>
      <c r="P2" s="434">
        <v>9</v>
      </c>
      <c r="Q2" s="434">
        <v>10</v>
      </c>
      <c r="R2" s="433">
        <v>10</v>
      </c>
    </row>
    <row r="3" spans="1:19" ht="20.100000000000001" customHeight="1" thickTop="1" thickBot="1" x14ac:dyDescent="0.3">
      <c r="A3" s="1073" t="s">
        <v>312</v>
      </c>
      <c r="B3" s="1088"/>
      <c r="C3" s="1088"/>
      <c r="D3" s="1074"/>
      <c r="E3" s="1074"/>
      <c r="F3" s="1074"/>
      <c r="G3" s="1075"/>
      <c r="I3" s="1087" t="s">
        <v>313</v>
      </c>
      <c r="J3" s="1088"/>
      <c r="K3" s="1088"/>
      <c r="L3" s="1088"/>
      <c r="M3" s="1088"/>
      <c r="N3" s="1088"/>
      <c r="O3" s="1088"/>
      <c r="P3" s="1088"/>
      <c r="Q3" s="1088"/>
      <c r="R3" s="1210"/>
    </row>
    <row r="4" spans="1:19" ht="15" customHeight="1" thickBot="1" x14ac:dyDescent="0.3">
      <c r="A4" s="328"/>
      <c r="B4" s="329" t="s">
        <v>39</v>
      </c>
      <c r="C4" s="653" t="s">
        <v>331</v>
      </c>
      <c r="D4" s="653" t="s">
        <v>391</v>
      </c>
      <c r="E4" s="330" t="s">
        <v>258</v>
      </c>
      <c r="F4" s="331" t="s">
        <v>151</v>
      </c>
      <c r="G4" s="400" t="s">
        <v>449</v>
      </c>
      <c r="I4" s="332"/>
      <c r="J4" s="108" t="s">
        <v>39</v>
      </c>
      <c r="K4" s="272" t="s">
        <v>331</v>
      </c>
      <c r="L4" s="272" t="s">
        <v>391</v>
      </c>
      <c r="M4" s="333" t="s">
        <v>258</v>
      </c>
      <c r="N4" s="334" t="s">
        <v>151</v>
      </c>
      <c r="O4" s="271" t="s">
        <v>322</v>
      </c>
      <c r="P4" s="272" t="s">
        <v>359</v>
      </c>
      <c r="Q4" s="272" t="s">
        <v>321</v>
      </c>
      <c r="R4" s="334" t="s">
        <v>320</v>
      </c>
      <c r="S4" s="400" t="s">
        <v>31</v>
      </c>
    </row>
    <row r="5" spans="1:19" ht="15" customHeight="1" thickTop="1" x14ac:dyDescent="0.25">
      <c r="A5" s="336" t="s">
        <v>190</v>
      </c>
      <c r="B5" s="90">
        <f>VLOOKUP($A$2,AVAILABLE_Upgrades_Spells[#All],MATCH($A5,AVAILABLE_Upgrades_Spells[#Headers],0)+1)</f>
        <v>0</v>
      </c>
      <c r="C5" s="337">
        <f>IF(ISERROR(MATCH(1,Paramètres!AG$6:AG$45,0)),0,MATCH(1,Paramètres!AG$6:AG$45,0))</f>
        <v>0</v>
      </c>
      <c r="D5" s="338">
        <f>IF($C5&lt;&gt;0,VLOOKUP($C5,TRAINING_Spell_Lightning[#All],2),0)</f>
        <v>0</v>
      </c>
      <c r="E5" s="437">
        <f>IF($C5&lt;&gt;0,VLOOKUP($C5,TRAINING_Spell_Lightning[#All],3),0)</f>
        <v>0</v>
      </c>
      <c r="F5" s="339">
        <f>IF($C5&lt;&gt;0,VLOOKUP($C5,TRAINING_Spell_Lightning[#All],4),0)</f>
        <v>0</v>
      </c>
      <c r="G5" s="428"/>
      <c r="I5" s="137" t="s">
        <v>195</v>
      </c>
      <c r="J5" s="138">
        <f>VLOOKUP($A$2,AVAILABLE_Upgrades_Normal_Troops[#All],MATCH($I5,AVAILABLE_Upgrades_Normal_Troops[#Headers],0)+1)</f>
        <v>0</v>
      </c>
      <c r="K5" s="340">
        <f>IF(ISERROR(MATCH(1,Paramètres!AO$6:AO$45,0)),0,MATCH(1,Paramètres!AO$6:AO$45,0))</f>
        <v>0</v>
      </c>
      <c r="L5" s="341">
        <f>IF($K5&lt;&gt;0,VLOOKUP($K5,TRAINING_Barbarian[#All],2),0)</f>
        <v>0</v>
      </c>
      <c r="M5" s="102">
        <f>IF($K5&lt;&gt;0,VLOOKUP($K5,TRAINING_Barbarian[#All],3),0)</f>
        <v>0</v>
      </c>
      <c r="N5" s="342">
        <f>IF($K5&lt;&gt;0,VLOOKUP($K5,TRAINING_Barbarian[#All],4),0)</f>
        <v>0</v>
      </c>
      <c r="O5" s="410"/>
      <c r="P5" s="416"/>
      <c r="Q5" s="416"/>
      <c r="R5" s="411"/>
      <c r="S5" s="586">
        <f>SUM(O5:R5)</f>
        <v>0</v>
      </c>
    </row>
    <row r="6" spans="1:19" ht="15" customHeight="1" x14ac:dyDescent="0.25">
      <c r="A6" s="137" t="s">
        <v>191</v>
      </c>
      <c r="B6" s="98">
        <f>VLOOKUP($A$2,AVAILABLE_Upgrades_Spells[#All],MATCH($A6,AVAILABLE_Upgrades_Spells[#Headers],0)+1)</f>
        <v>0</v>
      </c>
      <c r="C6" s="340">
        <f>IF(ISERROR(MATCH(1,Paramètres!AH$6:AH$45,0)),0,MATCH(1,Paramètres!AH$6:AH$45,0))</f>
        <v>0</v>
      </c>
      <c r="D6" s="341">
        <f>IF($C6&lt;&gt;0,VLOOKUP($C6,TRAINING_Spell_Healing[#All],2),0)</f>
        <v>0</v>
      </c>
      <c r="E6" s="437">
        <f>IF($C6&lt;&gt;0,VLOOKUP($C6,TRAINING_Spell_Healing[#All],3),0)</f>
        <v>0</v>
      </c>
      <c r="F6" s="342">
        <f>IF($C6&lt;&gt;0,VLOOKUP($C6,TRAINING_Spell_Healing[#All],4),0)</f>
        <v>0</v>
      </c>
      <c r="G6" s="429"/>
      <c r="I6" s="137" t="s">
        <v>50</v>
      </c>
      <c r="J6" s="138">
        <f>VLOOKUP($A$2,AVAILABLE_Upgrades_Normal_Troops[#All],MATCH($I6,AVAILABLE_Upgrades_Normal_Troops[#Headers],0)+1)</f>
        <v>0</v>
      </c>
      <c r="K6" s="340">
        <f>IF(ISERROR(MATCH(1,Paramètres!AP$6:AP$45,0)),0,MATCH(1,Paramètres!AP$6:AP$45,0))</f>
        <v>0</v>
      </c>
      <c r="L6" s="341">
        <f>IF($K6&lt;&gt;0,VLOOKUP($K6,TRAINING_Archer[#All],2),0)</f>
        <v>0</v>
      </c>
      <c r="M6" s="102">
        <f>IF($K6&lt;&gt;0,VLOOKUP($K6,TRAINING_Archer[#All],3),0)</f>
        <v>0</v>
      </c>
      <c r="N6" s="342">
        <f>IF($K6&lt;&gt;0,VLOOKUP($K6,TRAINING_Archer[#All],4),0)</f>
        <v>0</v>
      </c>
      <c r="O6" s="412"/>
      <c r="P6" s="185"/>
      <c r="Q6" s="185"/>
      <c r="R6" s="413"/>
      <c r="S6" s="586">
        <f t="shared" ref="S6:S14" si="0">SUM(O6:R6)</f>
        <v>0</v>
      </c>
    </row>
    <row r="7" spans="1:19" ht="15" customHeight="1" x14ac:dyDescent="0.25">
      <c r="A7" s="137" t="s">
        <v>192</v>
      </c>
      <c r="B7" s="98">
        <f>VLOOKUP($A$2,AVAILABLE_Upgrades_Spells[#All],MATCH($A7,AVAILABLE_Upgrades_Spells[#Headers],0)+1)</f>
        <v>0</v>
      </c>
      <c r="C7" s="340">
        <f>IF(ISERROR(MATCH(1,Paramètres!AI$6:AI$45,0)),0,MATCH(1,Paramètres!AI$6:AI$45,0))</f>
        <v>0</v>
      </c>
      <c r="D7" s="341">
        <f>IF($C7&lt;&gt;0,VLOOKUP($C7,TRAINING_Spell_Rage[#All],2),0)</f>
        <v>0</v>
      </c>
      <c r="E7" s="437">
        <f>IF($C7&lt;&gt;0,VLOOKUP($C7,TRAINING_Spell_Rage[#All],3),0)</f>
        <v>0</v>
      </c>
      <c r="F7" s="342">
        <f>IF($C7&lt;&gt;0,VLOOKUP($C7,TRAINING_Spell_Rage[#All],4),0)</f>
        <v>0</v>
      </c>
      <c r="G7" s="429"/>
      <c r="I7" s="137" t="s">
        <v>189</v>
      </c>
      <c r="J7" s="138">
        <f>VLOOKUP($A$2,AVAILABLE_Upgrades_Normal_Troops[#All],MATCH($I7,AVAILABLE_Upgrades_Normal_Troops[#Headers],0)+1)</f>
        <v>0</v>
      </c>
      <c r="K7" s="340">
        <f>IF(ISERROR(MATCH(1,Paramètres!AQ$6:AQ$45,0)),0,MATCH(1,Paramètres!AQ$6:AQ$45,0))</f>
        <v>0</v>
      </c>
      <c r="L7" s="341">
        <f>IF($K7&lt;&gt;0,VLOOKUP($K7,TRAINING_Goblin[#All],2),0)</f>
        <v>0</v>
      </c>
      <c r="M7" s="102">
        <f>IF($K7&lt;&gt;0,VLOOKUP($K7,TRAINING_Goblin[#All],3),0)</f>
        <v>0</v>
      </c>
      <c r="N7" s="342">
        <f>IF($K7&lt;&gt;0,VLOOKUP($K7,TRAINING_Goblin[#All],4),0)</f>
        <v>0</v>
      </c>
      <c r="O7" s="412"/>
      <c r="P7" s="185"/>
      <c r="Q7" s="185"/>
      <c r="R7" s="413"/>
      <c r="S7" s="586">
        <f t="shared" si="0"/>
        <v>0</v>
      </c>
    </row>
    <row r="8" spans="1:19" ht="15" customHeight="1" x14ac:dyDescent="0.25">
      <c r="A8" s="137" t="s">
        <v>193</v>
      </c>
      <c r="B8" s="98">
        <f>VLOOKUP($A$2,AVAILABLE_Upgrades_Spells[#All],MATCH($A8,AVAILABLE_Upgrades_Spells[#Headers],0)+1)</f>
        <v>0</v>
      </c>
      <c r="C8" s="340">
        <f>IF(ISERROR(MATCH(1,Paramètres!AJ$6:AJ$45,0)),0,MATCH(1,Paramètres!AJ$6:AJ$45,0))</f>
        <v>0</v>
      </c>
      <c r="D8" s="341">
        <f>IF($C8&lt;&gt;0,VLOOKUP($C8,TRAINING_Spell_Jump[#All],2),0)</f>
        <v>0</v>
      </c>
      <c r="E8" s="437">
        <f>IF($C8&lt;&gt;0,VLOOKUP($C8,TRAINING_Spell_Jump[#All],3),0)</f>
        <v>0</v>
      </c>
      <c r="F8" s="342">
        <f>IF($C8&lt;&gt;0,VLOOKUP($C8,TRAINING_Spell_Jump[#All],4),0)</f>
        <v>0</v>
      </c>
      <c r="G8" s="429"/>
      <c r="I8" s="137" t="s">
        <v>188</v>
      </c>
      <c r="J8" s="138">
        <f>VLOOKUP($A$2,AVAILABLE_Upgrades_Normal_Troops[#All],MATCH($I8,AVAILABLE_Upgrades_Normal_Troops[#Headers],0)+1)</f>
        <v>0</v>
      </c>
      <c r="K8" s="340">
        <f>IF(ISERROR(MATCH(1,Paramètres!AR$6:AR$45,0)),0,MATCH(1,Paramètres!AR$6:AR$45,0))</f>
        <v>0</v>
      </c>
      <c r="L8" s="341">
        <f>IF($K8&lt;&gt;0,VLOOKUP($K8,TRAINING_Giant[#All],2),0)</f>
        <v>0</v>
      </c>
      <c r="M8" s="102">
        <f>IF($K8&lt;&gt;0,VLOOKUP($K8,TRAINING_Giant[#All],3),0)</f>
        <v>0</v>
      </c>
      <c r="N8" s="342">
        <f>IF($K8&lt;&gt;0,VLOOKUP($K8,TRAINING_Giant[#All],4),0)</f>
        <v>0</v>
      </c>
      <c r="O8" s="412"/>
      <c r="P8" s="185"/>
      <c r="Q8" s="185"/>
      <c r="R8" s="413"/>
      <c r="S8" s="586">
        <f t="shared" si="0"/>
        <v>0</v>
      </c>
    </row>
    <row r="9" spans="1:19" ht="15" customHeight="1" thickBot="1" x14ac:dyDescent="0.3">
      <c r="A9" s="344" t="s">
        <v>194</v>
      </c>
      <c r="B9" s="95">
        <f>VLOOKUP($A$2,AVAILABLE_Upgrades_Spells[#All],MATCH($A9,AVAILABLE_Upgrades_Spells[#Headers],0)+1)</f>
        <v>0</v>
      </c>
      <c r="C9" s="264">
        <f>IF(ISERROR(MATCH(1,Paramètres!AK$6:AK$45,0)),0,MATCH(1,Paramètres!AK$6:AK$45,0))</f>
        <v>0</v>
      </c>
      <c r="D9" s="347">
        <f>IF($C9&lt;&gt;0,VLOOKUP($C9,TRAINING_Spell_Freeze[#All],2),0)</f>
        <v>0</v>
      </c>
      <c r="E9" s="437">
        <f>IF($C9&lt;&gt;0,VLOOKUP($C9,TRAINING_Spell_Freeze[#All],3),0)</f>
        <v>0</v>
      </c>
      <c r="F9" s="342">
        <f>IF($C9&lt;&gt;0,VLOOKUP($C9,TRAINING_Spell_Freeze[#All],4),0)</f>
        <v>0</v>
      </c>
      <c r="G9" s="429"/>
      <c r="I9" s="137" t="s">
        <v>187</v>
      </c>
      <c r="J9" s="138">
        <f>VLOOKUP($A$2,AVAILABLE_Upgrades_Normal_Troops[#All],MATCH($I9,AVAILABLE_Upgrades_Normal_Troops[#Headers],0)+1)</f>
        <v>0</v>
      </c>
      <c r="K9" s="340">
        <f>IF(ISERROR(MATCH(1,Paramètres!AS$6:AS$45,0)),0,MATCH(1,Paramètres!AS$6:AS$45,0))</f>
        <v>0</v>
      </c>
      <c r="L9" s="341">
        <f>IF($K9&lt;&gt;0,VLOOKUP($K9,TRAINING_Wall_Breaker[#All],2),0)</f>
        <v>0</v>
      </c>
      <c r="M9" s="102">
        <f>IF($K9&lt;&gt;0,VLOOKUP($K9,TRAINING_Wall_Breaker[#All],3),0)</f>
        <v>0</v>
      </c>
      <c r="N9" s="342">
        <f>IF($K9&lt;&gt;0,VLOOKUP($K9,TRAINING_Wall_Breaker[#All],4),0)</f>
        <v>0</v>
      </c>
      <c r="O9" s="412"/>
      <c r="P9" s="185"/>
      <c r="Q9" s="185"/>
      <c r="R9" s="413"/>
      <c r="S9" s="586">
        <f t="shared" si="0"/>
        <v>0</v>
      </c>
    </row>
    <row r="10" spans="1:19" ht="15" customHeight="1" thickBot="1" x14ac:dyDescent="0.3">
      <c r="A10" s="431" t="s">
        <v>712</v>
      </c>
      <c r="B10" s="552">
        <f>VLOOKUP($A$2,AVAILABLE_Upgrades_Dark_Spells[#All],MATCH($A10,AVAILABLE_Upgrades_Dark_Spells[#Headers],0)+1)</f>
        <v>0</v>
      </c>
      <c r="C10" s="553">
        <f>IF(ISERROR(MATCH(1,Paramètres!AL$6:AL$45,0)),0,MATCH(1,Paramètres!AL$6:AL$45,0))</f>
        <v>0</v>
      </c>
      <c r="D10" s="994">
        <f>IF($C10&lt;&gt;0,VLOOKUP($C10,TRAINING_Spell_Poison[#All],2),0)</f>
        <v>0</v>
      </c>
      <c r="E10" s="996">
        <f>IF($C10&lt;&gt;0,VLOOKUP($C10,TRAINING_Spell_Poison[#All],3),0)</f>
        <v>0</v>
      </c>
      <c r="F10" s="995">
        <f>IF($C10&lt;&gt;0,VLOOKUP($C10,TRAINING_Spell_Poison[#All],4),0)</f>
        <v>0</v>
      </c>
      <c r="G10" s="429"/>
      <c r="I10" s="137" t="s">
        <v>186</v>
      </c>
      <c r="J10" s="138">
        <f>VLOOKUP($A$2,AVAILABLE_Upgrades_Normal_Troops[#All],MATCH($I10,AVAILABLE_Upgrades_Normal_Troops[#Headers],0)+1)</f>
        <v>0</v>
      </c>
      <c r="K10" s="340">
        <f>IF(ISERROR(MATCH(1,Paramètres!AT$6:AT$45,0)),0,MATCH(1,Paramètres!AT$6:AT$45,0))</f>
        <v>0</v>
      </c>
      <c r="L10" s="341">
        <f>IF($K10&lt;&gt;0,VLOOKUP($K10,TRAINING_Balloon[#All],2),0)</f>
        <v>0</v>
      </c>
      <c r="M10" s="102">
        <f>IF($K10&lt;&gt;0,VLOOKUP($K10,TRAINING_Balloon[#All],3),0)</f>
        <v>0</v>
      </c>
      <c r="N10" s="342">
        <f>IF($K10&lt;&gt;0,VLOOKUP($K10,TRAINING_Balloon[#All],4),0)</f>
        <v>0</v>
      </c>
      <c r="O10" s="412"/>
      <c r="P10" s="185"/>
      <c r="Q10" s="185"/>
      <c r="R10" s="413"/>
      <c r="S10" s="586">
        <f t="shared" si="0"/>
        <v>0</v>
      </c>
    </row>
    <row r="11" spans="1:19" ht="15" customHeight="1" thickBot="1" x14ac:dyDescent="0.3">
      <c r="A11" s="431" t="s">
        <v>713</v>
      </c>
      <c r="B11" s="98">
        <f>VLOOKUP($A$2,AVAILABLE_Upgrades_Dark_Spells[#All],MATCH($A11,AVAILABLE_Upgrades_Dark_Spells[#Headers],0)+1)</f>
        <v>0</v>
      </c>
      <c r="C11" s="340">
        <f>IF(ISERROR(MATCH(1,Paramètres!AM$6:AM$45,0)),0,MATCH(1,Paramètres!AM$6:AM$45,0))</f>
        <v>0</v>
      </c>
      <c r="D11" s="341">
        <f>IF($C11&lt;&gt;0,VLOOKUP($C11,TRAINING_Spell_Earthquake[#All],2),0)</f>
        <v>0</v>
      </c>
      <c r="E11" s="997">
        <f>IF($C11&lt;&gt;0,VLOOKUP($C11,TRAINING_Spell_Earthquake[#All],3),0)</f>
        <v>0</v>
      </c>
      <c r="F11" s="342">
        <f>IF($C11&lt;&gt;0,VLOOKUP($C11,TRAINING_Spell_Earthquake[#All],4),0)</f>
        <v>0</v>
      </c>
      <c r="G11" s="429"/>
      <c r="I11" s="137" t="s">
        <v>185</v>
      </c>
      <c r="J11" s="138">
        <f>VLOOKUP($A$2,AVAILABLE_Upgrades_Normal_Troops[#All],MATCH($I11,AVAILABLE_Upgrades_Normal_Troops[#Headers],0)+1)</f>
        <v>0</v>
      </c>
      <c r="K11" s="340">
        <f>IF(ISERROR(MATCH(1,Paramètres!AU$6:AU$45,0)),0,MATCH(1,Paramètres!AU$6:AU$45,0))</f>
        <v>0</v>
      </c>
      <c r="L11" s="341">
        <f>IF($K11&lt;&gt;0,VLOOKUP($K11,TRAINING_Wizard[#All],2),0)</f>
        <v>0</v>
      </c>
      <c r="M11" s="102">
        <f>IF($K11&lt;&gt;0,VLOOKUP($K11,TRAINING_Wizard[#All],3),0)</f>
        <v>0</v>
      </c>
      <c r="N11" s="342">
        <f>IF($K11&lt;&gt;0,VLOOKUP($K11,TRAINING_Wizard[#All],4),0)</f>
        <v>0</v>
      </c>
      <c r="O11" s="412"/>
      <c r="P11" s="185"/>
      <c r="Q11" s="185"/>
      <c r="R11" s="413"/>
      <c r="S11" s="586">
        <f t="shared" si="0"/>
        <v>0</v>
      </c>
    </row>
    <row r="12" spans="1:19" ht="15" customHeight="1" thickBot="1" x14ac:dyDescent="0.3">
      <c r="A12" s="431" t="s">
        <v>714</v>
      </c>
      <c r="B12" s="620">
        <f>VLOOKUP($A$2,AVAILABLE_Upgrades_Dark_Spells[#All],MATCH($A12,AVAILABLE_Upgrades_Dark_Spells[#Headers],0)+1)</f>
        <v>0</v>
      </c>
      <c r="C12" s="264">
        <f>IF(ISERROR(MATCH(1,Paramètres!AN$6:AN$45,0)),0,MATCH(1,Paramètres!AN$6:AN$45,0))</f>
        <v>0</v>
      </c>
      <c r="D12" s="347">
        <f>IF($C12&lt;&gt;0,VLOOKUP($C12,TRAINING_Spell_Haste[#All],2),0)</f>
        <v>0</v>
      </c>
      <c r="E12" s="998">
        <f>IF($C12&lt;&gt;0,VLOOKUP($C12,TRAINING_Spell_Haste[#All],3),0)</f>
        <v>0</v>
      </c>
      <c r="F12" s="348">
        <f>IF($C12&lt;&gt;0,VLOOKUP($C12,TRAINING_Spell_Haste[#All],4),0)</f>
        <v>0</v>
      </c>
      <c r="G12" s="430"/>
      <c r="I12" s="137" t="s">
        <v>184</v>
      </c>
      <c r="J12" s="138">
        <f>VLOOKUP($A$2,AVAILABLE_Upgrades_Normal_Troops[#All],MATCH($I12,AVAILABLE_Upgrades_Normal_Troops[#Headers],0)+1)</f>
        <v>0</v>
      </c>
      <c r="K12" s="340">
        <f>IF(ISERROR(MATCH(1,Paramètres!AV$6:AV$45,0)),0,MATCH(1,Paramètres!AV$6:AV$45,0))</f>
        <v>0</v>
      </c>
      <c r="L12" s="341">
        <f>IF($K12&lt;&gt;0,VLOOKUP($K12,TRAINING_Healer[#All],2),0)</f>
        <v>0</v>
      </c>
      <c r="M12" s="102">
        <f>IF($K12&lt;&gt;0,VLOOKUP($K12,TRAINING_Healer[#All],3),0)</f>
        <v>0</v>
      </c>
      <c r="N12" s="342">
        <f>IF($K12&lt;&gt;0,VLOOKUP($K12,TRAINING_Healer[#All],4),0)</f>
        <v>0</v>
      </c>
      <c r="O12" s="412"/>
      <c r="P12" s="185"/>
      <c r="Q12" s="185"/>
      <c r="R12" s="413"/>
      <c r="S12" s="586">
        <f t="shared" si="0"/>
        <v>0</v>
      </c>
    </row>
    <row r="13" spans="1:19" ht="15" customHeight="1" thickBot="1" x14ac:dyDescent="0.3">
      <c r="B13" s="1238" t="s">
        <v>316</v>
      </c>
      <c r="C13" s="1239"/>
      <c r="D13" s="349"/>
      <c r="E13" s="350"/>
      <c r="F13" s="350"/>
      <c r="G13" s="405" t="e">
        <f>VLOOKUP($F$2,TRAINING_Dark_Spell_Factory[#All],2)+VLOOKUP($D$2,TRAINING_Spell_Factory[#All],2)</f>
        <v>#N/A</v>
      </c>
      <c r="I13" s="137" t="s">
        <v>57</v>
      </c>
      <c r="J13" s="138">
        <f>VLOOKUP($A$2,AVAILABLE_Upgrades_Normal_Troops[#All],MATCH($I13,AVAILABLE_Upgrades_Normal_Troops[#Headers],0)+1)</f>
        <v>0</v>
      </c>
      <c r="K13" s="340">
        <f>IF(ISERROR(MATCH(1,Paramètres!AW$6:AW$45,0)),0,MATCH(1,Paramètres!AW$6:AW$45,0))</f>
        <v>0</v>
      </c>
      <c r="L13" s="341">
        <f>IF($K13&lt;&gt;0,VLOOKUP($K13,TRAINING_Dragon[#All],2),0)</f>
        <v>0</v>
      </c>
      <c r="M13" s="102">
        <f>IF($K13&lt;&gt;0,VLOOKUP($K13,TRAINING_Dragon[#All],3),0)</f>
        <v>0</v>
      </c>
      <c r="N13" s="342">
        <f>IF($K13&lt;&gt;0,VLOOKUP($K13,TRAINING_Dragon[#All],4),0)</f>
        <v>0</v>
      </c>
      <c r="O13" s="412"/>
      <c r="P13" s="185"/>
      <c r="Q13" s="185"/>
      <c r="R13" s="413"/>
      <c r="S13" s="586">
        <f t="shared" si="0"/>
        <v>0</v>
      </c>
    </row>
    <row r="14" spans="1:19" ht="15" customHeight="1" thickBot="1" x14ac:dyDescent="0.3">
      <c r="B14" s="1193" t="s">
        <v>317</v>
      </c>
      <c r="C14" s="1194"/>
      <c r="D14" s="352"/>
      <c r="E14" s="353"/>
      <c r="F14" s="353"/>
      <c r="G14" s="357">
        <f>SUMPRODUCT(G$5:G$9,$D$5:$D$9)+SUMPRODUCT(G$10:G$12,$D$10:$D$12)</f>
        <v>0</v>
      </c>
      <c r="I14" s="344" t="s">
        <v>58</v>
      </c>
      <c r="J14" s="184">
        <f>VLOOKUP($A$2,AVAILABLE_Upgrades_Normal_Troops[#All],MATCH($I14,AVAILABLE_Upgrades_Normal_Troops[#Headers],0)+1)</f>
        <v>0</v>
      </c>
      <c r="K14" s="105">
        <f>IF(ISERROR(MATCH(1,Paramètres!AX$6:AX$45,0)),0,MATCH(1,Paramètres!AX$6:AX$45,0))</f>
        <v>0</v>
      </c>
      <c r="L14" s="345">
        <f>IF($K14&lt;&gt;0,VLOOKUP($K14,TRAINING_PEKKA[#All],2),0)</f>
        <v>0</v>
      </c>
      <c r="M14" s="125">
        <f>IF($K14&lt;&gt;0,VLOOKUP($K14,TRAINING_PEKKA[#All],3),0)</f>
        <v>0</v>
      </c>
      <c r="N14" s="368">
        <f>IF($K14&lt;&gt;0,VLOOKUP($K14,TRAINING_PEKKA[#All],4),0)</f>
        <v>0</v>
      </c>
      <c r="O14" s="414"/>
      <c r="P14" s="417"/>
      <c r="Q14" s="417"/>
      <c r="R14" s="415"/>
      <c r="S14" s="587">
        <f t="shared" si="0"/>
        <v>0</v>
      </c>
    </row>
    <row r="15" spans="1:19" ht="15" customHeight="1" thickBot="1" x14ac:dyDescent="0.3">
      <c r="B15" s="1191" t="s">
        <v>232</v>
      </c>
      <c r="C15" s="1192"/>
      <c r="D15" s="358"/>
      <c r="E15" s="359"/>
      <c r="F15" s="359"/>
      <c r="G15" s="437">
        <f>SUMPRODUCT(G$5:G$9,$E$5:$E$9)</f>
        <v>0</v>
      </c>
      <c r="J15" s="1238" t="s">
        <v>316</v>
      </c>
      <c r="K15" s="1239"/>
      <c r="L15" s="349"/>
      <c r="M15" s="350"/>
      <c r="N15" s="350"/>
      <c r="O15" s="404">
        <f>VLOOKUP(O$2,TRAINING_Barrack[#All],2)</f>
        <v>60</v>
      </c>
      <c r="P15" s="404">
        <f>VLOOKUP(P$2,TRAINING_Barrack[#All],2)</f>
        <v>60</v>
      </c>
      <c r="Q15" s="404">
        <f>VLOOKUP(Q$2,TRAINING_Barrack[#All],2)</f>
        <v>75</v>
      </c>
      <c r="R15" s="407">
        <f>VLOOKUP(R$2,TRAINING_Barrack[#All],2)</f>
        <v>75</v>
      </c>
      <c r="S15" s="351">
        <f>SUM(O15:R15)</f>
        <v>270</v>
      </c>
    </row>
    <row r="16" spans="1:19" ht="15" customHeight="1" x14ac:dyDescent="0.25">
      <c r="B16" s="1191" t="s">
        <v>232</v>
      </c>
      <c r="C16" s="1192"/>
      <c r="D16" s="358"/>
      <c r="E16" s="359"/>
      <c r="F16" s="359"/>
      <c r="G16" s="997">
        <f>SUMPRODUCT(G$10:G$12,$E$10:$E$12)</f>
        <v>0</v>
      </c>
      <c r="J16" s="1193" t="s">
        <v>317</v>
      </c>
      <c r="K16" s="1194"/>
      <c r="L16" s="352"/>
      <c r="M16" s="353"/>
      <c r="N16" s="353"/>
      <c r="O16" s="354">
        <f>SUMPRODUCT(O$5:O$14,$L$5:$L$14)</f>
        <v>0</v>
      </c>
      <c r="P16" s="354">
        <f>SUMPRODUCT(P$5:P$14,$L$5:$L$14)</f>
        <v>0</v>
      </c>
      <c r="Q16" s="354">
        <f>SUMPRODUCT(Q$5:Q$14,$L$5:$L$14)</f>
        <v>0</v>
      </c>
      <c r="R16" s="355">
        <f>SUMPRODUCT(R$5:R$14,$L$5:$L$14)</f>
        <v>0</v>
      </c>
      <c r="S16" s="356">
        <f>SUM(O16:R16)</f>
        <v>0</v>
      </c>
    </row>
    <row r="17" spans="1:19" ht="15" customHeight="1" thickBot="1" x14ac:dyDescent="0.3">
      <c r="B17" s="1231" t="s">
        <v>233</v>
      </c>
      <c r="C17" s="1232"/>
      <c r="D17" s="363"/>
      <c r="E17" s="326"/>
      <c r="F17" s="326"/>
      <c r="G17" s="367" t="str">
        <f>IF($B$2='Paramètres - Admin'!$B$2,TEXT(SUMPRODUCT(G$5:G$12,$F$5:$F$12),"# 0")&amp;" " &amp; 'Paramètres - Admin'!$B$2,IF($B$2='Paramètres - Admin'!$B$3,TEXT(SUMPRODUCT(G$5:G$12,$F$5:$F$12)/60,"# 0")&amp;" " &amp; 'Paramètres - Admin'!$B$3,IF($B$2='Paramètres - Admin'!$B$4,TEXT(SUMPRODUCT(G$5:G$12,$F$5:$F$12)/3600,"# 0,00")&amp;" " &amp; 'Paramètres - Admin'!$B$4,IF(SUMPRODUCT(G$5:G$12,$F$5:$F$12)/3600&gt;=1,INT(SUMPRODUCT(G$5:G$12,$F$5:$F$12)/3600) &amp;" " &amp; 'Paramètres - Admin'!$D$3 &amp; " " &amp; MINUTE(SUMPRODUCT(G$5:G$12,$F$5:$F$12)/86400-INT(SUMPRODUCT(G$5:G$12,$F$5:$F$12)/86400))  &amp;" " &amp; 'Paramètres - Admin'!$D$2 &amp; " " &amp; SECOND(SUMPRODUCT(G$5:G$12,$F$5:$F$12)/86400-INT(SUMPRODUCT(G$5:G$12,$F$5:$F$12)/86400)) &amp;" " &amp; 'Paramètres - Admin'!$D$5,MINUTE(SUMPRODUCT(G$5:G$12,$F$5:$F$12)/86400-INT(SUMPRODUCT(G$5:G$12,$F$5:$F$12)/86400)) &amp;" " &amp; 'Paramètres - Admin'!$D$2 &amp; " " &amp; SECOND(SUMPRODUCT(G$5:G$12,$F$5:$F$12)/86400-INT(SUMPRODUCT(G$5:G$12,$F$5:$F$12)/86400)) &amp;" " &amp; 'Paramètres - Admin'!$D$5))))</f>
        <v>0 mins 0 sec</v>
      </c>
      <c r="J17" s="1191" t="s">
        <v>232</v>
      </c>
      <c r="K17" s="1192"/>
      <c r="L17" s="358"/>
      <c r="M17" s="359"/>
      <c r="N17" s="359"/>
      <c r="O17" s="437">
        <f>SUMPRODUCT(O$5:O$14,$M$5:$M$14)</f>
        <v>0</v>
      </c>
      <c r="P17" s="437">
        <f>SUMPRODUCT(P$5:P$14,$M$5:$M$14)</f>
        <v>0</v>
      </c>
      <c r="Q17" s="437">
        <f>SUMPRODUCT(Q$5:Q$14,$M$5:$M$14)</f>
        <v>0</v>
      </c>
      <c r="R17" s="438">
        <f>SUMPRODUCT(R$5:R$14,$M$5:$M$14)</f>
        <v>0</v>
      </c>
      <c r="S17" s="439">
        <f>SUM(O17:R17)</f>
        <v>0</v>
      </c>
    </row>
    <row r="18" spans="1:19" ht="15" customHeight="1" thickBot="1" x14ac:dyDescent="0.3">
      <c r="J18" s="1231" t="s">
        <v>233</v>
      </c>
      <c r="K18" s="1232"/>
      <c r="L18" s="363"/>
      <c r="M18" s="326"/>
      <c r="N18" s="326"/>
      <c r="O18" s="364" t="str">
        <f>IF($B$2='Paramètres - Admin'!$B$2,TEXT(SUMPRODUCT(O$5:O$14,$N$5:$N$14),"# 0")&amp;" " &amp; 'Paramètres - Admin'!$B$2,IF($B$2='Paramètres - Admin'!$B$3,TEXT(SUMPRODUCT(O$5:O$14,$N$5:$N$14)/60,"# 0")&amp;" " &amp; 'Paramètres - Admin'!$B$3,IF($B$2='Paramètres - Admin'!$B$4,TEXT(SUMPRODUCT(O$5:O$14,$N$5:$N$14)/3600,"# 0,00")&amp;" " &amp; 'Paramètres - Admin'!$B$4,IF(SUMPRODUCT(O$5:O$14,$N$5:$N$14)/3600&gt;=1,INT(SUMPRODUCT(O$5:O$14,$N$5:$N$14)/3600) &amp;" " &amp; 'Paramètres - Admin'!$D$3 &amp; " " &amp; MINUTE(SUMPRODUCT(O$5:O$14,$N$5:$N$14)/86400-INT(SUMPRODUCT(O$5:O$14,$N$5:$N$14)/86400))  &amp;" " &amp; 'Paramètres - Admin'!$D$2 &amp; " " &amp; SECOND(SUMPRODUCT(O$5:O$14,$N$5:$N$14)/86400-INT(SUMPRODUCT(O$5:O$14,$N$5:$N$14)/86400)) &amp;" " &amp; 'Paramètres - Admin'!$D$5,MINUTE(SUMPRODUCT(O$5:O$14,$N$5:$N$14)/86400-INT(SUMPRODUCT(O$5:O$14,$N$5:$N$14)/86400)) &amp;" " &amp; 'Paramètres - Admin'!$D$2 &amp; " " &amp; SECOND(SUMPRODUCT(O$5:O$14,$N$5:$N$14)/86400-INT(SUMPRODUCT(O$5:O$14,$N$5:$N$14)/86400)) &amp;" " &amp; 'Paramètres - Admin'!$D$5))))</f>
        <v>0 mins 0 sec</v>
      </c>
      <c r="P18" s="364" t="str">
        <f>IF($B$2='Paramètres - Admin'!$B$2,TEXT(SUMPRODUCT(P$5:P$14,$N$5:$N$14),"# 0")&amp;" " &amp; 'Paramètres - Admin'!$B$2,IF($B$2='Paramètres - Admin'!$B$3,TEXT(SUMPRODUCT(P$5:P$14,$N$5:$N$14)/60,"# 0")&amp;" " &amp; 'Paramètres - Admin'!$B$3,IF($B$2='Paramètres - Admin'!$B$4,TEXT(SUMPRODUCT(P$5:P$14,$N$5:$N$14)/3600,"# 0,00")&amp;" " &amp; 'Paramètres - Admin'!$B$4,IF(SUMPRODUCT(P$5:P$14,$N$5:$N$14)/3600&gt;=1,INT(SUMPRODUCT(P$5:P$14,$N$5:$N$14)/3600) &amp;" " &amp; 'Paramètres - Admin'!$D$3 &amp; " " &amp; MINUTE(SUMPRODUCT(P$5:P$14,$N$5:$N$14)/86400-INT(SUMPRODUCT(P$5:P$14,$N$5:$N$14)/86400))  &amp;" " &amp; 'Paramètres - Admin'!$D$2 &amp; " " &amp; SECOND(SUMPRODUCT(P$5:P$14,$N$5:$N$14)/86400-INT(SUMPRODUCT(P$5:P$14,$N$5:$N$14)/86400)) &amp;" " &amp; 'Paramètres - Admin'!$D$5,MINUTE(SUMPRODUCT(P$5:P$14,$N$5:$N$14)/86400-INT(SUMPRODUCT(P$5:P$14,$N$5:$N$14)/86400)) &amp;" " &amp; 'Paramètres - Admin'!$D$2 &amp; " " &amp; SECOND(SUMPRODUCT(P$5:P$14,$N$5:$N$14)/86400-INT(SUMPRODUCT(P$5:P$14,$N$5:$N$14)/86400)) &amp;" " &amp; 'Paramètres - Admin'!$D$5))))</f>
        <v>0 mins 0 sec</v>
      </c>
      <c r="Q18" s="364" t="str">
        <f>IF($B$2='Paramètres - Admin'!$B$2,TEXT(SUMPRODUCT(Q$5:Q$14,$N$5:$N$14),"# 0")&amp;" " &amp; 'Paramètres - Admin'!$B$2,IF($B$2='Paramètres - Admin'!$B$3,TEXT(SUMPRODUCT(Q$5:Q$14,$N$5:$N$14)/60,"# 0")&amp;" " &amp; 'Paramètres - Admin'!$B$3,IF($B$2='Paramètres - Admin'!$B$4,TEXT(SUMPRODUCT(Q$5:Q$14,$N$5:$N$14)/3600,"# 0,00")&amp;" " &amp; 'Paramètres - Admin'!$B$4,IF(SUMPRODUCT(Q$5:Q$14,$N$5:$N$14)/3600&gt;=1,INT(SUMPRODUCT(Q$5:Q$14,$N$5:$N$14)/3600) &amp;" " &amp; 'Paramètres - Admin'!$D$3 &amp; " " &amp; MINUTE(SUMPRODUCT(Q$5:Q$14,$N$5:$N$14)/86400-INT(SUMPRODUCT(Q$5:Q$14,$N$5:$N$14)/86400))  &amp;" " &amp; 'Paramètres - Admin'!$D$2 &amp; " " &amp; SECOND(SUMPRODUCT(Q$5:Q$14,$N$5:$N$14)/86400-INT(SUMPRODUCT(Q$5:Q$14,$N$5:$N$14)/86400)) &amp;" " &amp; 'Paramètres - Admin'!$D$5,MINUTE(SUMPRODUCT(Q$5:Q$14,$N$5:$N$14)/86400-INT(SUMPRODUCT(Q$5:Q$14,$N$5:$N$14)/86400)) &amp;" " &amp; 'Paramètres - Admin'!$D$2 &amp; " " &amp; SECOND(SUMPRODUCT(Q$5:Q$14,$N$5:$N$14)/86400-INT(SUMPRODUCT(Q$5:Q$14,$N$5:$N$14)/86400)) &amp;" " &amp; 'Paramètres - Admin'!$D$5))))</f>
        <v>0 mins 0 sec</v>
      </c>
      <c r="R18" s="365" t="str">
        <f>IF($B$2='Paramètres - Admin'!$B$2,TEXT(SUMPRODUCT(R$5:R$14,$N$5:$N$14),"# 0")&amp;" " &amp; 'Paramètres - Admin'!$B$2,IF($B$2='Paramètres - Admin'!$B$3,TEXT(SUMPRODUCT(R$5:R$14,$N$5:$N$14)/60,"# 0")&amp;" " &amp; 'Paramètres - Admin'!$B$3,IF($B$2='Paramètres - Admin'!$B$4,TEXT(SUMPRODUCT(R$5:R$14,$N$5:$N$14)/3600,"# 0,00")&amp;" " &amp; 'Paramètres - Admin'!$B$4,IF(SUMPRODUCT(R$5:R$14,$N$5:$N$14)/3600&gt;=1,INT(SUMPRODUCT(R$5:R$14,$N$5:$N$14)/3600) &amp;" " &amp; 'Paramètres - Admin'!$D$3 &amp; " " &amp; MINUTE(SUMPRODUCT(R$5:R$14,$N$5:$N$14)/86400-INT(SUMPRODUCT(R$5:R$14,$N$5:$N$14)/86400))  &amp;" " &amp; 'Paramètres - Admin'!$D$2 &amp; " " &amp; SECOND(SUMPRODUCT(R$5:R$14,$N$5:$N$14)/86400-INT(SUMPRODUCT(R$5:R$14,$N$5:$N$14)/86400)) &amp;" " &amp; 'Paramètres - Admin'!$D$5,MINUTE(SUMPRODUCT(R$5:R$14,$N$5:$N$14)/86400-INT(SUMPRODUCT(R$5:R$14,$N$5:$N$14)/86400)) &amp;" " &amp; 'Paramètres - Admin'!$D$2 &amp; " " &amp; SECOND(SUMPRODUCT(R$5:R$14,$N$5:$N$14)/86400-INT(SUMPRODUCT(R$5:R$14,$N$5:$N$14)/86400)) &amp;" " &amp; 'Paramètres - Admin'!$D$5))))</f>
        <v>0 mins 0 sec</v>
      </c>
      <c r="S18" s="366" t="str">
        <f>IF($B$2='Paramètres - Admin'!$B$2,TEXT((SUMPRODUCT(O$5:O$14,$N$5:$N$14)+SUMPRODUCT(P$5:P$14,$N$5:$N$14)+SUMPRODUCT(Q$5:Q$14,$N$5:$N$14)+SUMPRODUCT(R$5:R$14,$N$5:$N$14)),"# 0")&amp;" " &amp; 'Paramètres - Admin'!$B$2,IF($B$2='Paramètres - Admin'!$B$3,TEXT((SUMPRODUCT(O$5:O$14,$N$5:$N$14)+SUMPRODUCT(P$5:P$14,$N$5:$N$14)+SUMPRODUCT(Q$5:Q$14,$N$5:$N$14)+SUMPRODUCT(R$5:R$14,$N$5:$N$14))/60,"# 0")&amp;" " &amp; 'Paramètres - Admin'!$B$3,IF($B$2='Paramètres - Admin'!$B$4,TEXT((SUMPRODUCT(O$5:O$14,$N$5:$N$14)+SUMPRODUCT(P$5:P$14,$N$5:$N$14)+SUMPRODUCT(Q$5:Q$14,$N$5:$N$14)+SUMPRODUCT(R$5:R$14,$N$5:$N$14))/3600,"# 0,00")&amp;" " &amp; 'Paramètres - Admin'!$B$4,IF((SUMPRODUCT(O$5:O$14,$N$5:$N$14)+SUMPRODUCT(P$5:P$14,$N$5:$N$14)+SUMPRODUCT(Q$5:Q$14,$N$5:$N$14)+SUMPRODUCT(R$5:R$14,$N$5:$N$14))/3600&gt;=1,INT((SUMPRODUCT(O$5:O$14,$N$5:$N$14)+SUMPRODUCT(P$5:P$14,$N$5:$N$14)+SUMPRODUCT(Q$5:Q$14,$N$5:$N$14)+SUMPRODUCT(R$5:R$14,$N$5:$N$14))/3600) &amp;" " &amp; 'Paramètres - Admin'!$D$3 &amp; " " &amp; MINUTE((SUMPRODUCT(O$5:O$14,$N$5:$N$14)+SUMPRODUCT(P$5:P$14,$N$5:$N$14)+SUMPRODUCT(Q$5:Q$14,$N$5:$N$14)+SUMPRODUCT(R$5:R$14,$N$5:$N$14))/86400-INT((SUMPRODUCT(O$5:O$14,$N$5:$N$14)+SUMPRODUCT(P$5:P$14,$N$5:$N$14)+SUMPRODUCT(Q$5:Q$14,$N$5:$N$14)+SUMPRODUCT(R$5:R$14,$N$5:$N$14))/86400))  &amp;" " &amp; 'Paramètres - Admin'!$D$2 &amp; " " &amp; SECOND((SUMPRODUCT(O$5:O$14,$N$5:$N$14)+SUMPRODUCT(P$5:P$14,$N$5:$N$14)+SUMPRODUCT(Q$5:Q$14,$N$5:$N$14)+SUMPRODUCT(R$5:R$14,$N$5:$N$14))/86400-INT((SUMPRODUCT(O$5:O$14,$N$5:$N$14)+SUMPRODUCT(P$5:P$14,$N$5:$N$14)+SUMPRODUCT(Q$5:Q$14,$N$5:$N$14)+SUMPRODUCT(R$5:R$14,$N$5:$N$14))/86400)) &amp;" " &amp; 'Paramètres - Admin'!$D$5,MINUTE((SUMPRODUCT(O$5:O$14,$N$5:$N$14)+SUMPRODUCT(P$5:P$14,$N$5:$N$14)+SUMPRODUCT(Q$5:Q$14,$N$5:$N$14)+SUMPRODUCT(R$5:R$14,$N$5:$N$14))/86400-INT((SUMPRODUCT(O$5:O$14,$N$5:$N$14)+SUMPRODUCT(P$5:P$14,$N$5:$N$14)+SUMPRODUCT(Q$5:Q$14,$N$5:$N$14)+SUMPRODUCT(R$5:R$14,$N$5:$N$14))/86400)) &amp;" " &amp; 'Paramètres - Admin'!$D$2 &amp; " " &amp; SECOND((SUMPRODUCT(O$5:O$14,$N$5:$N$14)+SUMPRODUCT(P$5:P$14,$N$5:$N$14)+SUMPRODUCT(Q$5:Q$14,$N$5:$N$14)+SUMPRODUCT(R$5:R$14,$N$5:$N$14))/86400-INT((SUMPRODUCT(O$5:O$14,$N$5:$N$14)+SUMPRODUCT(P$5:P$14,$N$5:$N$14)+SUMPRODUCT(Q$5:Q$14,$N$5:$N$14)+SUMPRODUCT(R$5:R$14,$N$5:$N$14))/86400)) &amp;" " &amp; 'Paramètres - Admin'!$D$5))))</f>
        <v>0 mins 0 sec</v>
      </c>
    </row>
    <row r="19" spans="1:19" ht="20.100000000000001" customHeight="1" thickBot="1" x14ac:dyDescent="0.3">
      <c r="A19" s="1215" t="s">
        <v>298</v>
      </c>
      <c r="B19" s="1254" t="s">
        <v>332</v>
      </c>
      <c r="C19" s="1254"/>
      <c r="D19" s="1255"/>
    </row>
    <row r="20" spans="1:19" ht="15" customHeight="1" thickBot="1" x14ac:dyDescent="0.3">
      <c r="A20" s="1216"/>
      <c r="B20" s="1256"/>
      <c r="C20" s="1256"/>
      <c r="D20" s="1257"/>
      <c r="I20" s="218" t="s">
        <v>319</v>
      </c>
      <c r="O20" s="271" t="s">
        <v>327</v>
      </c>
      <c r="P20" s="273" t="s">
        <v>328</v>
      </c>
    </row>
    <row r="21" spans="1:19" ht="15" customHeight="1" thickTop="1" thickBot="1" x14ac:dyDescent="0.3">
      <c r="B21" s="158"/>
      <c r="I21" s="325">
        <f>Paramètres!I46</f>
        <v>0</v>
      </c>
      <c r="O21" s="432">
        <v>2</v>
      </c>
      <c r="P21" s="433">
        <v>2</v>
      </c>
    </row>
    <row r="22" spans="1:19" ht="15" customHeight="1" thickBot="1" x14ac:dyDescent="0.3">
      <c r="A22" s="1221" t="s">
        <v>333</v>
      </c>
      <c r="B22" s="1244" t="s">
        <v>334</v>
      </c>
      <c r="C22" s="1244"/>
      <c r="D22" s="1245"/>
      <c r="F22" s="1240" t="s">
        <v>340</v>
      </c>
      <c r="G22" s="1242" t="s">
        <v>341</v>
      </c>
      <c r="I22" s="1087" t="s">
        <v>314</v>
      </c>
      <c r="J22" s="1088"/>
      <c r="K22" s="1088"/>
      <c r="L22" s="1088"/>
      <c r="M22" s="1088"/>
      <c r="N22" s="1088"/>
      <c r="O22" s="1088"/>
      <c r="P22" s="1210"/>
      <c r="Q22" s="156"/>
      <c r="S22" s="926" t="s">
        <v>232</v>
      </c>
    </row>
    <row r="23" spans="1:19" ht="15" customHeight="1" thickBot="1" x14ac:dyDescent="0.3">
      <c r="A23" s="1222"/>
      <c r="B23" s="1246"/>
      <c r="C23" s="1246"/>
      <c r="D23" s="1247"/>
      <c r="F23" s="1241"/>
      <c r="G23" s="1243"/>
      <c r="I23" s="335"/>
      <c r="J23" s="329" t="s">
        <v>39</v>
      </c>
      <c r="K23" s="653" t="s">
        <v>331</v>
      </c>
      <c r="L23" s="653" t="s">
        <v>391</v>
      </c>
      <c r="M23" s="330" t="s">
        <v>258</v>
      </c>
      <c r="N23" s="331" t="s">
        <v>151</v>
      </c>
      <c r="O23" s="400" t="s">
        <v>329</v>
      </c>
      <c r="P23" s="400" t="s">
        <v>330</v>
      </c>
      <c r="Q23" s="406" t="s">
        <v>31</v>
      </c>
      <c r="S23" s="439">
        <f>S17+G15</f>
        <v>0</v>
      </c>
    </row>
    <row r="24" spans="1:19" ht="15" customHeight="1" thickBot="1" x14ac:dyDescent="0.3">
      <c r="B24" s="158"/>
      <c r="I24" s="336" t="s">
        <v>183</v>
      </c>
      <c r="J24" s="138">
        <f>VLOOKUP($A$2,AVAILABLE_Upgrades_Dark_Troops[#All],MATCH($I24,AVAILABLE_Upgrades_Dark_Troops[#Headers],0)+1)</f>
        <v>0</v>
      </c>
      <c r="K24" s="340">
        <f>IF(ISERROR(MATCH(1,Paramètres!AY$6:AY$45,0)),0,MATCH(1,Paramètres!AY$6:AY$45,0))</f>
        <v>0</v>
      </c>
      <c r="L24" s="341">
        <f>IF($K24&lt;&gt;0,VLOOKUP($K24,TRAINING_Minion[#All],2),0)</f>
        <v>0</v>
      </c>
      <c r="M24" s="139">
        <f>IF($K24&lt;&gt;0,VLOOKUP($K24,TRAINING_Minion[#All],3),0)</f>
        <v>0</v>
      </c>
      <c r="N24" s="343">
        <f>IF($K24&lt;&gt;0,VLOOKUP($K24,TRAINING_Minion[#All],4),0)</f>
        <v>0</v>
      </c>
      <c r="O24" s="676"/>
      <c r="P24" s="676"/>
      <c r="Q24" s="586">
        <f t="shared" ref="Q24:Q32" si="1">SUM(O24:P24)</f>
        <v>0</v>
      </c>
      <c r="S24" s="362">
        <f>G16+Q32</f>
        <v>0</v>
      </c>
    </row>
    <row r="25" spans="1:19" ht="15" customHeight="1" x14ac:dyDescent="0.25">
      <c r="A25" s="1248" t="s">
        <v>347</v>
      </c>
      <c r="B25" s="1258" t="s">
        <v>336</v>
      </c>
      <c r="C25" s="1258"/>
      <c r="D25" s="1259"/>
      <c r="F25" s="1250" t="s">
        <v>346</v>
      </c>
      <c r="G25" s="1252">
        <f>SUMPRODUCT(Paramètres!J6:J13,'Coûts de Formation'!AH31:AH38)</f>
        <v>0</v>
      </c>
      <c r="I25" s="137" t="s">
        <v>245</v>
      </c>
      <c r="J25" s="138">
        <f>VLOOKUP($A$2,AVAILABLE_Upgrades_Dark_Troops[#All],MATCH($I25,AVAILABLE_Upgrades_Dark_Troops[#Headers],0)+1)</f>
        <v>0</v>
      </c>
      <c r="K25" s="340">
        <f>IF(ISERROR(MATCH(1,Paramètres!AZ$6:AZ$45,0)),0,MATCH(1,Paramètres!AZ$6:AZ$45,0))</f>
        <v>0</v>
      </c>
      <c r="L25" s="341">
        <f>IF($K25&lt;&gt;0,VLOOKUP($K25,TRAINING_Hog_Rider[#All],2),0)</f>
        <v>0</v>
      </c>
      <c r="M25" s="139">
        <f>IF($K25&lt;&gt;0,VLOOKUP($K25,TRAINING_Hog_Rider[#All],3),0)</f>
        <v>0</v>
      </c>
      <c r="N25" s="343">
        <f>IF($K25&lt;&gt;0,VLOOKUP($K25,TRAINING_Hog_Rider[#All],4),0)</f>
        <v>0</v>
      </c>
      <c r="O25" s="677"/>
      <c r="P25" s="677"/>
      <c r="Q25" s="586">
        <f t="shared" si="1"/>
        <v>0</v>
      </c>
    </row>
    <row r="26" spans="1:19" ht="15" customHeight="1" thickBot="1" x14ac:dyDescent="0.3">
      <c r="A26" s="1249"/>
      <c r="B26" s="1260"/>
      <c r="C26" s="1260"/>
      <c r="D26" s="1261"/>
      <c r="F26" s="1251"/>
      <c r="G26" s="1253"/>
      <c r="I26" s="137" t="s">
        <v>66</v>
      </c>
      <c r="J26" s="138">
        <f>VLOOKUP($A$2,AVAILABLE_Upgrades_Dark_Troops[#All],MATCH($I26,AVAILABLE_Upgrades_Dark_Troops[#Headers],0)+1)</f>
        <v>0</v>
      </c>
      <c r="K26" s="340">
        <f>IF(ISERROR(MATCH(1,Paramètres!BA$6:BA$45,0)),0,MATCH(1,Paramètres!BA$6:BA$45,0))</f>
        <v>0</v>
      </c>
      <c r="L26" s="341">
        <f>IF($K26&lt;&gt;0,VLOOKUP($K26,TRAINING_Valkyrie[#All],2),0)</f>
        <v>0</v>
      </c>
      <c r="M26" s="139">
        <f>IF($K26&lt;&gt;0,VLOOKUP($K26,TRAINING_Valkyrie[#All],3),0)</f>
        <v>0</v>
      </c>
      <c r="N26" s="343">
        <f>IF($K26&lt;&gt;0,VLOOKUP($K26,TRAINING_Valkyrie[#All],4),0)</f>
        <v>0</v>
      </c>
      <c r="O26" s="677"/>
      <c r="P26" s="677"/>
      <c r="Q26" s="586">
        <f t="shared" si="1"/>
        <v>0</v>
      </c>
    </row>
    <row r="27" spans="1:19" ht="15" customHeight="1" x14ac:dyDescent="0.25">
      <c r="I27" s="137" t="s">
        <v>67</v>
      </c>
      <c r="J27" s="184">
        <f>VLOOKUP($A$2,AVAILABLE_Upgrades_Dark_Troops[#All],MATCH($I27,AVAILABLE_Upgrades_Dark_Troops[#Headers],0)+1)</f>
        <v>0</v>
      </c>
      <c r="K27" s="105">
        <f>IF(ISERROR(MATCH(1,Paramètres!BB$6:BB$45,0)),0,MATCH(1,Paramètres!BB$6:BB$45,0))</f>
        <v>0</v>
      </c>
      <c r="L27" s="345">
        <f>IF($K27&lt;&gt;0,VLOOKUP($K27,TRAINING_Golem[#All],2),0)</f>
        <v>0</v>
      </c>
      <c r="M27" s="140">
        <f>IF($K27&lt;&gt;0,VLOOKUP($K27,TRAINING_Golem[#All],3),0)</f>
        <v>0</v>
      </c>
      <c r="N27" s="346">
        <f>IF($K27&lt;&gt;0,VLOOKUP($K27,TRAINING_Golem[#All],4),0)</f>
        <v>0</v>
      </c>
      <c r="O27" s="677"/>
      <c r="P27" s="677"/>
      <c r="Q27" s="586">
        <f t="shared" si="1"/>
        <v>0</v>
      </c>
    </row>
    <row r="28" spans="1:19" ht="15" customHeight="1" x14ac:dyDescent="0.25">
      <c r="I28" s="137" t="s">
        <v>539</v>
      </c>
      <c r="J28" s="184">
        <f>VLOOKUP($A$2,AVAILABLE_Upgrades_Dark_Troops[#All],MATCH($I28,AVAILABLE_Upgrades_Dark_Troops[#Headers],0)+1)</f>
        <v>0</v>
      </c>
      <c r="K28" s="105">
        <f>IF(ISERROR(MATCH(1,Paramètres!BC$6:BC$45,0)),0,MATCH(1,Paramètres!BC$6:BC$45,0))</f>
        <v>0</v>
      </c>
      <c r="L28" s="345">
        <f>IF($K28&lt;&gt;0,VLOOKUP($K28,TRAINING_Witch[#All],2),0)</f>
        <v>0</v>
      </c>
      <c r="M28" s="140">
        <f>IF($K28&lt;&gt;0,VLOOKUP($K28,TRAINING_Witch[#All],3),0)</f>
        <v>0</v>
      </c>
      <c r="N28" s="346">
        <f>IF($K28&lt;&gt;0,VLOOKUP($K28,TRAINING_Witch[#All],4),0)</f>
        <v>0</v>
      </c>
      <c r="O28" s="677"/>
      <c r="P28" s="677"/>
      <c r="Q28" s="587">
        <f t="shared" si="1"/>
        <v>0</v>
      </c>
    </row>
    <row r="29" spans="1:19" ht="15" customHeight="1" thickBot="1" x14ac:dyDescent="0.3">
      <c r="I29" s="134" t="s">
        <v>576</v>
      </c>
      <c r="J29" s="184">
        <f>VLOOKUP($A$2,AVAILABLE_Upgrades_Dark_Troops[#All],MATCH($I29,AVAILABLE_Upgrades_Dark_Troops[#Headers],0)+1)</f>
        <v>0</v>
      </c>
      <c r="K29" s="624">
        <f>IF(ISERROR(MATCH(1,Paramètres!BD$6:BD$45,0)),0,MATCH(1,Paramètres!BD$6:BD$45,0))</f>
        <v>0</v>
      </c>
      <c r="L29" s="345">
        <f>IF($K29&lt;&gt;0,VLOOKUP($K29,TRAINING_Lava_Hound[#All],2),0)</f>
        <v>0</v>
      </c>
      <c r="M29" s="140">
        <f>IF($K29&lt;&gt;0,VLOOKUP($K29,TRAINING_Lava_Hound[#All],3),0)</f>
        <v>0</v>
      </c>
      <c r="N29" s="346">
        <f>IF($K29&lt;&gt;0,VLOOKUP($K29,TRAINING_Lava_Hound[#All],4),0)</f>
        <v>0</v>
      </c>
      <c r="O29" s="678"/>
      <c r="P29" s="678"/>
      <c r="Q29" s="587">
        <f t="shared" si="1"/>
        <v>0</v>
      </c>
    </row>
    <row r="30" spans="1:19" ht="15" customHeight="1" thickBot="1" x14ac:dyDescent="0.3">
      <c r="J30" s="1238" t="s">
        <v>316</v>
      </c>
      <c r="K30" s="1239"/>
      <c r="L30" s="349"/>
      <c r="M30" s="350"/>
      <c r="N30" s="350"/>
      <c r="O30" s="404">
        <f>VLOOKUP(O$21,TRAINING_Dark_Barrack[#All],2)</f>
        <v>50</v>
      </c>
      <c r="P30" s="407">
        <f>VLOOKUP(P$21,TRAINING_Dark_Barrack[#All],2)</f>
        <v>50</v>
      </c>
      <c r="Q30" s="351">
        <f t="shared" si="1"/>
        <v>100</v>
      </c>
    </row>
    <row r="31" spans="1:19" ht="15" customHeight="1" x14ac:dyDescent="0.25">
      <c r="B31" s="158"/>
      <c r="J31" s="1193" t="s">
        <v>317</v>
      </c>
      <c r="K31" s="1194"/>
      <c r="L31" s="352"/>
      <c r="M31" s="353"/>
      <c r="N31" s="353"/>
      <c r="O31" s="354">
        <f>SUMPRODUCT(O$24:O$29,$L$24:$L$29)</f>
        <v>0</v>
      </c>
      <c r="P31" s="354">
        <f>SUMPRODUCT(P$24:P$29,$L$24:$L$29)</f>
        <v>0</v>
      </c>
      <c r="Q31" s="356">
        <f t="shared" si="1"/>
        <v>0</v>
      </c>
    </row>
    <row r="32" spans="1:19" ht="15" customHeight="1" x14ac:dyDescent="0.25">
      <c r="J32" s="1191" t="s">
        <v>232</v>
      </c>
      <c r="K32" s="1192"/>
      <c r="L32" s="358"/>
      <c r="M32" s="359"/>
      <c r="N32" s="359"/>
      <c r="O32" s="360">
        <f>SUMPRODUCT(O$24:O$29,$M$24:$M$29)</f>
        <v>0</v>
      </c>
      <c r="P32" s="361">
        <f>SUMPRODUCT(P$24:P$29,$M$24:$M$29)</f>
        <v>0</v>
      </c>
      <c r="Q32" s="362">
        <f t="shared" si="1"/>
        <v>0</v>
      </c>
    </row>
    <row r="33" spans="2:17" ht="15" customHeight="1" thickBot="1" x14ac:dyDescent="0.3">
      <c r="J33" s="1231" t="s">
        <v>233</v>
      </c>
      <c r="K33" s="1232"/>
      <c r="L33" s="363"/>
      <c r="M33" s="326"/>
      <c r="N33" s="326"/>
      <c r="O33" s="364" t="str">
        <f>IF($B$2='Paramètres - Admin'!$B$2,TEXT(SUMPRODUCT(O$24:O$29,$N$24:$N$29),"# 0")&amp;" " &amp; 'Paramètres - Admin'!$B$2,IF($B$2='Paramètres - Admin'!$B$3,TEXT(SUMPRODUCT(O$24:O$29,$N$24:$N$29)/60,"# 0")&amp;" " &amp; 'Paramètres - Admin'!$B$3,IF($B$2='Paramètres - Admin'!$B$4,TEXT(SUMPRODUCT(O$24:O$29,$N$24:$N$29)/3600,"# 0,00")&amp;" " &amp; 'Paramètres - Admin'!$B$4,IF(SUMPRODUCT(O$24:O$29,$N$24:$N$29)/3600&gt;=1,INT(SUMPRODUCT(O$24:O$29,$N$24:$N$29)/3600) &amp;" " &amp; 'Paramètres - Admin'!$D$3 &amp; " " &amp; MINUTE(SUMPRODUCT(O$24:O$29,$N$24:$N$29)/86400-INT(SUMPRODUCT(O$24:O$29,$N$24:$N$29)/86400))  &amp;" " &amp; 'Paramètres - Admin'!$D$2 &amp; " " &amp; SECOND(SUMPRODUCT(O$24:O$29,$N$24:$N$29)/86400-INT(SUMPRODUCT(O$24:O$29,$N$24:$N$29)/86400)) &amp;" " &amp; 'Paramètres - Admin'!$D$5,MINUTE(SUMPRODUCT(O$24:O$29,$N$24:$N$29)/86400-INT(SUMPRODUCT(O$24:O$29,$N$24:$N$29)/86400)) &amp;" " &amp; 'Paramètres - Admin'!$D$2 &amp; " " &amp; SECOND(SUMPRODUCT(O$24:O$29,$N$24:$N$29)/86400-INT(SUMPRODUCT(O$24:O$29,$N$24:$N$29)/86400)) &amp;" " &amp; 'Paramètres - Admin'!$D$5))))</f>
        <v>0 mins 0 sec</v>
      </c>
      <c r="P33" s="365" t="str">
        <f>IF($B$2='Paramètres - Admin'!$B$2,TEXT(SUMPRODUCT(P$24:P$29,$N$24:$N$29),"# 0")&amp;" " &amp; 'Paramètres - Admin'!$B$2,IF($B$2='Paramètres - Admin'!$B$3,TEXT(SUMPRODUCT(P$24:P$29,$N$24:$N$29)/60,"# 0")&amp;" " &amp; 'Paramètres - Admin'!$B$3,IF($B$2='Paramètres - Admin'!$B$4,TEXT(SUMPRODUCT(P$24:P$29,$N$24:$N$29)/3600,"# 0,00")&amp;" " &amp; 'Paramètres - Admin'!$B$4,IF(SUMPRODUCT(P$24:P$29,$N$24:$N$29)/3600&gt;=1,INT(SUMPRODUCT(P$24:P$29,$N$24:$N$29)/3600) &amp;" " &amp; 'Paramètres - Admin'!$D$3 &amp; " " &amp; MINUTE(SUMPRODUCT(P$24:P$29,$N$24:$N$29)/86400-INT(SUMPRODUCT(P$24:P$29,$N$24:$N$29)/86400))  &amp;" " &amp; 'Paramètres - Admin'!$D$2 &amp; " " &amp; SECOND(SUMPRODUCT(P$24:P$29,$N$24:$N$29)/86400-INT(SUMPRODUCT(P$24:P$29,$N$24:$N$29)/86400)) &amp;" " &amp; 'Paramètres - Admin'!$D$5,MINUTE(SUMPRODUCT(P$24:P$29,$N$24:$N$29)/86400-INT(SUMPRODUCT(P$24:P$29,$N$24:$N$29)/86400)) &amp;" " &amp; 'Paramètres - Admin'!$D$2 &amp; " " &amp; SECOND(SUMPRODUCT(P$24:P$29,$N$24:$N$29)/86400-INT(SUMPRODUCT(P$24:P$29,$N$24:$N$29)/86400)) &amp;" " &amp; 'Paramètres - Admin'!$D$5))))</f>
        <v>0 mins 0 sec</v>
      </c>
      <c r="Q33" s="366" t="str">
        <f>IF($B$2='Paramètres - Admin'!$B$2,TEXT((SUMPRODUCT(O$24:O$29,$N$24:$N$29)+SUMPRODUCT(P$24:P$29,$N$24:$N$29)),"# 0")&amp;" " &amp; 'Paramètres - Admin'!$B$2,IF($B$2='Paramètres - Admin'!$B$3,TEXT((SUMPRODUCT(O$24:O$29,$N$24:$N$29)+SUMPRODUCT(P$24:P$29,$N$24:$N$29))/60,"# 0")&amp;" " &amp; 'Paramètres - Admin'!$B$3,IF($B$2='Paramètres - Admin'!$B$4,TEXT((SUMPRODUCT(O$24:O$29,$N$24:$N$29)+SUMPRODUCT(P$24:P$29,$N$24:$N$29))/3600,"# 0,00")&amp;" " &amp; 'Paramètres - Admin'!$B$4,IF((SUMPRODUCT(O$24:O$29,$N$24:$N$29)+SUMPRODUCT(P$24:P$29,$N$24:$N$29))/3600&gt;=1,INT((SUMPRODUCT(O$24:O$29,$N$24:$N$29)+SUMPRODUCT(P$24:P$29,$N$24:$N$29))/3600) &amp;" " &amp; 'Paramètres - Admin'!$D$3 &amp; " " &amp; MINUTE((SUMPRODUCT(O$24:O$29,$N$24:$N$29)+SUMPRODUCT(P$24:P$29,$N$24:$N$29))/86400-INT((SUMPRODUCT(O$24:O$29,$N$24:$N$29)+SUMPRODUCT(P$24:P$29,$N$24:$N$29))/86400))  &amp;" " &amp; 'Paramètres - Admin'!$D$2 &amp; " " &amp; SECOND((SUMPRODUCT(O$24:O$29,$N$24:$N$29)+SUMPRODUCT(P$24:P$29,$N$24:$N$29))/86400-INT((SUMPRODUCT(O$24:O$29,$N$24:$N$29)+SUMPRODUCT(P$24:P$29,$N$24:$N$29))/86400)) &amp;" " &amp; 'Paramètres - Admin'!$D$5,MINUTE((SUMPRODUCT(O$24:O$29,$N$24:$N$29)+SUMPRODUCT(P$24:P$29,$N$24:$N$29))/86400-INT((SUMPRODUCT(O$24:O$29,$N$24:$N$29)+SUMPRODUCT(P$24:P$29,$N$24:$N$29))/86400)) &amp;" " &amp; 'Paramètres - Admin'!$D$2 &amp; " " &amp; SECOND((SUMPRODUCT(O$24:O$29,$N$24:$N$29)+SUMPRODUCT(P$24:P$29,$N$24:$N$29))/86400-INT((SUMPRODUCT(O$24:O$29,$N$24:$N$29)+SUMPRODUCT(P$24:P$29,$N$24:$N$29))/86400)) &amp;" " &amp; 'Paramètres - Admin'!$D$5))))</f>
        <v>0 mins 0 sec</v>
      </c>
    </row>
    <row r="39" spans="2:17" ht="15" customHeight="1" x14ac:dyDescent="0.25">
      <c r="B39" s="158"/>
    </row>
    <row r="40" spans="2:17" ht="15" customHeight="1" x14ac:dyDescent="0.25">
      <c r="B40" s="158"/>
    </row>
    <row r="41" spans="2:17" ht="15" customHeight="1" x14ac:dyDescent="0.25">
      <c r="B41" s="158"/>
    </row>
  </sheetData>
  <sheetProtection selectLockedCells="1"/>
  <dataConsolidate/>
  <mergeCells count="32">
    <mergeCell ref="I3:R3"/>
    <mergeCell ref="B22:D23"/>
    <mergeCell ref="A25:A26"/>
    <mergeCell ref="A22:A23"/>
    <mergeCell ref="J30:K30"/>
    <mergeCell ref="F25:F26"/>
    <mergeCell ref="G25:G26"/>
    <mergeCell ref="A19:A20"/>
    <mergeCell ref="J15:K15"/>
    <mergeCell ref="J16:K16"/>
    <mergeCell ref="J17:K17"/>
    <mergeCell ref="J18:K18"/>
    <mergeCell ref="B19:D20"/>
    <mergeCell ref="B15:C15"/>
    <mergeCell ref="I22:P22"/>
    <mergeCell ref="B25:D26"/>
    <mergeCell ref="J31:K31"/>
    <mergeCell ref="J32:K32"/>
    <mergeCell ref="J33:K33"/>
    <mergeCell ref="F22:F23"/>
    <mergeCell ref="G22:G23"/>
    <mergeCell ref="F1:G1"/>
    <mergeCell ref="F2:G2"/>
    <mergeCell ref="B17:C17"/>
    <mergeCell ref="B16:C16"/>
    <mergeCell ref="D1:E1"/>
    <mergeCell ref="D2:E2"/>
    <mergeCell ref="B14:C14"/>
    <mergeCell ref="B1:C1"/>
    <mergeCell ref="B2:C2"/>
    <mergeCell ref="B13:C13"/>
    <mergeCell ref="A3:G3"/>
  </mergeCells>
  <conditionalFormatting sqref="O5:R14">
    <cfRule type="expression" dxfId="232" priority="34">
      <formula>OR($J5=0,$K5=0)</formula>
    </cfRule>
    <cfRule type="expression" dxfId="231" priority="61">
      <formula>O$16&gt;O$15</formula>
    </cfRule>
    <cfRule type="expression" dxfId="230" priority="175">
      <formula>O$2&lt;1</formula>
    </cfRule>
  </conditionalFormatting>
  <conditionalFormatting sqref="P5:P14">
    <cfRule type="expression" dxfId="229" priority="155">
      <formula>$I$2&lt;2</formula>
    </cfRule>
  </conditionalFormatting>
  <conditionalFormatting sqref="Q5:Q14">
    <cfRule type="expression" dxfId="228" priority="154">
      <formula>$I$2&lt;3</formula>
    </cfRule>
  </conditionalFormatting>
  <conditionalFormatting sqref="R5:R14">
    <cfRule type="expression" dxfId="227" priority="153">
      <formula>$I$2&lt;4</formula>
    </cfRule>
  </conditionalFormatting>
  <conditionalFormatting sqref="O6:R14">
    <cfRule type="expression" dxfId="226" priority="177">
      <formula>O$2&lt;2</formula>
    </cfRule>
  </conditionalFormatting>
  <conditionalFormatting sqref="O7:R14">
    <cfRule type="expression" dxfId="225" priority="178">
      <formula>O$2&lt;3</formula>
    </cfRule>
  </conditionalFormatting>
  <conditionalFormatting sqref="O8:R14">
    <cfRule type="expression" dxfId="224" priority="179">
      <formula>O$2&lt;4</formula>
    </cfRule>
  </conditionalFormatting>
  <conditionalFormatting sqref="O9:R14">
    <cfRule type="expression" dxfId="223" priority="180">
      <formula>O$2&lt;5</formula>
    </cfRule>
  </conditionalFormatting>
  <conditionalFormatting sqref="O10:R14">
    <cfRule type="expression" dxfId="222" priority="181">
      <formula>O$2&lt;6</formula>
    </cfRule>
  </conditionalFormatting>
  <conditionalFormatting sqref="O11:R14">
    <cfRule type="expression" dxfId="221" priority="182">
      <formula>O$2&lt;7</formula>
    </cfRule>
  </conditionalFormatting>
  <conditionalFormatting sqref="O12:R14">
    <cfRule type="expression" dxfId="220" priority="183">
      <formula>O$2&lt;8</formula>
    </cfRule>
  </conditionalFormatting>
  <conditionalFormatting sqref="O13:R14">
    <cfRule type="expression" dxfId="219" priority="184">
      <formula>O$2&lt;9</formula>
    </cfRule>
  </conditionalFormatting>
  <conditionalFormatting sqref="O14:R14">
    <cfRule type="expression" dxfId="218" priority="185">
      <formula>O$2&lt;10</formula>
    </cfRule>
  </conditionalFormatting>
  <conditionalFormatting sqref="G5:G12">
    <cfRule type="expression" dxfId="217" priority="1">
      <formula>OR($B5=0,$C5=0)</formula>
    </cfRule>
  </conditionalFormatting>
  <conditionalFormatting sqref="O31:Q31 O16:S16">
    <cfRule type="expression" dxfId="216" priority="731">
      <formula>$S$16+$Q$31&gt;$G$25</formula>
    </cfRule>
  </conditionalFormatting>
  <conditionalFormatting sqref="G7:G9">
    <cfRule type="expression" dxfId="215" priority="735">
      <formula>$D$2&lt;3</formula>
    </cfRule>
  </conditionalFormatting>
  <conditionalFormatting sqref="G8:G9">
    <cfRule type="expression" dxfId="214" priority="736">
      <formula>$D$2&lt;4</formula>
    </cfRule>
  </conditionalFormatting>
  <conditionalFormatting sqref="G9">
    <cfRule type="expression" dxfId="213" priority="737">
      <formula>$D$2&lt;5</formula>
    </cfRule>
  </conditionalFormatting>
  <conditionalFormatting sqref="G6:G9">
    <cfRule type="expression" dxfId="212" priority="738">
      <formula>$D$2&lt;2</formula>
    </cfRule>
  </conditionalFormatting>
  <conditionalFormatting sqref="G5:G9">
    <cfRule type="expression" dxfId="211" priority="739">
      <formula>$D$2&lt;1</formula>
    </cfRule>
    <cfRule type="expression" dxfId="210" priority="740">
      <formula>$G$14&gt;#REF!</formula>
    </cfRule>
  </conditionalFormatting>
  <conditionalFormatting sqref="G10:G12">
    <cfRule type="expression" dxfId="209" priority="757">
      <formula>$F$2&lt;1</formula>
    </cfRule>
  </conditionalFormatting>
  <conditionalFormatting sqref="G11:G12">
    <cfRule type="expression" dxfId="208" priority="758">
      <formula>$F$2&lt;2</formula>
    </cfRule>
  </conditionalFormatting>
  <conditionalFormatting sqref="G12">
    <cfRule type="expression" dxfId="207" priority="759">
      <formula>$F$2&lt;3</formula>
    </cfRule>
  </conditionalFormatting>
  <conditionalFormatting sqref="P24:P29">
    <cfRule type="expression" dxfId="206" priority="808">
      <formula>$I$21&lt;2</formula>
    </cfRule>
  </conditionalFormatting>
  <conditionalFormatting sqref="O29">
    <cfRule type="expression" dxfId="205" priority="809" stopIfTrue="1">
      <formula>$I$21&lt;1</formula>
    </cfRule>
  </conditionalFormatting>
  <conditionalFormatting sqref="O27:P29">
    <cfRule type="expression" dxfId="204" priority="824">
      <formula>O$21&lt;4</formula>
    </cfRule>
  </conditionalFormatting>
  <conditionalFormatting sqref="O25:P29">
    <cfRule type="expression" dxfId="203" priority="825">
      <formula>O$21&lt;2</formula>
    </cfRule>
  </conditionalFormatting>
  <conditionalFormatting sqref="O26:P29">
    <cfRule type="expression" dxfId="202" priority="826">
      <formula>O$21&lt;3</formula>
    </cfRule>
  </conditionalFormatting>
  <conditionalFormatting sqref="O28:P29">
    <cfRule type="expression" dxfId="201" priority="827">
      <formula>O$21&lt;5</formula>
    </cfRule>
  </conditionalFormatting>
  <conditionalFormatting sqref="O24:P28">
    <cfRule type="expression" dxfId="200" priority="846">
      <formula>O$31&gt;O$30</formula>
    </cfRule>
  </conditionalFormatting>
  <conditionalFormatting sqref="O29:P29">
    <cfRule type="expression" dxfId="199" priority="847">
      <formula>O$21&lt;6</formula>
    </cfRule>
    <cfRule type="expression" dxfId="198" priority="848" stopIfTrue="1">
      <formula>OR($J29=0,$K29=0)</formula>
    </cfRule>
    <cfRule type="expression" dxfId="197" priority="849" stopIfTrue="1">
      <formula>O$31&gt;O$30</formula>
    </cfRule>
  </conditionalFormatting>
  <conditionalFormatting sqref="O24:P29">
    <cfRule type="expression" dxfId="196" priority="850">
      <formula>OR($J24=0,$K24=0)</formula>
    </cfRule>
    <cfRule type="expression" dxfId="195" priority="851">
      <formula>O$21&lt;1</formula>
    </cfRule>
  </conditionalFormatting>
  <dataValidations count="5">
    <dataValidation type="whole" allowBlank="1" showInputMessage="1" showErrorMessage="1" sqref="O24:P29 O5:R14">
      <formula1>0</formula1>
      <formula2>1000</formula2>
    </dataValidation>
    <dataValidation type="list" allowBlank="1" showInputMessage="1" showErrorMessage="1" sqref="O21:P21">
      <formula1>"0,1,2,3,4,5,6"</formula1>
    </dataValidation>
    <dataValidation type="whole" allowBlank="1" showInputMessage="1" showErrorMessage="1" sqref="G5:G11">
      <formula1>0</formula1>
      <formula2>10</formula2>
    </dataValidation>
    <dataValidation type="list" allowBlank="1" showInputMessage="1" showErrorMessage="1" sqref="O2:R2">
      <formula1>"0,1,2,3,4,5,6,7,8,9,10"</formula1>
    </dataValidation>
    <dataValidation type="list" allowBlank="1" showInputMessage="1" showErrorMessage="1" sqref="B2">
      <formula1>TimeDisplay2</formula1>
    </dataValidation>
  </dataValidations>
  <pageMargins left="0.7" right="0.7" top="0.75" bottom="0.75" header="0.3" footer="0.3"/>
  <pageSetup paperSize="9" orientation="portrait" r:id="rId1"/>
  <ignoredErrors>
    <ignoredError sqref="I2 K5:K14 C5:C8"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BR58"/>
  <sheetViews>
    <sheetView showGridLines="0" workbookViewId="0">
      <pane xSplit="1" topLeftCell="D1" activePane="topRight" state="frozen"/>
      <selection activeCell="P319" sqref="P319"/>
      <selection pane="topRight" activeCell="K28" sqref="K28"/>
    </sheetView>
  </sheetViews>
  <sheetFormatPr baseColWidth="10" defaultColWidth="11.42578125" defaultRowHeight="11.25" x14ac:dyDescent="0.25"/>
  <cols>
    <col min="1" max="79" width="8.7109375" style="162" customWidth="1"/>
    <col min="80" max="80" width="4.7109375" style="162" customWidth="1"/>
    <col min="81" max="81" width="8.7109375" style="162" customWidth="1"/>
    <col min="82" max="82" width="4.7109375" style="162" customWidth="1"/>
    <col min="83" max="83" width="8.7109375" style="162" customWidth="1"/>
    <col min="84" max="84" width="4.7109375" style="162" customWidth="1"/>
    <col min="85" max="16384" width="11.42578125" style="162"/>
  </cols>
  <sheetData>
    <row r="1" spans="1:27" ht="30" customHeight="1" thickBot="1" x14ac:dyDescent="0.3">
      <c r="A1" s="1262" t="s">
        <v>407</v>
      </c>
      <c r="B1" s="1263"/>
      <c r="C1" s="1263"/>
      <c r="D1" s="1263"/>
      <c r="E1" s="1263"/>
      <c r="F1" s="1263"/>
      <c r="G1" s="1263"/>
      <c r="H1" s="1263"/>
      <c r="I1" s="1263"/>
      <c r="J1" s="1263"/>
      <c r="K1" s="1263"/>
      <c r="L1" s="1263"/>
      <c r="M1" s="1264"/>
      <c r="O1" s="1025" t="s">
        <v>363</v>
      </c>
      <c r="P1" s="1026"/>
      <c r="Q1" s="1026"/>
      <c r="R1" s="1026"/>
      <c r="S1" s="1026"/>
      <c r="T1" s="1026"/>
      <c r="U1" s="1026"/>
      <c r="V1" s="1026"/>
      <c r="W1" s="1026"/>
      <c r="X1" s="1026"/>
      <c r="Y1" s="1026"/>
      <c r="Z1" s="1026"/>
      <c r="AA1" s="1026"/>
    </row>
    <row r="2" spans="1:27" ht="23.25" thickBot="1" x14ac:dyDescent="0.3">
      <c r="A2" s="165" t="s">
        <v>291</v>
      </c>
      <c r="B2" s="17" t="s">
        <v>176</v>
      </c>
      <c r="C2" s="17" t="s">
        <v>15</v>
      </c>
      <c r="D2" s="17" t="s">
        <v>210</v>
      </c>
      <c r="E2" s="17" t="s">
        <v>21</v>
      </c>
      <c r="F2" s="17" t="s">
        <v>211</v>
      </c>
      <c r="G2" s="17" t="s">
        <v>22</v>
      </c>
      <c r="H2" s="17" t="s">
        <v>212</v>
      </c>
      <c r="I2" s="17" t="s">
        <v>23</v>
      </c>
      <c r="J2" s="17" t="s">
        <v>453</v>
      </c>
      <c r="K2" s="17" t="s">
        <v>24</v>
      </c>
      <c r="L2" s="17" t="s">
        <v>452</v>
      </c>
      <c r="M2" s="58" t="s">
        <v>25</v>
      </c>
      <c r="O2" s="165" t="s">
        <v>291</v>
      </c>
      <c r="P2" s="802" t="s">
        <v>176</v>
      </c>
      <c r="Q2" s="17" t="s">
        <v>15</v>
      </c>
      <c r="R2" s="17" t="s">
        <v>210</v>
      </c>
      <c r="S2" s="17" t="s">
        <v>21</v>
      </c>
      <c r="T2" s="17" t="s">
        <v>211</v>
      </c>
      <c r="U2" s="17" t="s">
        <v>22</v>
      </c>
      <c r="V2" s="17" t="s">
        <v>212</v>
      </c>
      <c r="W2" s="17" t="s">
        <v>23</v>
      </c>
      <c r="X2" s="17" t="s">
        <v>453</v>
      </c>
      <c r="Y2" s="17" t="s">
        <v>24</v>
      </c>
      <c r="Z2" s="17" t="s">
        <v>452</v>
      </c>
      <c r="AA2" s="58" t="s">
        <v>25</v>
      </c>
    </row>
    <row r="3" spans="1:27" x14ac:dyDescent="0.25">
      <c r="A3" s="7">
        <v>0</v>
      </c>
      <c r="B3" s="2">
        <v>0</v>
      </c>
      <c r="C3" s="6">
        <v>0</v>
      </c>
      <c r="D3" s="4">
        <v>0</v>
      </c>
      <c r="E3" s="35">
        <v>0</v>
      </c>
      <c r="F3" s="2">
        <v>0</v>
      </c>
      <c r="G3" s="6">
        <v>0</v>
      </c>
      <c r="H3" s="4">
        <v>0</v>
      </c>
      <c r="I3" s="35">
        <v>0</v>
      </c>
      <c r="J3" s="2">
        <v>0</v>
      </c>
      <c r="K3" s="6">
        <v>0</v>
      </c>
      <c r="L3" s="4">
        <v>0</v>
      </c>
      <c r="M3" s="818">
        <v>0</v>
      </c>
      <c r="O3" s="7">
        <v>0</v>
      </c>
      <c r="P3" s="803">
        <f t="shared" ref="P3:AA3" si="0">B3</f>
        <v>0</v>
      </c>
      <c r="Q3" s="28">
        <f t="shared" si="0"/>
        <v>0</v>
      </c>
      <c r="R3" s="29">
        <f t="shared" si="0"/>
        <v>0</v>
      </c>
      <c r="S3" s="30">
        <f t="shared" si="0"/>
        <v>0</v>
      </c>
      <c r="T3" s="27">
        <f t="shared" si="0"/>
        <v>0</v>
      </c>
      <c r="U3" s="28">
        <f t="shared" si="0"/>
        <v>0</v>
      </c>
      <c r="V3" s="29">
        <f t="shared" si="0"/>
        <v>0</v>
      </c>
      <c r="W3" s="30">
        <f t="shared" si="0"/>
        <v>0</v>
      </c>
      <c r="X3" s="27">
        <f t="shared" si="0"/>
        <v>0</v>
      </c>
      <c r="Y3" s="28">
        <f t="shared" si="0"/>
        <v>0</v>
      </c>
      <c r="Z3" s="29">
        <f t="shared" si="0"/>
        <v>0</v>
      </c>
      <c r="AA3" s="820">
        <f t="shared" si="0"/>
        <v>0</v>
      </c>
    </row>
    <row r="4" spans="1:27" x14ac:dyDescent="0.25">
      <c r="A4" s="166">
        <v>1</v>
      </c>
      <c r="B4" s="11">
        <v>1</v>
      </c>
      <c r="C4" s="9">
        <v>2</v>
      </c>
      <c r="D4" s="10">
        <v>1</v>
      </c>
      <c r="E4" s="36">
        <v>2</v>
      </c>
      <c r="F4" s="11">
        <v>0</v>
      </c>
      <c r="G4" s="9">
        <v>0</v>
      </c>
      <c r="H4" s="10">
        <v>1</v>
      </c>
      <c r="I4" s="36">
        <v>1</v>
      </c>
      <c r="J4" s="11">
        <v>1</v>
      </c>
      <c r="K4" s="9">
        <v>1</v>
      </c>
      <c r="L4" s="10">
        <v>0</v>
      </c>
      <c r="M4" s="823">
        <v>0</v>
      </c>
      <c r="O4" s="166">
        <v>1</v>
      </c>
      <c r="P4" s="805">
        <f t="shared" ref="P4:P13" si="1">B4-B3</f>
        <v>1</v>
      </c>
      <c r="Q4" s="32">
        <f t="shared" ref="Q4:Q13" si="2">C4-C3</f>
        <v>2</v>
      </c>
      <c r="R4" s="33">
        <f t="shared" ref="R4:R13" si="3">D4-D3</f>
        <v>1</v>
      </c>
      <c r="S4" s="34">
        <f t="shared" ref="S4:S13" si="4">E4-E3</f>
        <v>2</v>
      </c>
      <c r="T4" s="31">
        <f t="shared" ref="T4:T13" si="5">F4-F3</f>
        <v>0</v>
      </c>
      <c r="U4" s="32">
        <f t="shared" ref="U4:U13" si="6">G4-G3</f>
        <v>0</v>
      </c>
      <c r="V4" s="33">
        <f t="shared" ref="V4:V13" si="7">H4-H3</f>
        <v>1</v>
      </c>
      <c r="W4" s="34">
        <f t="shared" ref="W4:W13" si="8">I4-I3</f>
        <v>1</v>
      </c>
      <c r="X4" s="31">
        <f t="shared" ref="X4:X13" si="9">J4-J3</f>
        <v>1</v>
      </c>
      <c r="Y4" s="32">
        <f t="shared" ref="Y4:Y13" si="10">K4-K3</f>
        <v>1</v>
      </c>
      <c r="Z4" s="33">
        <f t="shared" ref="Z4:Z13" si="11">L4-L3</f>
        <v>0</v>
      </c>
      <c r="AA4" s="821">
        <f t="shared" ref="AA4:AA13" si="12">M4-M3</f>
        <v>0</v>
      </c>
    </row>
    <row r="5" spans="1:27" x14ac:dyDescent="0.25">
      <c r="A5" s="7">
        <v>2</v>
      </c>
      <c r="B5" s="2">
        <v>2</v>
      </c>
      <c r="C5" s="6">
        <v>4</v>
      </c>
      <c r="D5" s="4">
        <v>2</v>
      </c>
      <c r="E5" s="35">
        <v>4</v>
      </c>
      <c r="F5" s="2">
        <v>0</v>
      </c>
      <c r="G5" s="6">
        <v>0</v>
      </c>
      <c r="H5" s="4">
        <v>1</v>
      </c>
      <c r="I5" s="35">
        <v>3</v>
      </c>
      <c r="J5" s="2">
        <v>1</v>
      </c>
      <c r="K5" s="6">
        <v>3</v>
      </c>
      <c r="L5" s="4">
        <v>0</v>
      </c>
      <c r="M5" s="818">
        <v>0</v>
      </c>
      <c r="O5" s="7">
        <v>2</v>
      </c>
      <c r="P5" s="805">
        <f t="shared" si="1"/>
        <v>1</v>
      </c>
      <c r="Q5" s="32">
        <f t="shared" si="2"/>
        <v>2</v>
      </c>
      <c r="R5" s="33">
        <f t="shared" si="3"/>
        <v>1</v>
      </c>
      <c r="S5" s="34">
        <f t="shared" si="4"/>
        <v>2</v>
      </c>
      <c r="T5" s="31">
        <f t="shared" si="5"/>
        <v>0</v>
      </c>
      <c r="U5" s="32">
        <f t="shared" si="6"/>
        <v>0</v>
      </c>
      <c r="V5" s="33">
        <f t="shared" si="7"/>
        <v>0</v>
      </c>
      <c r="W5" s="34">
        <f t="shared" si="8"/>
        <v>2</v>
      </c>
      <c r="X5" s="31">
        <f t="shared" si="9"/>
        <v>0</v>
      </c>
      <c r="Y5" s="32">
        <f t="shared" si="10"/>
        <v>2</v>
      </c>
      <c r="Z5" s="33">
        <f t="shared" si="11"/>
        <v>0</v>
      </c>
      <c r="AA5" s="821">
        <f t="shared" si="12"/>
        <v>0</v>
      </c>
    </row>
    <row r="6" spans="1:27" x14ac:dyDescent="0.25">
      <c r="A6" s="7">
        <v>3</v>
      </c>
      <c r="B6" s="1">
        <v>3</v>
      </c>
      <c r="C6" s="5">
        <v>6</v>
      </c>
      <c r="D6" s="3">
        <v>3</v>
      </c>
      <c r="E6" s="37">
        <v>6</v>
      </c>
      <c r="F6" s="1">
        <v>0</v>
      </c>
      <c r="G6" s="5">
        <v>0</v>
      </c>
      <c r="H6" s="3">
        <v>2</v>
      </c>
      <c r="I6" s="37">
        <v>6</v>
      </c>
      <c r="J6" s="1">
        <v>2</v>
      </c>
      <c r="K6" s="5">
        <v>6</v>
      </c>
      <c r="L6" s="3">
        <v>0</v>
      </c>
      <c r="M6" s="817">
        <v>0</v>
      </c>
      <c r="O6" s="7">
        <v>3</v>
      </c>
      <c r="P6" s="805">
        <f t="shared" si="1"/>
        <v>1</v>
      </c>
      <c r="Q6" s="32">
        <f t="shared" si="2"/>
        <v>2</v>
      </c>
      <c r="R6" s="33">
        <f t="shared" si="3"/>
        <v>1</v>
      </c>
      <c r="S6" s="34">
        <f t="shared" si="4"/>
        <v>2</v>
      </c>
      <c r="T6" s="31">
        <f t="shared" si="5"/>
        <v>0</v>
      </c>
      <c r="U6" s="32">
        <f t="shared" si="6"/>
        <v>0</v>
      </c>
      <c r="V6" s="33">
        <f t="shared" si="7"/>
        <v>1</v>
      </c>
      <c r="W6" s="34">
        <f t="shared" si="8"/>
        <v>3</v>
      </c>
      <c r="X6" s="31">
        <f t="shared" si="9"/>
        <v>1</v>
      </c>
      <c r="Y6" s="32">
        <f t="shared" si="10"/>
        <v>3</v>
      </c>
      <c r="Z6" s="33">
        <f t="shared" si="11"/>
        <v>0</v>
      </c>
      <c r="AA6" s="821">
        <f t="shared" si="12"/>
        <v>0</v>
      </c>
    </row>
    <row r="7" spans="1:27" x14ac:dyDescent="0.25">
      <c r="A7" s="7">
        <v>4</v>
      </c>
      <c r="B7" s="2">
        <v>4</v>
      </c>
      <c r="C7" s="6">
        <v>8</v>
      </c>
      <c r="D7" s="4">
        <v>4</v>
      </c>
      <c r="E7" s="35">
        <v>8</v>
      </c>
      <c r="F7" s="2">
        <v>0</v>
      </c>
      <c r="G7" s="6">
        <v>0</v>
      </c>
      <c r="H7" s="4">
        <v>2</v>
      </c>
      <c r="I7" s="35">
        <v>8</v>
      </c>
      <c r="J7" s="2">
        <v>2</v>
      </c>
      <c r="K7" s="6">
        <v>8</v>
      </c>
      <c r="L7" s="4">
        <v>0</v>
      </c>
      <c r="M7" s="818">
        <v>0</v>
      </c>
      <c r="O7" s="7">
        <v>4</v>
      </c>
      <c r="P7" s="805">
        <f t="shared" si="1"/>
        <v>1</v>
      </c>
      <c r="Q7" s="32">
        <f t="shared" si="2"/>
        <v>2</v>
      </c>
      <c r="R7" s="33">
        <f t="shared" si="3"/>
        <v>1</v>
      </c>
      <c r="S7" s="34">
        <f t="shared" si="4"/>
        <v>2</v>
      </c>
      <c r="T7" s="31">
        <f t="shared" si="5"/>
        <v>0</v>
      </c>
      <c r="U7" s="32">
        <f t="shared" si="6"/>
        <v>0</v>
      </c>
      <c r="V7" s="33">
        <f t="shared" si="7"/>
        <v>0</v>
      </c>
      <c r="W7" s="34">
        <f t="shared" si="8"/>
        <v>2</v>
      </c>
      <c r="X7" s="31">
        <f t="shared" si="9"/>
        <v>0</v>
      </c>
      <c r="Y7" s="32">
        <f t="shared" si="10"/>
        <v>2</v>
      </c>
      <c r="Z7" s="33">
        <f t="shared" si="11"/>
        <v>0</v>
      </c>
      <c r="AA7" s="821">
        <f t="shared" si="12"/>
        <v>0</v>
      </c>
    </row>
    <row r="8" spans="1:27" x14ac:dyDescent="0.25">
      <c r="A8" s="7">
        <v>5</v>
      </c>
      <c r="B8" s="1">
        <v>5</v>
      </c>
      <c r="C8" s="5">
        <v>10</v>
      </c>
      <c r="D8" s="3">
        <v>5</v>
      </c>
      <c r="E8" s="37">
        <v>10</v>
      </c>
      <c r="F8" s="1">
        <v>0</v>
      </c>
      <c r="G8" s="5">
        <v>0</v>
      </c>
      <c r="H8" s="3">
        <v>2</v>
      </c>
      <c r="I8" s="37">
        <v>9</v>
      </c>
      <c r="J8" s="1">
        <v>2</v>
      </c>
      <c r="K8" s="5">
        <v>9</v>
      </c>
      <c r="L8" s="3">
        <v>0</v>
      </c>
      <c r="M8" s="817">
        <v>0</v>
      </c>
      <c r="O8" s="7">
        <v>5</v>
      </c>
      <c r="P8" s="805">
        <f t="shared" si="1"/>
        <v>1</v>
      </c>
      <c r="Q8" s="32">
        <f t="shared" si="2"/>
        <v>2</v>
      </c>
      <c r="R8" s="33">
        <f t="shared" si="3"/>
        <v>1</v>
      </c>
      <c r="S8" s="34">
        <f>E8-E7</f>
        <v>2</v>
      </c>
      <c r="T8" s="31">
        <f t="shared" si="5"/>
        <v>0</v>
      </c>
      <c r="U8" s="32">
        <f t="shared" si="6"/>
        <v>0</v>
      </c>
      <c r="V8" s="33">
        <f t="shared" si="7"/>
        <v>0</v>
      </c>
      <c r="W8" s="34">
        <f t="shared" si="8"/>
        <v>1</v>
      </c>
      <c r="X8" s="31">
        <f t="shared" si="9"/>
        <v>0</v>
      </c>
      <c r="Y8" s="32">
        <f t="shared" si="10"/>
        <v>1</v>
      </c>
      <c r="Z8" s="33">
        <f t="shared" si="11"/>
        <v>0</v>
      </c>
      <c r="AA8" s="821">
        <f t="shared" si="12"/>
        <v>0</v>
      </c>
    </row>
    <row r="9" spans="1:27" x14ac:dyDescent="0.25">
      <c r="A9" s="7">
        <v>6</v>
      </c>
      <c r="B9" s="2">
        <v>6</v>
      </c>
      <c r="C9" s="6">
        <v>10</v>
      </c>
      <c r="D9" s="4">
        <v>6</v>
      </c>
      <c r="E9" s="35">
        <v>10</v>
      </c>
      <c r="F9" s="2">
        <v>0</v>
      </c>
      <c r="G9" s="6">
        <v>0</v>
      </c>
      <c r="H9" s="4">
        <v>2</v>
      </c>
      <c r="I9" s="35">
        <v>10</v>
      </c>
      <c r="J9" s="2">
        <v>2</v>
      </c>
      <c r="K9" s="6">
        <v>10</v>
      </c>
      <c r="L9" s="4">
        <v>0</v>
      </c>
      <c r="M9" s="818">
        <v>0</v>
      </c>
      <c r="O9" s="7">
        <v>6</v>
      </c>
      <c r="P9" s="805">
        <f t="shared" si="1"/>
        <v>1</v>
      </c>
      <c r="Q9" s="32">
        <f t="shared" si="2"/>
        <v>0</v>
      </c>
      <c r="R9" s="33">
        <f t="shared" si="3"/>
        <v>1</v>
      </c>
      <c r="S9" s="34">
        <f t="shared" si="4"/>
        <v>0</v>
      </c>
      <c r="T9" s="31">
        <f t="shared" si="5"/>
        <v>0</v>
      </c>
      <c r="U9" s="32">
        <f t="shared" si="6"/>
        <v>0</v>
      </c>
      <c r="V9" s="33">
        <f t="shared" si="7"/>
        <v>0</v>
      </c>
      <c r="W9" s="34">
        <f t="shared" si="8"/>
        <v>1</v>
      </c>
      <c r="X9" s="31">
        <f t="shared" si="9"/>
        <v>0</v>
      </c>
      <c r="Y9" s="32">
        <f t="shared" si="10"/>
        <v>1</v>
      </c>
      <c r="Z9" s="33">
        <f t="shared" si="11"/>
        <v>0</v>
      </c>
      <c r="AA9" s="821">
        <f t="shared" si="12"/>
        <v>0</v>
      </c>
    </row>
    <row r="10" spans="1:27" x14ac:dyDescent="0.25">
      <c r="A10" s="7">
        <v>7</v>
      </c>
      <c r="B10" s="1">
        <v>6</v>
      </c>
      <c r="C10" s="5">
        <v>11</v>
      </c>
      <c r="D10" s="3">
        <v>6</v>
      </c>
      <c r="E10" s="37">
        <v>11</v>
      </c>
      <c r="F10" s="1">
        <v>1</v>
      </c>
      <c r="G10" s="5">
        <v>3</v>
      </c>
      <c r="H10" s="3">
        <v>2</v>
      </c>
      <c r="I10" s="37">
        <v>11</v>
      </c>
      <c r="J10" s="1">
        <v>2</v>
      </c>
      <c r="K10" s="5">
        <v>11</v>
      </c>
      <c r="L10" s="3">
        <v>1</v>
      </c>
      <c r="M10" s="817">
        <v>2</v>
      </c>
      <c r="O10" s="7">
        <v>7</v>
      </c>
      <c r="P10" s="805">
        <f t="shared" si="1"/>
        <v>0</v>
      </c>
      <c r="Q10" s="32">
        <f t="shared" si="2"/>
        <v>1</v>
      </c>
      <c r="R10" s="33">
        <f t="shared" si="3"/>
        <v>0</v>
      </c>
      <c r="S10" s="34">
        <f t="shared" si="4"/>
        <v>1</v>
      </c>
      <c r="T10" s="31">
        <f t="shared" si="5"/>
        <v>1</v>
      </c>
      <c r="U10" s="32">
        <f t="shared" si="6"/>
        <v>3</v>
      </c>
      <c r="V10" s="33">
        <f t="shared" si="7"/>
        <v>0</v>
      </c>
      <c r="W10" s="34">
        <f t="shared" si="8"/>
        <v>1</v>
      </c>
      <c r="X10" s="31">
        <f t="shared" si="9"/>
        <v>0</v>
      </c>
      <c r="Y10" s="32">
        <f t="shared" si="10"/>
        <v>1</v>
      </c>
      <c r="Z10" s="33">
        <f t="shared" si="11"/>
        <v>1</v>
      </c>
      <c r="AA10" s="821">
        <f t="shared" si="12"/>
        <v>2</v>
      </c>
    </row>
    <row r="11" spans="1:27" x14ac:dyDescent="0.25">
      <c r="A11" s="7">
        <v>8</v>
      </c>
      <c r="B11" s="2">
        <v>6</v>
      </c>
      <c r="C11" s="6">
        <v>12</v>
      </c>
      <c r="D11" s="4">
        <v>6</v>
      </c>
      <c r="E11" s="35">
        <v>12</v>
      </c>
      <c r="F11" s="2">
        <v>2</v>
      </c>
      <c r="G11" s="6">
        <v>3</v>
      </c>
      <c r="H11" s="4">
        <v>3</v>
      </c>
      <c r="I11" s="35">
        <v>11</v>
      </c>
      <c r="J11" s="2">
        <v>3</v>
      </c>
      <c r="K11" s="6">
        <v>11</v>
      </c>
      <c r="L11" s="4">
        <v>1</v>
      </c>
      <c r="M11" s="818">
        <v>4</v>
      </c>
      <c r="O11" s="7">
        <v>8</v>
      </c>
      <c r="P11" s="805">
        <f t="shared" si="1"/>
        <v>0</v>
      </c>
      <c r="Q11" s="32">
        <f t="shared" si="2"/>
        <v>1</v>
      </c>
      <c r="R11" s="33">
        <f t="shared" si="3"/>
        <v>0</v>
      </c>
      <c r="S11" s="34">
        <f t="shared" si="4"/>
        <v>1</v>
      </c>
      <c r="T11" s="31">
        <f t="shared" si="5"/>
        <v>1</v>
      </c>
      <c r="U11" s="32">
        <f t="shared" si="6"/>
        <v>0</v>
      </c>
      <c r="V11" s="33">
        <f t="shared" si="7"/>
        <v>1</v>
      </c>
      <c r="W11" s="34">
        <f t="shared" si="8"/>
        <v>0</v>
      </c>
      <c r="X11" s="31">
        <f t="shared" si="9"/>
        <v>1</v>
      </c>
      <c r="Y11" s="32">
        <f t="shared" si="10"/>
        <v>0</v>
      </c>
      <c r="Z11" s="33">
        <f t="shared" si="11"/>
        <v>0</v>
      </c>
      <c r="AA11" s="821">
        <f t="shared" si="12"/>
        <v>2</v>
      </c>
    </row>
    <row r="12" spans="1:27" x14ac:dyDescent="0.25">
      <c r="A12" s="7">
        <v>9</v>
      </c>
      <c r="B12" s="1">
        <v>6</v>
      </c>
      <c r="C12" s="5">
        <v>12</v>
      </c>
      <c r="D12" s="3">
        <v>6</v>
      </c>
      <c r="E12" s="37">
        <v>12</v>
      </c>
      <c r="F12" s="1">
        <v>2</v>
      </c>
      <c r="G12" s="5">
        <v>6</v>
      </c>
      <c r="H12" s="3">
        <v>4</v>
      </c>
      <c r="I12" s="37">
        <v>11</v>
      </c>
      <c r="J12" s="1">
        <v>4</v>
      </c>
      <c r="K12" s="5">
        <v>11</v>
      </c>
      <c r="L12" s="3">
        <v>1</v>
      </c>
      <c r="M12" s="817">
        <v>6</v>
      </c>
      <c r="O12" s="7">
        <v>9</v>
      </c>
      <c r="P12" s="805">
        <f t="shared" si="1"/>
        <v>0</v>
      </c>
      <c r="Q12" s="32">
        <f t="shared" si="2"/>
        <v>0</v>
      </c>
      <c r="R12" s="33">
        <f t="shared" si="3"/>
        <v>0</v>
      </c>
      <c r="S12" s="34">
        <f t="shared" si="4"/>
        <v>0</v>
      </c>
      <c r="T12" s="31">
        <f t="shared" si="5"/>
        <v>0</v>
      </c>
      <c r="U12" s="32">
        <f t="shared" si="6"/>
        <v>3</v>
      </c>
      <c r="V12" s="33">
        <f t="shared" si="7"/>
        <v>1</v>
      </c>
      <c r="W12" s="34">
        <f t="shared" si="8"/>
        <v>0</v>
      </c>
      <c r="X12" s="31">
        <f t="shared" si="9"/>
        <v>1</v>
      </c>
      <c r="Y12" s="32">
        <f t="shared" si="10"/>
        <v>0</v>
      </c>
      <c r="Z12" s="33">
        <f t="shared" si="11"/>
        <v>0</v>
      </c>
      <c r="AA12" s="821">
        <f t="shared" si="12"/>
        <v>2</v>
      </c>
    </row>
    <row r="13" spans="1:27" ht="12" thickBot="1" x14ac:dyDescent="0.3">
      <c r="A13" s="8">
        <v>10</v>
      </c>
      <c r="B13" s="42">
        <v>7</v>
      </c>
      <c r="C13" s="43">
        <v>12</v>
      </c>
      <c r="D13" s="44">
        <v>7</v>
      </c>
      <c r="E13" s="45">
        <v>12</v>
      </c>
      <c r="F13" s="42">
        <v>3</v>
      </c>
      <c r="G13" s="43">
        <v>6</v>
      </c>
      <c r="H13" s="44">
        <v>4</v>
      </c>
      <c r="I13" s="45">
        <v>11</v>
      </c>
      <c r="J13" s="42">
        <v>4</v>
      </c>
      <c r="K13" s="43">
        <v>11</v>
      </c>
      <c r="L13" s="44">
        <v>1</v>
      </c>
      <c r="M13" s="819">
        <v>6</v>
      </c>
      <c r="O13" s="8">
        <v>10</v>
      </c>
      <c r="P13" s="807">
        <f t="shared" si="1"/>
        <v>1</v>
      </c>
      <c r="Q13" s="808">
        <f t="shared" si="2"/>
        <v>0</v>
      </c>
      <c r="R13" s="810">
        <f t="shared" si="3"/>
        <v>1</v>
      </c>
      <c r="S13" s="811">
        <f t="shared" si="4"/>
        <v>0</v>
      </c>
      <c r="T13" s="809">
        <f t="shared" si="5"/>
        <v>1</v>
      </c>
      <c r="U13" s="808">
        <f t="shared" si="6"/>
        <v>0</v>
      </c>
      <c r="V13" s="810">
        <f t="shared" si="7"/>
        <v>0</v>
      </c>
      <c r="W13" s="811">
        <f t="shared" si="8"/>
        <v>0</v>
      </c>
      <c r="X13" s="809">
        <f t="shared" si="9"/>
        <v>0</v>
      </c>
      <c r="Y13" s="808">
        <f t="shared" si="10"/>
        <v>0</v>
      </c>
      <c r="Z13" s="810">
        <f t="shared" si="11"/>
        <v>0</v>
      </c>
      <c r="AA13" s="822">
        <f t="shared" si="12"/>
        <v>0</v>
      </c>
    </row>
    <row r="16" spans="1:27" ht="30" customHeight="1" thickBot="1" x14ac:dyDescent="0.3">
      <c r="A16" s="1025" t="s">
        <v>610</v>
      </c>
      <c r="B16" s="1026"/>
      <c r="C16" s="1026"/>
      <c r="D16" s="1026"/>
      <c r="E16" s="1026"/>
      <c r="F16" s="1026"/>
      <c r="G16" s="1026"/>
      <c r="H16" s="1026"/>
      <c r="I16" s="1026"/>
      <c r="J16" s="1026"/>
      <c r="K16" s="1026"/>
      <c r="L16" s="1026"/>
      <c r="M16" s="1026"/>
      <c r="O16" s="1025" t="s">
        <v>611</v>
      </c>
      <c r="P16" s="1026"/>
      <c r="Q16" s="1026"/>
      <c r="R16" s="1026"/>
      <c r="S16" s="1026"/>
      <c r="T16" s="1026"/>
      <c r="U16" s="1026"/>
      <c r="V16" s="1026"/>
      <c r="W16" s="1026"/>
      <c r="X16" s="1026"/>
      <c r="Y16" s="1026"/>
      <c r="Z16" s="1026"/>
      <c r="AA16" s="1026"/>
    </row>
    <row r="17" spans="1:70" ht="23.25" thickBot="1" x14ac:dyDescent="0.3">
      <c r="A17" s="931" t="s">
        <v>291</v>
      </c>
      <c r="B17" s="17" t="s">
        <v>207</v>
      </c>
      <c r="C17" s="17" t="s">
        <v>15</v>
      </c>
      <c r="D17" s="921" t="s">
        <v>343</v>
      </c>
      <c r="E17" s="824" t="s">
        <v>21</v>
      </c>
      <c r="F17" s="17" t="s">
        <v>338</v>
      </c>
      <c r="G17" s="17" t="s">
        <v>22</v>
      </c>
      <c r="H17" s="17" t="s">
        <v>208</v>
      </c>
      <c r="I17" s="17" t="s">
        <v>23</v>
      </c>
      <c r="J17" s="17" t="s">
        <v>209</v>
      </c>
      <c r="K17" s="17" t="s">
        <v>24</v>
      </c>
      <c r="L17" s="17" t="s">
        <v>707</v>
      </c>
      <c r="M17" s="17" t="s">
        <v>26</v>
      </c>
      <c r="O17" s="165" t="s">
        <v>291</v>
      </c>
      <c r="P17" s="802" t="s">
        <v>207</v>
      </c>
      <c r="Q17" s="17" t="s">
        <v>15</v>
      </c>
      <c r="R17" s="921" t="s">
        <v>343</v>
      </c>
      <c r="S17" s="824" t="s">
        <v>21</v>
      </c>
      <c r="T17" s="17" t="s">
        <v>338</v>
      </c>
      <c r="U17" s="17" t="s">
        <v>22</v>
      </c>
      <c r="V17" s="17" t="s">
        <v>208</v>
      </c>
      <c r="W17" s="17" t="s">
        <v>23</v>
      </c>
      <c r="X17" s="17" t="s">
        <v>209</v>
      </c>
      <c r="Y17" s="58" t="s">
        <v>24</v>
      </c>
      <c r="Z17" s="17" t="s">
        <v>707</v>
      </c>
      <c r="AA17" s="17" t="s">
        <v>26</v>
      </c>
    </row>
    <row r="18" spans="1:70" x14ac:dyDescent="0.25">
      <c r="A18" s="13">
        <v>0</v>
      </c>
      <c r="B18" s="2">
        <v>0</v>
      </c>
      <c r="C18" s="6">
        <v>0</v>
      </c>
      <c r="D18" s="4">
        <v>0</v>
      </c>
      <c r="E18" s="35">
        <v>0</v>
      </c>
      <c r="F18" s="2">
        <v>0</v>
      </c>
      <c r="G18" s="6">
        <v>0</v>
      </c>
      <c r="H18" s="4">
        <v>0</v>
      </c>
      <c r="I18" s="35">
        <v>0</v>
      </c>
      <c r="J18" s="2">
        <v>0</v>
      </c>
      <c r="K18" s="6">
        <v>0</v>
      </c>
      <c r="L18" s="4">
        <v>0</v>
      </c>
      <c r="M18" s="35">
        <v>0</v>
      </c>
      <c r="O18" s="7">
        <v>0</v>
      </c>
      <c r="P18" s="803">
        <f t="shared" ref="P18:Y18" si="13">B18</f>
        <v>0</v>
      </c>
      <c r="Q18" s="28">
        <f t="shared" si="13"/>
        <v>0</v>
      </c>
      <c r="R18" s="78">
        <f t="shared" si="13"/>
        <v>0</v>
      </c>
      <c r="S18" s="30">
        <f t="shared" si="13"/>
        <v>0</v>
      </c>
      <c r="T18" s="27">
        <f t="shared" si="13"/>
        <v>0</v>
      </c>
      <c r="U18" s="28">
        <f t="shared" si="13"/>
        <v>0</v>
      </c>
      <c r="V18" s="29">
        <f t="shared" si="13"/>
        <v>0</v>
      </c>
      <c r="W18" s="30">
        <f t="shared" si="13"/>
        <v>0</v>
      </c>
      <c r="X18" s="27">
        <f t="shared" si="13"/>
        <v>0</v>
      </c>
      <c r="Y18" s="804">
        <f t="shared" si="13"/>
        <v>0</v>
      </c>
      <c r="Z18" s="27">
        <f t="shared" ref="Z18" si="14">L18</f>
        <v>0</v>
      </c>
      <c r="AA18" s="804">
        <f t="shared" ref="AA18" si="15">M18</f>
        <v>0</v>
      </c>
    </row>
    <row r="19" spans="1:70" x14ac:dyDescent="0.25">
      <c r="A19" s="12">
        <v>1</v>
      </c>
      <c r="B19" s="11">
        <v>1</v>
      </c>
      <c r="C19" s="9">
        <v>3</v>
      </c>
      <c r="D19" s="79">
        <v>0</v>
      </c>
      <c r="E19" s="80">
        <v>0</v>
      </c>
      <c r="F19" s="11">
        <v>1</v>
      </c>
      <c r="G19" s="9">
        <v>1</v>
      </c>
      <c r="H19" s="10">
        <v>0</v>
      </c>
      <c r="I19" s="36">
        <v>0</v>
      </c>
      <c r="J19" s="11">
        <v>0</v>
      </c>
      <c r="K19" s="9">
        <v>0</v>
      </c>
      <c r="L19" s="10">
        <v>0</v>
      </c>
      <c r="M19" s="36">
        <v>0</v>
      </c>
      <c r="O19" s="166">
        <v>1</v>
      </c>
      <c r="P19" s="805">
        <f t="shared" ref="P19:P28" si="16">B19-B18</f>
        <v>1</v>
      </c>
      <c r="Q19" s="32">
        <f t="shared" ref="Q19:Q28" si="17">C19-C18</f>
        <v>3</v>
      </c>
      <c r="R19" s="81">
        <f t="shared" ref="R19:R28" si="18">D19-D18</f>
        <v>0</v>
      </c>
      <c r="S19" s="82">
        <f t="shared" ref="S19:S28" si="19">E19-E18</f>
        <v>0</v>
      </c>
      <c r="T19" s="31">
        <f t="shared" ref="T19:T28" si="20">F19-F18</f>
        <v>1</v>
      </c>
      <c r="U19" s="32">
        <f t="shared" ref="U19:U28" si="21">G19-G18</f>
        <v>1</v>
      </c>
      <c r="V19" s="33">
        <f t="shared" ref="V19:V28" si="22">H19-H18</f>
        <v>0</v>
      </c>
      <c r="W19" s="34">
        <f t="shared" ref="W19:W28" si="23">I19-I18</f>
        <v>0</v>
      </c>
      <c r="X19" s="31">
        <f t="shared" ref="X19:X28" si="24">J19-J18</f>
        <v>0</v>
      </c>
      <c r="Y19" s="806">
        <f t="shared" ref="Y19:Y28" si="25">K19-K18</f>
        <v>0</v>
      </c>
      <c r="Z19" s="31">
        <f t="shared" ref="Z19:Z28" si="26">L19-L18</f>
        <v>0</v>
      </c>
      <c r="AA19" s="806">
        <f t="shared" ref="AA19:AA28" si="27">M19-M18</f>
        <v>0</v>
      </c>
    </row>
    <row r="20" spans="1:70" x14ac:dyDescent="0.25">
      <c r="A20" s="13">
        <v>2</v>
      </c>
      <c r="B20" s="2">
        <v>2</v>
      </c>
      <c r="C20" s="6">
        <v>4</v>
      </c>
      <c r="D20" s="4">
        <v>0</v>
      </c>
      <c r="E20" s="35">
        <v>0</v>
      </c>
      <c r="F20" s="2">
        <v>1</v>
      </c>
      <c r="G20" s="6">
        <v>2</v>
      </c>
      <c r="H20" s="4">
        <v>0</v>
      </c>
      <c r="I20" s="35">
        <v>0</v>
      </c>
      <c r="J20" s="2">
        <v>0</v>
      </c>
      <c r="K20" s="6">
        <v>0</v>
      </c>
      <c r="L20" s="4">
        <v>0</v>
      </c>
      <c r="M20" s="35">
        <v>0</v>
      </c>
      <c r="O20" s="7">
        <v>2</v>
      </c>
      <c r="P20" s="805">
        <f t="shared" si="16"/>
        <v>1</v>
      </c>
      <c r="Q20" s="32">
        <f t="shared" si="17"/>
        <v>1</v>
      </c>
      <c r="R20" s="81">
        <f t="shared" si="18"/>
        <v>0</v>
      </c>
      <c r="S20" s="82">
        <f t="shared" si="19"/>
        <v>0</v>
      </c>
      <c r="T20" s="31">
        <f t="shared" si="20"/>
        <v>0</v>
      </c>
      <c r="U20" s="32">
        <f t="shared" si="21"/>
        <v>1</v>
      </c>
      <c r="V20" s="33">
        <f t="shared" si="22"/>
        <v>0</v>
      </c>
      <c r="W20" s="34">
        <f t="shared" si="23"/>
        <v>0</v>
      </c>
      <c r="X20" s="31">
        <f t="shared" si="24"/>
        <v>0</v>
      </c>
      <c r="Y20" s="806">
        <f t="shared" si="25"/>
        <v>0</v>
      </c>
      <c r="Z20" s="31">
        <f t="shared" si="26"/>
        <v>0</v>
      </c>
      <c r="AA20" s="806">
        <f t="shared" si="27"/>
        <v>0</v>
      </c>
    </row>
    <row r="21" spans="1:70" x14ac:dyDescent="0.25">
      <c r="A21" s="13">
        <v>3</v>
      </c>
      <c r="B21" s="1">
        <v>2</v>
      </c>
      <c r="C21" s="5">
        <v>5</v>
      </c>
      <c r="D21" s="3">
        <v>0</v>
      </c>
      <c r="E21" s="37">
        <v>0</v>
      </c>
      <c r="F21" s="1">
        <v>2</v>
      </c>
      <c r="G21" s="5">
        <v>3</v>
      </c>
      <c r="H21" s="3">
        <v>1</v>
      </c>
      <c r="I21" s="37">
        <v>1</v>
      </c>
      <c r="J21" s="1">
        <v>0</v>
      </c>
      <c r="K21" s="5">
        <v>0</v>
      </c>
      <c r="L21" s="3">
        <v>0</v>
      </c>
      <c r="M21" s="37">
        <v>0</v>
      </c>
      <c r="O21" s="7">
        <v>3</v>
      </c>
      <c r="P21" s="805">
        <f t="shared" si="16"/>
        <v>0</v>
      </c>
      <c r="Q21" s="32">
        <f t="shared" si="17"/>
        <v>1</v>
      </c>
      <c r="R21" s="81">
        <f t="shared" si="18"/>
        <v>0</v>
      </c>
      <c r="S21" s="82">
        <f t="shared" si="19"/>
        <v>0</v>
      </c>
      <c r="T21" s="31">
        <f t="shared" si="20"/>
        <v>1</v>
      </c>
      <c r="U21" s="32">
        <f t="shared" si="21"/>
        <v>1</v>
      </c>
      <c r="V21" s="33">
        <f t="shared" si="22"/>
        <v>1</v>
      </c>
      <c r="W21" s="34">
        <f t="shared" si="23"/>
        <v>1</v>
      </c>
      <c r="X21" s="31">
        <f t="shared" si="24"/>
        <v>0</v>
      </c>
      <c r="Y21" s="806">
        <f t="shared" si="25"/>
        <v>0</v>
      </c>
      <c r="Z21" s="31">
        <f t="shared" si="26"/>
        <v>0</v>
      </c>
      <c r="AA21" s="806">
        <f t="shared" si="27"/>
        <v>0</v>
      </c>
    </row>
    <row r="22" spans="1:70" x14ac:dyDescent="0.25">
      <c r="A22" s="13">
        <v>4</v>
      </c>
      <c r="B22" s="2">
        <v>3</v>
      </c>
      <c r="C22" s="6">
        <v>6</v>
      </c>
      <c r="D22" s="4">
        <v>0</v>
      </c>
      <c r="E22" s="35">
        <v>0</v>
      </c>
      <c r="F22" s="2">
        <v>2</v>
      </c>
      <c r="G22" s="6">
        <v>4</v>
      </c>
      <c r="H22" s="4">
        <v>1</v>
      </c>
      <c r="I22" s="35">
        <v>2</v>
      </c>
      <c r="J22" s="2">
        <v>0</v>
      </c>
      <c r="K22" s="6">
        <v>0</v>
      </c>
      <c r="L22" s="4">
        <v>0</v>
      </c>
      <c r="M22" s="35">
        <v>0</v>
      </c>
      <c r="O22" s="7">
        <v>4</v>
      </c>
      <c r="P22" s="805">
        <f t="shared" si="16"/>
        <v>1</v>
      </c>
      <c r="Q22" s="32">
        <f t="shared" si="17"/>
        <v>1</v>
      </c>
      <c r="R22" s="81">
        <f t="shared" si="18"/>
        <v>0</v>
      </c>
      <c r="S22" s="82">
        <f t="shared" si="19"/>
        <v>0</v>
      </c>
      <c r="T22" s="31">
        <f t="shared" si="20"/>
        <v>0</v>
      </c>
      <c r="U22" s="32">
        <f t="shared" si="21"/>
        <v>1</v>
      </c>
      <c r="V22" s="33">
        <f t="shared" si="22"/>
        <v>0</v>
      </c>
      <c r="W22" s="34">
        <f t="shared" si="23"/>
        <v>1</v>
      </c>
      <c r="X22" s="31">
        <f t="shared" si="24"/>
        <v>0</v>
      </c>
      <c r="Y22" s="806">
        <f t="shared" si="25"/>
        <v>0</v>
      </c>
      <c r="Z22" s="31">
        <f t="shared" si="26"/>
        <v>0</v>
      </c>
      <c r="AA22" s="806">
        <f t="shared" si="27"/>
        <v>0</v>
      </c>
    </row>
    <row r="23" spans="1:70" x14ac:dyDescent="0.25">
      <c r="A23" s="13">
        <v>5</v>
      </c>
      <c r="B23" s="1">
        <v>3</v>
      </c>
      <c r="C23" s="5">
        <v>7</v>
      </c>
      <c r="D23" s="3">
        <v>0</v>
      </c>
      <c r="E23" s="37">
        <v>0</v>
      </c>
      <c r="F23" s="1">
        <v>3</v>
      </c>
      <c r="G23" s="5">
        <v>5</v>
      </c>
      <c r="H23" s="3">
        <v>1</v>
      </c>
      <c r="I23" s="37">
        <v>3</v>
      </c>
      <c r="J23" s="1">
        <v>1</v>
      </c>
      <c r="K23" s="5">
        <v>1</v>
      </c>
      <c r="L23" s="3">
        <v>0</v>
      </c>
      <c r="M23" s="37">
        <v>0</v>
      </c>
      <c r="O23" s="7">
        <v>5</v>
      </c>
      <c r="P23" s="805">
        <f t="shared" si="16"/>
        <v>0</v>
      </c>
      <c r="Q23" s="32">
        <f t="shared" si="17"/>
        <v>1</v>
      </c>
      <c r="R23" s="81">
        <f t="shared" si="18"/>
        <v>0</v>
      </c>
      <c r="S23" s="82">
        <f t="shared" si="19"/>
        <v>0</v>
      </c>
      <c r="T23" s="31">
        <f t="shared" si="20"/>
        <v>1</v>
      </c>
      <c r="U23" s="32">
        <f t="shared" si="21"/>
        <v>1</v>
      </c>
      <c r="V23" s="33">
        <f t="shared" si="22"/>
        <v>0</v>
      </c>
      <c r="W23" s="34">
        <f t="shared" si="23"/>
        <v>1</v>
      </c>
      <c r="X23" s="31">
        <f t="shared" si="24"/>
        <v>1</v>
      </c>
      <c r="Y23" s="806">
        <f t="shared" si="25"/>
        <v>1</v>
      </c>
      <c r="Z23" s="31">
        <f t="shared" si="26"/>
        <v>0</v>
      </c>
      <c r="AA23" s="806">
        <f t="shared" si="27"/>
        <v>0</v>
      </c>
    </row>
    <row r="24" spans="1:70" x14ac:dyDescent="0.25">
      <c r="A24" s="13">
        <v>6</v>
      </c>
      <c r="B24" s="2">
        <v>3</v>
      </c>
      <c r="C24" s="6">
        <v>8</v>
      </c>
      <c r="D24" s="4">
        <v>0</v>
      </c>
      <c r="E24" s="35">
        <v>0</v>
      </c>
      <c r="F24" s="2">
        <v>3</v>
      </c>
      <c r="G24" s="6">
        <v>6</v>
      </c>
      <c r="H24" s="4">
        <v>1</v>
      </c>
      <c r="I24" s="35">
        <v>4</v>
      </c>
      <c r="J24" s="2">
        <v>1</v>
      </c>
      <c r="K24" s="6">
        <v>2</v>
      </c>
      <c r="L24" s="4">
        <v>0</v>
      </c>
      <c r="M24" s="35">
        <v>0</v>
      </c>
      <c r="O24" s="7">
        <v>6</v>
      </c>
      <c r="P24" s="805">
        <f t="shared" si="16"/>
        <v>0</v>
      </c>
      <c r="Q24" s="32">
        <f t="shared" si="17"/>
        <v>1</v>
      </c>
      <c r="R24" s="81">
        <f t="shared" si="18"/>
        <v>0</v>
      </c>
      <c r="S24" s="82">
        <f t="shared" si="19"/>
        <v>0</v>
      </c>
      <c r="T24" s="31">
        <f t="shared" si="20"/>
        <v>0</v>
      </c>
      <c r="U24" s="32">
        <f t="shared" si="21"/>
        <v>1</v>
      </c>
      <c r="V24" s="33">
        <f t="shared" si="22"/>
        <v>0</v>
      </c>
      <c r="W24" s="34">
        <f t="shared" si="23"/>
        <v>1</v>
      </c>
      <c r="X24" s="31">
        <f t="shared" si="24"/>
        <v>0</v>
      </c>
      <c r="Y24" s="806">
        <f t="shared" si="25"/>
        <v>1</v>
      </c>
      <c r="Z24" s="31">
        <f t="shared" si="26"/>
        <v>0</v>
      </c>
      <c r="AA24" s="806">
        <f t="shared" si="27"/>
        <v>0</v>
      </c>
    </row>
    <row r="25" spans="1:70" x14ac:dyDescent="0.25">
      <c r="A25" s="13">
        <v>7</v>
      </c>
      <c r="B25" s="1">
        <v>4</v>
      </c>
      <c r="C25" s="5">
        <v>9</v>
      </c>
      <c r="D25" s="3">
        <v>1</v>
      </c>
      <c r="E25" s="37">
        <v>2</v>
      </c>
      <c r="F25" s="1">
        <v>4</v>
      </c>
      <c r="G25" s="5">
        <v>6</v>
      </c>
      <c r="H25" s="3">
        <v>1</v>
      </c>
      <c r="I25" s="37">
        <v>5</v>
      </c>
      <c r="J25" s="1">
        <v>1</v>
      </c>
      <c r="K25" s="5">
        <v>3</v>
      </c>
      <c r="L25" s="3">
        <v>0</v>
      </c>
      <c r="M25" s="37">
        <v>0</v>
      </c>
      <c r="O25" s="7">
        <v>7</v>
      </c>
      <c r="P25" s="805">
        <f t="shared" si="16"/>
        <v>1</v>
      </c>
      <c r="Q25" s="32">
        <f t="shared" si="17"/>
        <v>1</v>
      </c>
      <c r="R25" s="81">
        <f t="shared" si="18"/>
        <v>1</v>
      </c>
      <c r="S25" s="82">
        <f t="shared" si="19"/>
        <v>2</v>
      </c>
      <c r="T25" s="31">
        <f t="shared" si="20"/>
        <v>1</v>
      </c>
      <c r="U25" s="32">
        <f t="shared" si="21"/>
        <v>0</v>
      </c>
      <c r="V25" s="33">
        <f t="shared" si="22"/>
        <v>0</v>
      </c>
      <c r="W25" s="34">
        <f t="shared" si="23"/>
        <v>1</v>
      </c>
      <c r="X25" s="31">
        <f t="shared" si="24"/>
        <v>0</v>
      </c>
      <c r="Y25" s="806">
        <f t="shared" si="25"/>
        <v>1</v>
      </c>
      <c r="Z25" s="31">
        <f t="shared" si="26"/>
        <v>0</v>
      </c>
      <c r="AA25" s="806">
        <f t="shared" si="27"/>
        <v>0</v>
      </c>
    </row>
    <row r="26" spans="1:70" x14ac:dyDescent="0.25">
      <c r="A26" s="13">
        <v>8</v>
      </c>
      <c r="B26" s="2">
        <v>4</v>
      </c>
      <c r="C26" s="6">
        <v>10</v>
      </c>
      <c r="D26" s="4">
        <v>2</v>
      </c>
      <c r="E26" s="35">
        <v>4</v>
      </c>
      <c r="F26" s="2">
        <v>4</v>
      </c>
      <c r="G26" s="6">
        <v>6</v>
      </c>
      <c r="H26" s="4">
        <v>1</v>
      </c>
      <c r="I26" s="35">
        <v>6</v>
      </c>
      <c r="J26" s="2">
        <v>1</v>
      </c>
      <c r="K26" s="6">
        <v>3</v>
      </c>
      <c r="L26" s="4">
        <v>1</v>
      </c>
      <c r="M26" s="35">
        <v>2</v>
      </c>
      <c r="O26" s="7">
        <v>8</v>
      </c>
      <c r="P26" s="805">
        <f t="shared" si="16"/>
        <v>0</v>
      </c>
      <c r="Q26" s="32">
        <f t="shared" si="17"/>
        <v>1</v>
      </c>
      <c r="R26" s="81">
        <f t="shared" si="18"/>
        <v>1</v>
      </c>
      <c r="S26" s="82">
        <f t="shared" si="19"/>
        <v>2</v>
      </c>
      <c r="T26" s="31">
        <f t="shared" si="20"/>
        <v>0</v>
      </c>
      <c r="U26" s="32">
        <f t="shared" si="21"/>
        <v>0</v>
      </c>
      <c r="V26" s="33">
        <f t="shared" si="22"/>
        <v>0</v>
      </c>
      <c r="W26" s="34">
        <f t="shared" si="23"/>
        <v>1</v>
      </c>
      <c r="X26" s="31">
        <f t="shared" si="24"/>
        <v>0</v>
      </c>
      <c r="Y26" s="806">
        <f t="shared" si="25"/>
        <v>0</v>
      </c>
      <c r="Z26" s="31">
        <f t="shared" si="26"/>
        <v>1</v>
      </c>
      <c r="AA26" s="806">
        <f t="shared" si="27"/>
        <v>2</v>
      </c>
    </row>
    <row r="27" spans="1:70" x14ac:dyDescent="0.25">
      <c r="A27" s="13">
        <v>9</v>
      </c>
      <c r="B27" s="1">
        <v>4</v>
      </c>
      <c r="C27" s="5">
        <v>10</v>
      </c>
      <c r="D27" s="3">
        <v>2</v>
      </c>
      <c r="E27" s="37">
        <v>6</v>
      </c>
      <c r="F27" s="1">
        <v>4</v>
      </c>
      <c r="G27" s="5">
        <v>7</v>
      </c>
      <c r="H27" s="3">
        <v>1</v>
      </c>
      <c r="I27" s="37">
        <v>7</v>
      </c>
      <c r="J27" s="1">
        <v>1</v>
      </c>
      <c r="K27" s="5">
        <v>4</v>
      </c>
      <c r="L27" s="3">
        <v>1</v>
      </c>
      <c r="M27" s="37">
        <v>3</v>
      </c>
      <c r="O27" s="7">
        <v>9</v>
      </c>
      <c r="P27" s="805">
        <f t="shared" si="16"/>
        <v>0</v>
      </c>
      <c r="Q27" s="32">
        <f t="shared" si="17"/>
        <v>0</v>
      </c>
      <c r="R27" s="81">
        <f t="shared" si="18"/>
        <v>0</v>
      </c>
      <c r="S27" s="82">
        <f t="shared" si="19"/>
        <v>2</v>
      </c>
      <c r="T27" s="31">
        <f t="shared" si="20"/>
        <v>0</v>
      </c>
      <c r="U27" s="32">
        <f t="shared" si="21"/>
        <v>1</v>
      </c>
      <c r="V27" s="33">
        <f t="shared" si="22"/>
        <v>0</v>
      </c>
      <c r="W27" s="34">
        <f t="shared" si="23"/>
        <v>1</v>
      </c>
      <c r="X27" s="31">
        <f t="shared" si="24"/>
        <v>0</v>
      </c>
      <c r="Y27" s="806">
        <f t="shared" si="25"/>
        <v>1</v>
      </c>
      <c r="Z27" s="31">
        <f t="shared" si="26"/>
        <v>0</v>
      </c>
      <c r="AA27" s="806">
        <f t="shared" si="27"/>
        <v>1</v>
      </c>
    </row>
    <row r="28" spans="1:70" ht="12" thickBot="1" x14ac:dyDescent="0.3">
      <c r="A28" s="19">
        <v>10</v>
      </c>
      <c r="B28" s="22">
        <v>4</v>
      </c>
      <c r="C28" s="20">
        <v>10</v>
      </c>
      <c r="D28" s="44">
        <v>2</v>
      </c>
      <c r="E28" s="45">
        <v>6</v>
      </c>
      <c r="F28" s="22">
        <v>4</v>
      </c>
      <c r="G28" s="20">
        <v>8</v>
      </c>
      <c r="H28" s="21">
        <v>1</v>
      </c>
      <c r="I28" s="38">
        <v>8</v>
      </c>
      <c r="J28" s="22">
        <v>1</v>
      </c>
      <c r="K28" s="20">
        <v>5</v>
      </c>
      <c r="L28" s="21">
        <v>1</v>
      </c>
      <c r="M28" s="38">
        <v>3</v>
      </c>
      <c r="O28" s="8">
        <v>10</v>
      </c>
      <c r="P28" s="807">
        <f t="shared" si="16"/>
        <v>0</v>
      </c>
      <c r="Q28" s="808">
        <f t="shared" si="17"/>
        <v>0</v>
      </c>
      <c r="R28" s="83">
        <f t="shared" si="18"/>
        <v>0</v>
      </c>
      <c r="S28" s="84">
        <f t="shared" si="19"/>
        <v>0</v>
      </c>
      <c r="T28" s="809">
        <f t="shared" si="20"/>
        <v>0</v>
      </c>
      <c r="U28" s="808">
        <f t="shared" si="21"/>
        <v>1</v>
      </c>
      <c r="V28" s="810">
        <f t="shared" si="22"/>
        <v>0</v>
      </c>
      <c r="W28" s="811">
        <f t="shared" si="23"/>
        <v>1</v>
      </c>
      <c r="X28" s="809">
        <f t="shared" si="24"/>
        <v>0</v>
      </c>
      <c r="Y28" s="812">
        <f t="shared" si="25"/>
        <v>1</v>
      </c>
      <c r="Z28" s="809">
        <f t="shared" si="26"/>
        <v>0</v>
      </c>
      <c r="AA28" s="812">
        <f t="shared" si="27"/>
        <v>0</v>
      </c>
    </row>
    <row r="29" spans="1:70" x14ac:dyDescent="0.2">
      <c r="P29" s="163"/>
      <c r="Q29" s="163"/>
      <c r="R29" s="163"/>
    </row>
    <row r="30" spans="1:70" ht="12" thickBot="1" x14ac:dyDescent="0.25">
      <c r="P30" s="163"/>
      <c r="Q30" s="163"/>
      <c r="R30" s="163"/>
    </row>
    <row r="31" spans="1:70" ht="30" customHeight="1" thickBot="1" x14ac:dyDescent="0.3">
      <c r="A31" s="1262" t="s">
        <v>405</v>
      </c>
      <c r="B31" s="1263"/>
      <c r="C31" s="1263"/>
      <c r="D31" s="1263"/>
      <c r="E31" s="1263"/>
      <c r="F31" s="1263"/>
      <c r="G31" s="1263"/>
      <c r="H31" s="1263"/>
      <c r="I31" s="1263"/>
      <c r="J31" s="1263"/>
      <c r="K31" s="1263"/>
      <c r="L31" s="1263"/>
      <c r="M31" s="1263"/>
      <c r="N31" s="1263"/>
      <c r="O31" s="1263"/>
      <c r="P31" s="1263"/>
      <c r="Q31" s="1263"/>
      <c r="R31" s="1263"/>
      <c r="S31" s="1263"/>
      <c r="T31" s="1263"/>
      <c r="U31" s="1264"/>
      <c r="V31" s="1028" t="s">
        <v>366</v>
      </c>
      <c r="W31" s="1029"/>
      <c r="X31" s="1029"/>
      <c r="Y31" s="1029"/>
      <c r="Z31" s="1029"/>
      <c r="AA31" s="1029"/>
      <c r="AB31" s="1029"/>
      <c r="AC31" s="1029"/>
      <c r="AD31" s="1029"/>
      <c r="AE31" s="1029"/>
      <c r="AF31" s="1029"/>
      <c r="AG31" s="1029"/>
      <c r="AH31" s="1029"/>
      <c r="AI31" s="672"/>
      <c r="AK31" s="1025" t="s">
        <v>367</v>
      </c>
      <c r="AL31" s="1026"/>
      <c r="AM31" s="1026"/>
      <c r="AN31" s="1026"/>
      <c r="AO31" s="1026"/>
      <c r="AP31" s="1026"/>
      <c r="AQ31" s="1026"/>
      <c r="AR31" s="1026"/>
      <c r="AS31" s="1026"/>
      <c r="AT31" s="1026"/>
      <c r="AU31" s="1026"/>
      <c r="AV31" s="1026"/>
      <c r="AW31" s="1026"/>
      <c r="AX31" s="1026"/>
      <c r="AY31" s="1026"/>
      <c r="AZ31" s="1026"/>
      <c r="BA31" s="1026"/>
      <c r="BB31" s="1026"/>
      <c r="BC31" s="1026"/>
      <c r="BD31" s="1026"/>
      <c r="BE31" s="1027"/>
      <c r="BF31" s="1025" t="s">
        <v>368</v>
      </c>
      <c r="BG31" s="1026"/>
      <c r="BH31" s="1026"/>
      <c r="BI31" s="1026"/>
      <c r="BJ31" s="1026"/>
      <c r="BK31" s="1026"/>
      <c r="BL31" s="1026"/>
      <c r="BM31" s="1026"/>
      <c r="BN31" s="1026"/>
      <c r="BO31" s="1026"/>
      <c r="BP31" s="1026"/>
      <c r="BQ31" s="1026"/>
      <c r="BR31" s="1026"/>
    </row>
    <row r="32" spans="1:70" ht="34.5" customHeight="1" thickBot="1" x14ac:dyDescent="0.3">
      <c r="A32" s="927" t="s">
        <v>291</v>
      </c>
      <c r="B32" s="53" t="s">
        <v>206</v>
      </c>
      <c r="C32" s="53" t="s">
        <v>15</v>
      </c>
      <c r="D32" s="53" t="s">
        <v>205</v>
      </c>
      <c r="E32" s="53" t="s">
        <v>21</v>
      </c>
      <c r="F32" s="53" t="s">
        <v>204</v>
      </c>
      <c r="G32" s="53" t="s">
        <v>22</v>
      </c>
      <c r="H32" s="53" t="s">
        <v>203</v>
      </c>
      <c r="I32" s="53" t="s">
        <v>23</v>
      </c>
      <c r="J32" s="53" t="s">
        <v>202</v>
      </c>
      <c r="K32" s="53" t="s">
        <v>24</v>
      </c>
      <c r="L32" s="53" t="s">
        <v>455</v>
      </c>
      <c r="M32" s="53" t="s">
        <v>25</v>
      </c>
      <c r="N32" s="53" t="s">
        <v>647</v>
      </c>
      <c r="O32" s="53" t="s">
        <v>648</v>
      </c>
      <c r="P32" s="53" t="s">
        <v>201</v>
      </c>
      <c r="Q32" s="53" t="s">
        <v>26</v>
      </c>
      <c r="R32" s="53" t="s">
        <v>200</v>
      </c>
      <c r="S32" s="53" t="s">
        <v>27</v>
      </c>
      <c r="T32" s="53" t="s">
        <v>199</v>
      </c>
      <c r="U32" s="53" t="s">
        <v>28</v>
      </c>
      <c r="V32" s="927" t="s">
        <v>291</v>
      </c>
      <c r="W32" s="922" t="s">
        <v>564</v>
      </c>
      <c r="X32" s="824" t="s">
        <v>556</v>
      </c>
      <c r="Y32" s="921" t="s">
        <v>562</v>
      </c>
      <c r="Z32" s="824" t="s">
        <v>557</v>
      </c>
      <c r="AA32" s="921" t="s">
        <v>561</v>
      </c>
      <c r="AB32" s="824" t="s">
        <v>558</v>
      </c>
      <c r="AC32" s="921" t="s">
        <v>563</v>
      </c>
      <c r="AD32" s="824" t="s">
        <v>559</v>
      </c>
      <c r="AE32" s="921" t="s">
        <v>565</v>
      </c>
      <c r="AF32" s="824" t="s">
        <v>560</v>
      </c>
      <c r="AG32" s="921" t="s">
        <v>567</v>
      </c>
      <c r="AH32" s="828" t="s">
        <v>566</v>
      </c>
      <c r="AJ32" s="672"/>
      <c r="AK32" s="931" t="s">
        <v>291</v>
      </c>
      <c r="AL32" s="928" t="s">
        <v>206</v>
      </c>
      <c r="AM32" s="929" t="s">
        <v>15</v>
      </c>
      <c r="AN32" s="929" t="s">
        <v>205</v>
      </c>
      <c r="AO32" s="830" t="s">
        <v>21</v>
      </c>
      <c r="AP32" s="929" t="s">
        <v>204</v>
      </c>
      <c r="AQ32" s="830" t="s">
        <v>22</v>
      </c>
      <c r="AR32" s="929" t="s">
        <v>203</v>
      </c>
      <c r="AS32" s="830" t="s">
        <v>566</v>
      </c>
      <c r="AT32" s="929" t="s">
        <v>202</v>
      </c>
      <c r="AU32" s="830" t="s">
        <v>569</v>
      </c>
      <c r="AV32" s="929" t="s">
        <v>455</v>
      </c>
      <c r="AW32" s="830" t="s">
        <v>25</v>
      </c>
      <c r="AX32" s="830" t="s">
        <v>649</v>
      </c>
      <c r="AY32" s="830" t="s">
        <v>650</v>
      </c>
      <c r="AZ32" s="929" t="s">
        <v>201</v>
      </c>
      <c r="BA32" s="830" t="s">
        <v>26</v>
      </c>
      <c r="BB32" s="929" t="s">
        <v>200</v>
      </c>
      <c r="BC32" s="830" t="s">
        <v>27</v>
      </c>
      <c r="BD32" s="929" t="s">
        <v>199</v>
      </c>
      <c r="BE32" s="670" t="s">
        <v>23</v>
      </c>
      <c r="BF32" s="927" t="s">
        <v>291</v>
      </c>
      <c r="BG32" s="565" t="s">
        <v>564</v>
      </c>
      <c r="BH32" s="671" t="s">
        <v>15</v>
      </c>
      <c r="BI32" s="668" t="s">
        <v>562</v>
      </c>
      <c r="BJ32" s="671" t="s">
        <v>21</v>
      </c>
      <c r="BK32" s="668" t="s">
        <v>561</v>
      </c>
      <c r="BL32" s="671" t="s">
        <v>22</v>
      </c>
      <c r="BM32" s="930" t="s">
        <v>563</v>
      </c>
      <c r="BN32" s="669" t="s">
        <v>596</v>
      </c>
      <c r="BO32" s="668" t="s">
        <v>565</v>
      </c>
      <c r="BP32" s="671" t="s">
        <v>23</v>
      </c>
      <c r="BQ32" s="668" t="s">
        <v>567</v>
      </c>
      <c r="BR32" s="671" t="s">
        <v>24</v>
      </c>
    </row>
    <row r="33" spans="1:70" x14ac:dyDescent="0.25">
      <c r="A33" s="52">
        <v>0</v>
      </c>
      <c r="B33" s="48">
        <v>0</v>
      </c>
      <c r="C33" s="39">
        <v>0</v>
      </c>
      <c r="D33" s="40">
        <v>0</v>
      </c>
      <c r="E33" s="41">
        <v>0</v>
      </c>
      <c r="F33" s="48">
        <v>0</v>
      </c>
      <c r="G33" s="39">
        <v>0</v>
      </c>
      <c r="H33" s="40">
        <v>0</v>
      </c>
      <c r="I33" s="41">
        <v>0</v>
      </c>
      <c r="J33" s="48">
        <v>0</v>
      </c>
      <c r="K33" s="39">
        <v>0</v>
      </c>
      <c r="L33" s="40">
        <v>0</v>
      </c>
      <c r="M33" s="41">
        <v>0</v>
      </c>
      <c r="N33" s="48">
        <v>0</v>
      </c>
      <c r="O33" s="39">
        <v>0</v>
      </c>
      <c r="P33" s="40">
        <v>0</v>
      </c>
      <c r="Q33" s="41">
        <v>0</v>
      </c>
      <c r="R33" s="48">
        <v>0</v>
      </c>
      <c r="S33" s="39">
        <v>0</v>
      </c>
      <c r="T33" s="40">
        <v>0</v>
      </c>
      <c r="U33" s="813">
        <v>0</v>
      </c>
      <c r="V33" s="52">
        <v>0</v>
      </c>
      <c r="W33" s="815">
        <v>0</v>
      </c>
      <c r="X33" s="39">
        <v>0</v>
      </c>
      <c r="Y33" s="40">
        <v>0</v>
      </c>
      <c r="Z33" s="41">
        <v>0</v>
      </c>
      <c r="AA33" s="48">
        <v>0</v>
      </c>
      <c r="AB33" s="39">
        <v>0</v>
      </c>
      <c r="AC33" s="40">
        <v>0</v>
      </c>
      <c r="AD33" s="41">
        <v>0</v>
      </c>
      <c r="AE33" s="48">
        <v>0</v>
      </c>
      <c r="AF33" s="39">
        <v>0</v>
      </c>
      <c r="AG33" s="40">
        <v>0</v>
      </c>
      <c r="AH33" s="816">
        <v>0</v>
      </c>
      <c r="AI33" s="672"/>
      <c r="AJ33" s="672"/>
      <c r="AK33" s="13">
        <v>0</v>
      </c>
      <c r="AL33" s="803">
        <f t="shared" ref="AL33:AQ33" si="28">B33</f>
        <v>0</v>
      </c>
      <c r="AM33" s="28">
        <f t="shared" si="28"/>
        <v>0</v>
      </c>
      <c r="AN33" s="665">
        <f t="shared" si="28"/>
        <v>0</v>
      </c>
      <c r="AO33" s="30">
        <f t="shared" si="28"/>
        <v>0</v>
      </c>
      <c r="AP33" s="666">
        <f t="shared" si="28"/>
        <v>0</v>
      </c>
      <c r="AQ33" s="28">
        <f t="shared" si="28"/>
        <v>0</v>
      </c>
      <c r="AR33" s="665">
        <f>P33</f>
        <v>0</v>
      </c>
      <c r="AS33" s="30">
        <f>Q33</f>
        <v>0</v>
      </c>
      <c r="AT33" s="666">
        <f>R33</f>
        <v>0</v>
      </c>
      <c r="AU33" s="28">
        <f>S33</f>
        <v>0</v>
      </c>
      <c r="AV33" s="665">
        <f>L33</f>
        <v>0</v>
      </c>
      <c r="AW33" s="30">
        <f>M33</f>
        <v>0</v>
      </c>
      <c r="AX33" s="666">
        <f>N33</f>
        <v>0</v>
      </c>
      <c r="AY33" s="28">
        <f>O33</f>
        <v>0</v>
      </c>
      <c r="AZ33" s="665">
        <f t="shared" ref="AZ33:BE33" si="29">P33</f>
        <v>0</v>
      </c>
      <c r="BA33" s="30">
        <f t="shared" si="29"/>
        <v>0</v>
      </c>
      <c r="BB33" s="666">
        <f t="shared" si="29"/>
        <v>0</v>
      </c>
      <c r="BC33" s="28">
        <f t="shared" si="29"/>
        <v>0</v>
      </c>
      <c r="BD33" s="665">
        <f t="shared" si="29"/>
        <v>0</v>
      </c>
      <c r="BE33" s="820">
        <f t="shared" si="29"/>
        <v>0</v>
      </c>
      <c r="BF33" s="52">
        <v>0</v>
      </c>
      <c r="BG33" s="803">
        <f t="shared" ref="BG33:BL33" si="30">W33</f>
        <v>0</v>
      </c>
      <c r="BH33" s="28">
        <f t="shared" si="30"/>
        <v>0</v>
      </c>
      <c r="BI33" s="665">
        <f t="shared" si="30"/>
        <v>0</v>
      </c>
      <c r="BJ33" s="30">
        <f t="shared" si="30"/>
        <v>0</v>
      </c>
      <c r="BK33" s="666">
        <f t="shared" si="30"/>
        <v>0</v>
      </c>
      <c r="BL33" s="28">
        <f t="shared" si="30"/>
        <v>0</v>
      </c>
      <c r="BM33" s="665">
        <f t="shared" ref="BM33:BR33" si="31">AC33</f>
        <v>0</v>
      </c>
      <c r="BN33" s="30">
        <f t="shared" si="31"/>
        <v>0</v>
      </c>
      <c r="BO33" s="666">
        <f t="shared" si="31"/>
        <v>0</v>
      </c>
      <c r="BP33" s="28">
        <f t="shared" si="31"/>
        <v>0</v>
      </c>
      <c r="BQ33" s="665">
        <f t="shared" si="31"/>
        <v>0</v>
      </c>
      <c r="BR33" s="820">
        <f t="shared" si="31"/>
        <v>0</v>
      </c>
    </row>
    <row r="34" spans="1:70" x14ac:dyDescent="0.25">
      <c r="A34" s="7">
        <v>1</v>
      </c>
      <c r="B34" s="49">
        <v>0</v>
      </c>
      <c r="C34" s="5">
        <v>0</v>
      </c>
      <c r="D34" s="3">
        <v>2</v>
      </c>
      <c r="E34" s="37">
        <v>2</v>
      </c>
      <c r="F34" s="49">
        <v>0</v>
      </c>
      <c r="G34" s="5">
        <v>0</v>
      </c>
      <c r="H34" s="3">
        <v>0</v>
      </c>
      <c r="I34" s="37">
        <v>0</v>
      </c>
      <c r="J34" s="49">
        <v>0</v>
      </c>
      <c r="K34" s="5">
        <v>0</v>
      </c>
      <c r="L34" s="3">
        <v>0</v>
      </c>
      <c r="M34" s="37">
        <v>0</v>
      </c>
      <c r="N34" s="49">
        <v>0</v>
      </c>
      <c r="O34" s="5">
        <v>0</v>
      </c>
      <c r="P34" s="3">
        <v>0</v>
      </c>
      <c r="Q34" s="37">
        <v>0</v>
      </c>
      <c r="R34" s="49">
        <v>0</v>
      </c>
      <c r="S34" s="5">
        <v>0</v>
      </c>
      <c r="T34" s="3">
        <v>0</v>
      </c>
      <c r="U34" s="16">
        <v>0</v>
      </c>
      <c r="V34" s="7">
        <v>1</v>
      </c>
      <c r="W34" s="536">
        <v>0</v>
      </c>
      <c r="X34" s="5">
        <v>0</v>
      </c>
      <c r="Y34" s="3">
        <v>0</v>
      </c>
      <c r="Z34" s="37">
        <v>0</v>
      </c>
      <c r="AA34" s="49">
        <v>0</v>
      </c>
      <c r="AB34" s="5">
        <v>0</v>
      </c>
      <c r="AC34" s="3">
        <v>0</v>
      </c>
      <c r="AD34" s="37">
        <v>0</v>
      </c>
      <c r="AE34" s="49">
        <v>0</v>
      </c>
      <c r="AF34" s="5">
        <v>0</v>
      </c>
      <c r="AG34" s="3">
        <v>0</v>
      </c>
      <c r="AH34" s="817">
        <v>0</v>
      </c>
      <c r="AI34" s="672"/>
      <c r="AJ34" s="672"/>
      <c r="AK34" s="12">
        <v>1</v>
      </c>
      <c r="AL34" s="70">
        <f t="shared" ref="AL34:AL43" si="32">B34-B33</f>
        <v>0</v>
      </c>
      <c r="AM34" s="67">
        <f t="shared" ref="AM34:AM43" si="33">C34-C33</f>
        <v>0</v>
      </c>
      <c r="AN34" s="68">
        <f t="shared" ref="AN34:AN43" si="34">D34-D33</f>
        <v>2</v>
      </c>
      <c r="AO34" s="69">
        <f t="shared" ref="AO34:AO43" si="35">E34-E33</f>
        <v>2</v>
      </c>
      <c r="AP34" s="66">
        <f t="shared" ref="AP34:AP43" si="36">F34-F33</f>
        <v>0</v>
      </c>
      <c r="AQ34" s="67">
        <f t="shared" ref="AQ34:AQ43" si="37">G34-G33</f>
        <v>0</v>
      </c>
      <c r="AR34" s="68">
        <f t="shared" ref="AR34:AR43" si="38">P34-P33</f>
        <v>0</v>
      </c>
      <c r="AS34" s="69">
        <f t="shared" ref="AS34:AS43" si="39">Q34-Q33</f>
        <v>0</v>
      </c>
      <c r="AT34" s="66">
        <f t="shared" ref="AT34:AT43" si="40">R34-R33</f>
        <v>0</v>
      </c>
      <c r="AU34" s="67">
        <f t="shared" ref="AU34:AU43" si="41">S34-S33</f>
        <v>0</v>
      </c>
      <c r="AV34" s="68">
        <f t="shared" ref="AV34:AV43" si="42">L34-L33</f>
        <v>0</v>
      </c>
      <c r="AW34" s="69">
        <f t="shared" ref="AW34:AW43" si="43">M34-M33</f>
        <v>0</v>
      </c>
      <c r="AX34" s="66">
        <f t="shared" ref="AX34:AX43" si="44">N34-N33</f>
        <v>0</v>
      </c>
      <c r="AY34" s="67">
        <f t="shared" ref="AY34:AY43" si="45">O34-O33</f>
        <v>0</v>
      </c>
      <c r="AZ34" s="68">
        <f t="shared" ref="AZ34:AZ43" si="46">P34-P33</f>
        <v>0</v>
      </c>
      <c r="BA34" s="69">
        <f t="shared" ref="BA34:BA43" si="47">Q34-Q33</f>
        <v>0</v>
      </c>
      <c r="BB34" s="66">
        <f t="shared" ref="BB34:BB43" si="48">R34-R33</f>
        <v>0</v>
      </c>
      <c r="BC34" s="67">
        <f t="shared" ref="BC34:BC43" si="49">S34-S33</f>
        <v>0</v>
      </c>
      <c r="BD34" s="68">
        <f t="shared" ref="BD34:BD43" si="50">T34-T33</f>
        <v>0</v>
      </c>
      <c r="BE34" s="71">
        <f t="shared" ref="BE34:BE43" si="51">U34-U33</f>
        <v>0</v>
      </c>
      <c r="BF34" s="7">
        <v>1</v>
      </c>
      <c r="BG34" s="70">
        <f t="shared" ref="BG34:BG43" si="52">W34-W33</f>
        <v>0</v>
      </c>
      <c r="BH34" s="67">
        <f t="shared" ref="BH34:BH43" si="53">X34-X33</f>
        <v>0</v>
      </c>
      <c r="BI34" s="68">
        <f t="shared" ref="BI34:BI43" si="54">Y34-Y33</f>
        <v>0</v>
      </c>
      <c r="BJ34" s="69">
        <f t="shared" ref="BJ34:BJ43" si="55">Z34-Z33</f>
        <v>0</v>
      </c>
      <c r="BK34" s="66">
        <f t="shared" ref="BK34:BK43" si="56">AA34-AA33</f>
        <v>0</v>
      </c>
      <c r="BL34" s="67">
        <f t="shared" ref="BL34:BL43" si="57">AB34-AB33</f>
        <v>0</v>
      </c>
      <c r="BM34" s="68">
        <f t="shared" ref="BM34:BR34" si="58">AC34-AC33</f>
        <v>0</v>
      </c>
      <c r="BN34" s="69">
        <f t="shared" si="58"/>
        <v>0</v>
      </c>
      <c r="BO34" s="66">
        <f t="shared" si="58"/>
        <v>0</v>
      </c>
      <c r="BP34" s="67">
        <f t="shared" si="58"/>
        <v>0</v>
      </c>
      <c r="BQ34" s="68">
        <f t="shared" si="58"/>
        <v>0</v>
      </c>
      <c r="BR34" s="71">
        <f t="shared" si="58"/>
        <v>0</v>
      </c>
    </row>
    <row r="35" spans="1:70" x14ac:dyDescent="0.25">
      <c r="A35" s="7">
        <v>2</v>
      </c>
      <c r="B35" s="50">
        <v>25</v>
      </c>
      <c r="C35" s="6">
        <v>2</v>
      </c>
      <c r="D35" s="4">
        <v>2</v>
      </c>
      <c r="E35" s="35">
        <v>3</v>
      </c>
      <c r="F35" s="50">
        <v>1</v>
      </c>
      <c r="G35" s="6">
        <v>2</v>
      </c>
      <c r="H35" s="4">
        <v>0</v>
      </c>
      <c r="I35" s="35">
        <v>0</v>
      </c>
      <c r="J35" s="50">
        <v>0</v>
      </c>
      <c r="K35" s="6">
        <v>0</v>
      </c>
      <c r="L35" s="4">
        <v>0</v>
      </c>
      <c r="M35" s="35">
        <v>0</v>
      </c>
      <c r="N35" s="50">
        <v>0</v>
      </c>
      <c r="O35" s="6">
        <v>0</v>
      </c>
      <c r="P35" s="4">
        <v>0</v>
      </c>
      <c r="Q35" s="35">
        <v>0</v>
      </c>
      <c r="R35" s="50">
        <v>0</v>
      </c>
      <c r="S35" s="6">
        <v>0</v>
      </c>
      <c r="T35" s="4">
        <v>0</v>
      </c>
      <c r="U35" s="15">
        <v>0</v>
      </c>
      <c r="V35" s="7">
        <v>2</v>
      </c>
      <c r="W35" s="535">
        <v>0</v>
      </c>
      <c r="X35" s="6">
        <v>0</v>
      </c>
      <c r="Y35" s="4">
        <v>0</v>
      </c>
      <c r="Z35" s="35">
        <v>0</v>
      </c>
      <c r="AA35" s="50">
        <v>0</v>
      </c>
      <c r="AB35" s="6">
        <v>0</v>
      </c>
      <c r="AC35" s="4">
        <v>0</v>
      </c>
      <c r="AD35" s="35">
        <v>0</v>
      </c>
      <c r="AE35" s="50">
        <v>0</v>
      </c>
      <c r="AF35" s="6">
        <v>0</v>
      </c>
      <c r="AG35" s="4">
        <v>0</v>
      </c>
      <c r="AH35" s="818">
        <v>0</v>
      </c>
      <c r="AI35" s="672"/>
      <c r="AJ35" s="672"/>
      <c r="AK35" s="13">
        <v>2</v>
      </c>
      <c r="AL35" s="70">
        <f t="shared" si="32"/>
        <v>25</v>
      </c>
      <c r="AM35" s="67">
        <f t="shared" si="33"/>
        <v>2</v>
      </c>
      <c r="AN35" s="68">
        <f t="shared" si="34"/>
        <v>0</v>
      </c>
      <c r="AO35" s="69">
        <f t="shared" si="35"/>
        <v>1</v>
      </c>
      <c r="AP35" s="66">
        <f t="shared" si="36"/>
        <v>1</v>
      </c>
      <c r="AQ35" s="67">
        <f t="shared" si="37"/>
        <v>2</v>
      </c>
      <c r="AR35" s="68">
        <f t="shared" si="38"/>
        <v>0</v>
      </c>
      <c r="AS35" s="69">
        <f t="shared" si="39"/>
        <v>0</v>
      </c>
      <c r="AT35" s="66">
        <f t="shared" si="40"/>
        <v>0</v>
      </c>
      <c r="AU35" s="67">
        <f t="shared" si="41"/>
        <v>0</v>
      </c>
      <c r="AV35" s="68">
        <f t="shared" si="42"/>
        <v>0</v>
      </c>
      <c r="AW35" s="69">
        <f t="shared" si="43"/>
        <v>0</v>
      </c>
      <c r="AX35" s="66">
        <f t="shared" si="44"/>
        <v>0</v>
      </c>
      <c r="AY35" s="67">
        <f t="shared" si="45"/>
        <v>0</v>
      </c>
      <c r="AZ35" s="68">
        <f t="shared" si="46"/>
        <v>0</v>
      </c>
      <c r="BA35" s="69">
        <f t="shared" si="47"/>
        <v>0</v>
      </c>
      <c r="BB35" s="66">
        <f t="shared" si="48"/>
        <v>0</v>
      </c>
      <c r="BC35" s="67">
        <f t="shared" si="49"/>
        <v>0</v>
      </c>
      <c r="BD35" s="68">
        <f t="shared" si="50"/>
        <v>0</v>
      </c>
      <c r="BE35" s="71">
        <f t="shared" si="51"/>
        <v>0</v>
      </c>
      <c r="BF35" s="7">
        <v>2</v>
      </c>
      <c r="BG35" s="70">
        <f t="shared" si="52"/>
        <v>0</v>
      </c>
      <c r="BH35" s="67">
        <f t="shared" si="53"/>
        <v>0</v>
      </c>
      <c r="BI35" s="68">
        <f t="shared" si="54"/>
        <v>0</v>
      </c>
      <c r="BJ35" s="69">
        <f t="shared" si="55"/>
        <v>0</v>
      </c>
      <c r="BK35" s="66">
        <f t="shared" si="56"/>
        <v>0</v>
      </c>
      <c r="BL35" s="67">
        <f t="shared" si="57"/>
        <v>0</v>
      </c>
      <c r="BM35" s="68">
        <f t="shared" ref="BM35:BM43" si="59">AC35-AC34</f>
        <v>0</v>
      </c>
      <c r="BN35" s="69">
        <f t="shared" ref="BN35:BN43" si="60">AD35-AD34</f>
        <v>0</v>
      </c>
      <c r="BO35" s="66">
        <f t="shared" ref="BO35:BO43" si="61">AE35-AE34</f>
        <v>0</v>
      </c>
      <c r="BP35" s="67">
        <f t="shared" ref="BP35:BP43" si="62">AF35-AF34</f>
        <v>0</v>
      </c>
      <c r="BQ35" s="68">
        <f t="shared" ref="BQ35:BQ43" si="63">AG35-AG34</f>
        <v>0</v>
      </c>
      <c r="BR35" s="71">
        <f t="shared" ref="BR35:BR43" si="64">AH35-AH34</f>
        <v>0</v>
      </c>
    </row>
    <row r="36" spans="1:70" x14ac:dyDescent="0.25">
      <c r="A36" s="7">
        <v>3</v>
      </c>
      <c r="B36" s="49">
        <v>50</v>
      </c>
      <c r="C36" s="5">
        <v>3</v>
      </c>
      <c r="D36" s="3">
        <v>2</v>
      </c>
      <c r="E36" s="37">
        <v>4</v>
      </c>
      <c r="F36" s="49">
        <v>1</v>
      </c>
      <c r="G36" s="5">
        <v>3</v>
      </c>
      <c r="H36" s="3">
        <v>1</v>
      </c>
      <c r="I36" s="37">
        <v>1</v>
      </c>
      <c r="J36" s="49">
        <v>0</v>
      </c>
      <c r="K36" s="5">
        <v>0</v>
      </c>
      <c r="L36" s="3">
        <v>0</v>
      </c>
      <c r="M36" s="37">
        <v>0</v>
      </c>
      <c r="N36" s="49">
        <v>0</v>
      </c>
      <c r="O36" s="5">
        <v>0</v>
      </c>
      <c r="P36" s="3">
        <v>0</v>
      </c>
      <c r="Q36" s="37">
        <v>0</v>
      </c>
      <c r="R36" s="49">
        <v>0</v>
      </c>
      <c r="S36" s="5">
        <v>0</v>
      </c>
      <c r="T36" s="3">
        <v>0</v>
      </c>
      <c r="U36" s="16">
        <v>0</v>
      </c>
      <c r="V36" s="7">
        <v>3</v>
      </c>
      <c r="W36" s="536">
        <v>2</v>
      </c>
      <c r="X36" s="5">
        <v>2</v>
      </c>
      <c r="Y36" s="3">
        <v>0</v>
      </c>
      <c r="Z36" s="37">
        <v>0</v>
      </c>
      <c r="AA36" s="49">
        <v>0</v>
      </c>
      <c r="AB36" s="5">
        <v>0</v>
      </c>
      <c r="AC36" s="3">
        <v>0</v>
      </c>
      <c r="AD36" s="37">
        <v>0</v>
      </c>
      <c r="AE36" s="49">
        <v>0</v>
      </c>
      <c r="AF36" s="5">
        <v>0</v>
      </c>
      <c r="AG36" s="3">
        <v>0</v>
      </c>
      <c r="AH36" s="817">
        <v>0</v>
      </c>
      <c r="AI36" s="672"/>
      <c r="AJ36" s="672"/>
      <c r="AK36" s="13">
        <v>3</v>
      </c>
      <c r="AL36" s="70">
        <f t="shared" si="32"/>
        <v>25</v>
      </c>
      <c r="AM36" s="67">
        <f t="shared" si="33"/>
        <v>1</v>
      </c>
      <c r="AN36" s="68">
        <f t="shared" si="34"/>
        <v>0</v>
      </c>
      <c r="AO36" s="69">
        <f t="shared" si="35"/>
        <v>1</v>
      </c>
      <c r="AP36" s="66">
        <f t="shared" si="36"/>
        <v>0</v>
      </c>
      <c r="AQ36" s="67">
        <f t="shared" si="37"/>
        <v>1</v>
      </c>
      <c r="AR36" s="68">
        <f t="shared" si="38"/>
        <v>0</v>
      </c>
      <c r="AS36" s="69">
        <f t="shared" si="39"/>
        <v>0</v>
      </c>
      <c r="AT36" s="66">
        <f t="shared" si="40"/>
        <v>0</v>
      </c>
      <c r="AU36" s="67">
        <f t="shared" si="41"/>
        <v>0</v>
      </c>
      <c r="AV36" s="68">
        <f t="shared" si="42"/>
        <v>0</v>
      </c>
      <c r="AW36" s="69">
        <f t="shared" si="43"/>
        <v>0</v>
      </c>
      <c r="AX36" s="66">
        <f t="shared" si="44"/>
        <v>0</v>
      </c>
      <c r="AY36" s="67">
        <f t="shared" si="45"/>
        <v>0</v>
      </c>
      <c r="AZ36" s="68">
        <f t="shared" si="46"/>
        <v>0</v>
      </c>
      <c r="BA36" s="69">
        <f t="shared" si="47"/>
        <v>0</v>
      </c>
      <c r="BB36" s="66">
        <f t="shared" si="48"/>
        <v>0</v>
      </c>
      <c r="BC36" s="67">
        <f t="shared" si="49"/>
        <v>0</v>
      </c>
      <c r="BD36" s="68">
        <f t="shared" si="50"/>
        <v>0</v>
      </c>
      <c r="BE36" s="71">
        <f t="shared" si="51"/>
        <v>0</v>
      </c>
      <c r="BF36" s="7">
        <v>3</v>
      </c>
      <c r="BG36" s="70">
        <f t="shared" si="52"/>
        <v>2</v>
      </c>
      <c r="BH36" s="67">
        <f t="shared" si="53"/>
        <v>2</v>
      </c>
      <c r="BI36" s="68">
        <f t="shared" si="54"/>
        <v>0</v>
      </c>
      <c r="BJ36" s="69">
        <f t="shared" si="55"/>
        <v>0</v>
      </c>
      <c r="BK36" s="66">
        <f t="shared" si="56"/>
        <v>0</v>
      </c>
      <c r="BL36" s="67">
        <f t="shared" si="57"/>
        <v>0</v>
      </c>
      <c r="BM36" s="68">
        <f t="shared" si="59"/>
        <v>0</v>
      </c>
      <c r="BN36" s="69">
        <f t="shared" si="60"/>
        <v>0</v>
      </c>
      <c r="BO36" s="66">
        <f t="shared" si="61"/>
        <v>0</v>
      </c>
      <c r="BP36" s="67">
        <f t="shared" si="62"/>
        <v>0</v>
      </c>
      <c r="BQ36" s="68">
        <f t="shared" si="63"/>
        <v>0</v>
      </c>
      <c r="BR36" s="71">
        <f t="shared" si="64"/>
        <v>0</v>
      </c>
    </row>
    <row r="37" spans="1:70" x14ac:dyDescent="0.25">
      <c r="A37" s="7">
        <v>4</v>
      </c>
      <c r="B37" s="50">
        <v>75</v>
      </c>
      <c r="C37" s="6">
        <v>4</v>
      </c>
      <c r="D37" s="4">
        <v>2</v>
      </c>
      <c r="E37" s="35">
        <v>5</v>
      </c>
      <c r="F37" s="50">
        <v>2</v>
      </c>
      <c r="G37" s="6">
        <v>4</v>
      </c>
      <c r="H37" s="4">
        <v>1</v>
      </c>
      <c r="I37" s="35">
        <v>2</v>
      </c>
      <c r="J37" s="50">
        <v>1</v>
      </c>
      <c r="K37" s="6">
        <v>2</v>
      </c>
      <c r="L37" s="4">
        <v>0</v>
      </c>
      <c r="M37" s="35">
        <v>0</v>
      </c>
      <c r="N37" s="50">
        <v>0</v>
      </c>
      <c r="O37" s="6">
        <v>0</v>
      </c>
      <c r="P37" s="4">
        <v>0</v>
      </c>
      <c r="Q37" s="35">
        <v>0</v>
      </c>
      <c r="R37" s="50">
        <v>0</v>
      </c>
      <c r="S37" s="6">
        <v>0</v>
      </c>
      <c r="T37" s="4">
        <v>0</v>
      </c>
      <c r="U37" s="15">
        <v>0</v>
      </c>
      <c r="V37" s="7">
        <v>4</v>
      </c>
      <c r="W37" s="535">
        <v>2</v>
      </c>
      <c r="X37" s="6">
        <v>2</v>
      </c>
      <c r="Y37" s="4">
        <v>2</v>
      </c>
      <c r="Z37" s="35">
        <v>1</v>
      </c>
      <c r="AA37" s="50">
        <v>0</v>
      </c>
      <c r="AB37" s="6">
        <v>0</v>
      </c>
      <c r="AC37" s="4">
        <v>0</v>
      </c>
      <c r="AD37" s="35">
        <v>0</v>
      </c>
      <c r="AE37" s="50">
        <v>0</v>
      </c>
      <c r="AF37" s="6">
        <v>0</v>
      </c>
      <c r="AG37" s="4">
        <v>0</v>
      </c>
      <c r="AH37" s="818">
        <v>0</v>
      </c>
      <c r="AI37" s="672"/>
      <c r="AJ37" s="672"/>
      <c r="AK37" s="13">
        <v>4</v>
      </c>
      <c r="AL37" s="70">
        <f t="shared" si="32"/>
        <v>25</v>
      </c>
      <c r="AM37" s="67">
        <f t="shared" si="33"/>
        <v>1</v>
      </c>
      <c r="AN37" s="68">
        <f t="shared" si="34"/>
        <v>0</v>
      </c>
      <c r="AO37" s="69">
        <f t="shared" si="35"/>
        <v>1</v>
      </c>
      <c r="AP37" s="66">
        <f t="shared" si="36"/>
        <v>1</v>
      </c>
      <c r="AQ37" s="67">
        <f t="shared" si="37"/>
        <v>1</v>
      </c>
      <c r="AR37" s="68">
        <f t="shared" si="38"/>
        <v>0</v>
      </c>
      <c r="AS37" s="69">
        <f t="shared" si="39"/>
        <v>0</v>
      </c>
      <c r="AT37" s="66">
        <f t="shared" si="40"/>
        <v>0</v>
      </c>
      <c r="AU37" s="67">
        <f t="shared" si="41"/>
        <v>0</v>
      </c>
      <c r="AV37" s="68">
        <f t="shared" si="42"/>
        <v>0</v>
      </c>
      <c r="AW37" s="69">
        <f t="shared" si="43"/>
        <v>0</v>
      </c>
      <c r="AX37" s="66">
        <f t="shared" si="44"/>
        <v>0</v>
      </c>
      <c r="AY37" s="67">
        <f t="shared" si="45"/>
        <v>0</v>
      </c>
      <c r="AZ37" s="68">
        <f t="shared" si="46"/>
        <v>0</v>
      </c>
      <c r="BA37" s="69">
        <f t="shared" si="47"/>
        <v>0</v>
      </c>
      <c r="BB37" s="66">
        <f t="shared" si="48"/>
        <v>0</v>
      </c>
      <c r="BC37" s="67">
        <f t="shared" si="49"/>
        <v>0</v>
      </c>
      <c r="BD37" s="68">
        <f t="shared" si="50"/>
        <v>0</v>
      </c>
      <c r="BE37" s="71">
        <f t="shared" si="51"/>
        <v>0</v>
      </c>
      <c r="BF37" s="7">
        <v>4</v>
      </c>
      <c r="BG37" s="70">
        <f t="shared" si="52"/>
        <v>0</v>
      </c>
      <c r="BH37" s="67">
        <f t="shared" si="53"/>
        <v>0</v>
      </c>
      <c r="BI37" s="68">
        <f t="shared" si="54"/>
        <v>2</v>
      </c>
      <c r="BJ37" s="69">
        <f t="shared" si="55"/>
        <v>1</v>
      </c>
      <c r="BK37" s="66">
        <f t="shared" si="56"/>
        <v>0</v>
      </c>
      <c r="BL37" s="67">
        <f t="shared" si="57"/>
        <v>0</v>
      </c>
      <c r="BM37" s="68">
        <f t="shared" si="59"/>
        <v>0</v>
      </c>
      <c r="BN37" s="69">
        <f t="shared" si="60"/>
        <v>0</v>
      </c>
      <c r="BO37" s="66">
        <f t="shared" si="61"/>
        <v>0</v>
      </c>
      <c r="BP37" s="67">
        <f t="shared" si="62"/>
        <v>0</v>
      </c>
      <c r="BQ37" s="68">
        <f t="shared" si="63"/>
        <v>0</v>
      </c>
      <c r="BR37" s="71">
        <f t="shared" si="64"/>
        <v>0</v>
      </c>
    </row>
    <row r="38" spans="1:70" x14ac:dyDescent="0.25">
      <c r="A38" s="7">
        <v>5</v>
      </c>
      <c r="B38" s="49">
        <v>100</v>
      </c>
      <c r="C38" s="5">
        <v>5</v>
      </c>
      <c r="D38" s="3">
        <v>3</v>
      </c>
      <c r="E38" s="37">
        <v>6</v>
      </c>
      <c r="F38" s="49">
        <v>3</v>
      </c>
      <c r="G38" s="5">
        <v>6</v>
      </c>
      <c r="H38" s="3">
        <v>1</v>
      </c>
      <c r="I38" s="37">
        <v>3</v>
      </c>
      <c r="J38" s="49">
        <v>1</v>
      </c>
      <c r="K38" s="5">
        <v>3</v>
      </c>
      <c r="L38" s="3">
        <v>1</v>
      </c>
      <c r="M38" s="37">
        <v>2</v>
      </c>
      <c r="N38" s="49">
        <v>0</v>
      </c>
      <c r="O38" s="5">
        <v>0</v>
      </c>
      <c r="P38" s="3">
        <v>0</v>
      </c>
      <c r="Q38" s="37">
        <v>0</v>
      </c>
      <c r="R38" s="49">
        <v>0</v>
      </c>
      <c r="S38" s="5">
        <v>0</v>
      </c>
      <c r="T38" s="3">
        <v>0</v>
      </c>
      <c r="U38" s="16">
        <v>0</v>
      </c>
      <c r="V38" s="7">
        <v>5</v>
      </c>
      <c r="W38" s="536">
        <v>4</v>
      </c>
      <c r="X38" s="5">
        <v>3</v>
      </c>
      <c r="Y38" s="3">
        <v>2</v>
      </c>
      <c r="Z38" s="37">
        <v>1</v>
      </c>
      <c r="AA38" s="49">
        <v>0</v>
      </c>
      <c r="AB38" s="5">
        <v>0</v>
      </c>
      <c r="AC38" s="3">
        <v>2</v>
      </c>
      <c r="AD38" s="37">
        <v>2</v>
      </c>
      <c r="AE38" s="49">
        <v>0</v>
      </c>
      <c r="AF38" s="5">
        <v>0</v>
      </c>
      <c r="AG38" s="3">
        <v>0</v>
      </c>
      <c r="AH38" s="817">
        <v>0</v>
      </c>
      <c r="AI38" s="672"/>
      <c r="AJ38" s="672"/>
      <c r="AK38" s="13">
        <v>5</v>
      </c>
      <c r="AL38" s="70">
        <f t="shared" si="32"/>
        <v>25</v>
      </c>
      <c r="AM38" s="67">
        <f t="shared" si="33"/>
        <v>1</v>
      </c>
      <c r="AN38" s="68">
        <f t="shared" si="34"/>
        <v>1</v>
      </c>
      <c r="AO38" s="69">
        <f t="shared" si="35"/>
        <v>1</v>
      </c>
      <c r="AP38" s="66">
        <f t="shared" si="36"/>
        <v>1</v>
      </c>
      <c r="AQ38" s="67">
        <f t="shared" si="37"/>
        <v>2</v>
      </c>
      <c r="AR38" s="68">
        <f t="shared" si="38"/>
        <v>0</v>
      </c>
      <c r="AS38" s="69">
        <f t="shared" si="39"/>
        <v>0</v>
      </c>
      <c r="AT38" s="66">
        <f t="shared" si="40"/>
        <v>0</v>
      </c>
      <c r="AU38" s="67">
        <f t="shared" si="41"/>
        <v>0</v>
      </c>
      <c r="AV38" s="68">
        <f t="shared" si="42"/>
        <v>1</v>
      </c>
      <c r="AW38" s="69">
        <f t="shared" si="43"/>
        <v>2</v>
      </c>
      <c r="AX38" s="66">
        <f t="shared" si="44"/>
        <v>0</v>
      </c>
      <c r="AY38" s="67">
        <f t="shared" si="45"/>
        <v>0</v>
      </c>
      <c r="AZ38" s="68">
        <f t="shared" si="46"/>
        <v>0</v>
      </c>
      <c r="BA38" s="69">
        <f t="shared" si="47"/>
        <v>0</v>
      </c>
      <c r="BB38" s="66">
        <f t="shared" si="48"/>
        <v>0</v>
      </c>
      <c r="BC38" s="67">
        <f t="shared" si="49"/>
        <v>0</v>
      </c>
      <c r="BD38" s="68">
        <f t="shared" si="50"/>
        <v>0</v>
      </c>
      <c r="BE38" s="71">
        <f t="shared" si="51"/>
        <v>0</v>
      </c>
      <c r="BF38" s="7">
        <v>5</v>
      </c>
      <c r="BG38" s="70">
        <f t="shared" si="52"/>
        <v>2</v>
      </c>
      <c r="BH38" s="67">
        <f t="shared" si="53"/>
        <v>1</v>
      </c>
      <c r="BI38" s="68">
        <f t="shared" si="54"/>
        <v>0</v>
      </c>
      <c r="BJ38" s="69">
        <f t="shared" si="55"/>
        <v>0</v>
      </c>
      <c r="BK38" s="66">
        <f t="shared" si="56"/>
        <v>0</v>
      </c>
      <c r="BL38" s="67">
        <f t="shared" si="57"/>
        <v>0</v>
      </c>
      <c r="BM38" s="68">
        <f t="shared" si="59"/>
        <v>2</v>
      </c>
      <c r="BN38" s="69">
        <f t="shared" si="60"/>
        <v>2</v>
      </c>
      <c r="BO38" s="66">
        <f t="shared" si="61"/>
        <v>0</v>
      </c>
      <c r="BP38" s="67">
        <f t="shared" si="62"/>
        <v>0</v>
      </c>
      <c r="BQ38" s="68">
        <f t="shared" si="63"/>
        <v>0</v>
      </c>
      <c r="BR38" s="71">
        <f t="shared" si="64"/>
        <v>0</v>
      </c>
    </row>
    <row r="39" spans="1:70" x14ac:dyDescent="0.25">
      <c r="A39" s="7">
        <v>6</v>
      </c>
      <c r="B39" s="50">
        <v>125</v>
      </c>
      <c r="C39" s="6">
        <v>6</v>
      </c>
      <c r="D39" s="4">
        <v>3</v>
      </c>
      <c r="E39" s="35">
        <v>7</v>
      </c>
      <c r="F39" s="50">
        <v>3</v>
      </c>
      <c r="G39" s="6">
        <v>7</v>
      </c>
      <c r="H39" s="4">
        <v>2</v>
      </c>
      <c r="I39" s="35">
        <v>4</v>
      </c>
      <c r="J39" s="50">
        <v>1</v>
      </c>
      <c r="K39" s="6">
        <v>4</v>
      </c>
      <c r="L39" s="4">
        <v>2</v>
      </c>
      <c r="M39" s="35">
        <v>3</v>
      </c>
      <c r="N39" s="50">
        <v>1</v>
      </c>
      <c r="O39" s="6">
        <v>2</v>
      </c>
      <c r="P39" s="4">
        <v>0</v>
      </c>
      <c r="Q39" s="35">
        <v>0</v>
      </c>
      <c r="R39" s="50">
        <v>0</v>
      </c>
      <c r="S39" s="6">
        <v>0</v>
      </c>
      <c r="T39" s="4">
        <v>0</v>
      </c>
      <c r="U39" s="15">
        <v>0</v>
      </c>
      <c r="V39" s="7">
        <v>6</v>
      </c>
      <c r="W39" s="535">
        <v>4</v>
      </c>
      <c r="X39" s="6">
        <v>3</v>
      </c>
      <c r="Y39" s="4">
        <v>4</v>
      </c>
      <c r="Z39" s="35">
        <v>1</v>
      </c>
      <c r="AA39" s="50">
        <v>1</v>
      </c>
      <c r="AB39" s="6">
        <v>2</v>
      </c>
      <c r="AC39" s="4">
        <v>2</v>
      </c>
      <c r="AD39" s="35">
        <v>2</v>
      </c>
      <c r="AE39" s="50">
        <v>0</v>
      </c>
      <c r="AF39" s="6">
        <v>0</v>
      </c>
      <c r="AG39" s="4">
        <v>0</v>
      </c>
      <c r="AH39" s="818">
        <v>0</v>
      </c>
      <c r="AI39" s="672"/>
      <c r="AJ39" s="672"/>
      <c r="AK39" s="13">
        <v>6</v>
      </c>
      <c r="AL39" s="70">
        <f t="shared" si="32"/>
        <v>25</v>
      </c>
      <c r="AM39" s="67">
        <f t="shared" si="33"/>
        <v>1</v>
      </c>
      <c r="AN39" s="68">
        <f t="shared" si="34"/>
        <v>0</v>
      </c>
      <c r="AO39" s="69">
        <f t="shared" si="35"/>
        <v>1</v>
      </c>
      <c r="AP39" s="66">
        <f t="shared" si="36"/>
        <v>0</v>
      </c>
      <c r="AQ39" s="67">
        <f t="shared" si="37"/>
        <v>1</v>
      </c>
      <c r="AR39" s="68">
        <f t="shared" si="38"/>
        <v>0</v>
      </c>
      <c r="AS39" s="69">
        <f t="shared" si="39"/>
        <v>0</v>
      </c>
      <c r="AT39" s="66">
        <f t="shared" si="40"/>
        <v>0</v>
      </c>
      <c r="AU39" s="67">
        <f t="shared" si="41"/>
        <v>0</v>
      </c>
      <c r="AV39" s="68">
        <f t="shared" si="42"/>
        <v>1</v>
      </c>
      <c r="AW39" s="69">
        <f t="shared" si="43"/>
        <v>1</v>
      </c>
      <c r="AX39" s="66">
        <f t="shared" si="44"/>
        <v>1</v>
      </c>
      <c r="AY39" s="67">
        <f t="shared" si="45"/>
        <v>2</v>
      </c>
      <c r="AZ39" s="68">
        <f t="shared" si="46"/>
        <v>0</v>
      </c>
      <c r="BA39" s="69">
        <f t="shared" si="47"/>
        <v>0</v>
      </c>
      <c r="BB39" s="66">
        <f t="shared" si="48"/>
        <v>0</v>
      </c>
      <c r="BC39" s="67">
        <f t="shared" si="49"/>
        <v>0</v>
      </c>
      <c r="BD39" s="68">
        <f t="shared" si="50"/>
        <v>0</v>
      </c>
      <c r="BE39" s="71">
        <f t="shared" si="51"/>
        <v>0</v>
      </c>
      <c r="BF39" s="7">
        <v>6</v>
      </c>
      <c r="BG39" s="70">
        <f t="shared" si="52"/>
        <v>0</v>
      </c>
      <c r="BH39" s="67">
        <f t="shared" si="53"/>
        <v>0</v>
      </c>
      <c r="BI39" s="68">
        <f t="shared" si="54"/>
        <v>2</v>
      </c>
      <c r="BJ39" s="69">
        <f t="shared" si="55"/>
        <v>0</v>
      </c>
      <c r="BK39" s="66">
        <f t="shared" si="56"/>
        <v>1</v>
      </c>
      <c r="BL39" s="67">
        <f t="shared" si="57"/>
        <v>2</v>
      </c>
      <c r="BM39" s="68">
        <f t="shared" si="59"/>
        <v>0</v>
      </c>
      <c r="BN39" s="69">
        <f t="shared" si="60"/>
        <v>0</v>
      </c>
      <c r="BO39" s="66">
        <f t="shared" si="61"/>
        <v>0</v>
      </c>
      <c r="BP39" s="67">
        <f t="shared" si="62"/>
        <v>0</v>
      </c>
      <c r="BQ39" s="68">
        <f t="shared" si="63"/>
        <v>0</v>
      </c>
      <c r="BR39" s="71">
        <f t="shared" si="64"/>
        <v>0</v>
      </c>
    </row>
    <row r="40" spans="1:70" x14ac:dyDescent="0.25">
      <c r="A40" s="7">
        <v>7</v>
      </c>
      <c r="B40" s="49">
        <v>175</v>
      </c>
      <c r="C40" s="5">
        <v>7</v>
      </c>
      <c r="D40" s="3">
        <v>5</v>
      </c>
      <c r="E40" s="37">
        <v>8</v>
      </c>
      <c r="F40" s="49">
        <v>4</v>
      </c>
      <c r="G40" s="5">
        <v>8</v>
      </c>
      <c r="H40" s="3">
        <v>3</v>
      </c>
      <c r="I40" s="37">
        <v>5</v>
      </c>
      <c r="J40" s="49">
        <v>2</v>
      </c>
      <c r="K40" s="5">
        <v>5</v>
      </c>
      <c r="L40" s="3">
        <v>2</v>
      </c>
      <c r="M40" s="37">
        <v>4</v>
      </c>
      <c r="N40" s="49">
        <v>1</v>
      </c>
      <c r="O40" s="5">
        <v>3</v>
      </c>
      <c r="P40" s="3">
        <v>2</v>
      </c>
      <c r="Q40" s="37">
        <v>3</v>
      </c>
      <c r="R40" s="49">
        <v>0</v>
      </c>
      <c r="S40" s="5">
        <v>0</v>
      </c>
      <c r="T40" s="3">
        <v>0</v>
      </c>
      <c r="U40" s="16">
        <v>0</v>
      </c>
      <c r="V40" s="7">
        <v>7</v>
      </c>
      <c r="W40" s="536">
        <v>6</v>
      </c>
      <c r="X40" s="5">
        <v>4</v>
      </c>
      <c r="Y40" s="3">
        <v>4</v>
      </c>
      <c r="Z40" s="37">
        <v>1</v>
      </c>
      <c r="AA40" s="49">
        <v>2</v>
      </c>
      <c r="AB40" s="5">
        <v>2</v>
      </c>
      <c r="AC40" s="3">
        <v>2</v>
      </c>
      <c r="AD40" s="37">
        <v>3</v>
      </c>
      <c r="AE40" s="49">
        <v>1</v>
      </c>
      <c r="AF40" s="5">
        <v>1</v>
      </c>
      <c r="AG40" s="3">
        <v>0</v>
      </c>
      <c r="AH40" s="817">
        <v>0</v>
      </c>
      <c r="AI40" s="672"/>
      <c r="AJ40" s="672"/>
      <c r="AK40" s="13">
        <v>7</v>
      </c>
      <c r="AL40" s="70">
        <f t="shared" si="32"/>
        <v>50</v>
      </c>
      <c r="AM40" s="67">
        <f t="shared" si="33"/>
        <v>1</v>
      </c>
      <c r="AN40" s="68">
        <f t="shared" si="34"/>
        <v>2</v>
      </c>
      <c r="AO40" s="69">
        <f t="shared" si="35"/>
        <v>1</v>
      </c>
      <c r="AP40" s="66">
        <f t="shared" si="36"/>
        <v>1</v>
      </c>
      <c r="AQ40" s="67">
        <f t="shared" si="37"/>
        <v>1</v>
      </c>
      <c r="AR40" s="68">
        <f t="shared" si="38"/>
        <v>2</v>
      </c>
      <c r="AS40" s="69">
        <f t="shared" si="39"/>
        <v>3</v>
      </c>
      <c r="AT40" s="66">
        <f t="shared" si="40"/>
        <v>0</v>
      </c>
      <c r="AU40" s="67">
        <f t="shared" si="41"/>
        <v>0</v>
      </c>
      <c r="AV40" s="68">
        <f t="shared" si="42"/>
        <v>0</v>
      </c>
      <c r="AW40" s="69">
        <f t="shared" si="43"/>
        <v>1</v>
      </c>
      <c r="AX40" s="66">
        <f t="shared" si="44"/>
        <v>0</v>
      </c>
      <c r="AY40" s="67">
        <f t="shared" si="45"/>
        <v>1</v>
      </c>
      <c r="AZ40" s="68">
        <f t="shared" si="46"/>
        <v>2</v>
      </c>
      <c r="BA40" s="69">
        <f t="shared" si="47"/>
        <v>3</v>
      </c>
      <c r="BB40" s="66">
        <f t="shared" si="48"/>
        <v>0</v>
      </c>
      <c r="BC40" s="67">
        <f t="shared" si="49"/>
        <v>0</v>
      </c>
      <c r="BD40" s="68">
        <f t="shared" si="50"/>
        <v>0</v>
      </c>
      <c r="BE40" s="71">
        <f t="shared" si="51"/>
        <v>0</v>
      </c>
      <c r="BF40" s="7">
        <v>7</v>
      </c>
      <c r="BG40" s="70">
        <f t="shared" si="52"/>
        <v>2</v>
      </c>
      <c r="BH40" s="67">
        <f t="shared" si="53"/>
        <v>1</v>
      </c>
      <c r="BI40" s="68">
        <f t="shared" si="54"/>
        <v>0</v>
      </c>
      <c r="BJ40" s="69">
        <f t="shared" si="55"/>
        <v>0</v>
      </c>
      <c r="BK40" s="66">
        <f t="shared" si="56"/>
        <v>1</v>
      </c>
      <c r="BL40" s="67">
        <f t="shared" si="57"/>
        <v>0</v>
      </c>
      <c r="BM40" s="68">
        <f t="shared" si="59"/>
        <v>0</v>
      </c>
      <c r="BN40" s="69">
        <f t="shared" si="60"/>
        <v>1</v>
      </c>
      <c r="BO40" s="66">
        <f t="shared" si="61"/>
        <v>1</v>
      </c>
      <c r="BP40" s="67">
        <f t="shared" si="62"/>
        <v>1</v>
      </c>
      <c r="BQ40" s="68">
        <f t="shared" si="63"/>
        <v>0</v>
      </c>
      <c r="BR40" s="71">
        <f t="shared" si="64"/>
        <v>0</v>
      </c>
    </row>
    <row r="41" spans="1:70" x14ac:dyDescent="0.25">
      <c r="A41" s="7">
        <v>8</v>
      </c>
      <c r="B41" s="50">
        <v>225</v>
      </c>
      <c r="C41" s="6">
        <v>8</v>
      </c>
      <c r="D41" s="4">
        <v>5</v>
      </c>
      <c r="E41" s="35">
        <v>10</v>
      </c>
      <c r="F41" s="50">
        <v>5</v>
      </c>
      <c r="G41" s="6">
        <v>10</v>
      </c>
      <c r="H41" s="4">
        <v>4</v>
      </c>
      <c r="I41" s="35">
        <v>6</v>
      </c>
      <c r="J41" s="50">
        <v>3</v>
      </c>
      <c r="K41" s="6">
        <v>6</v>
      </c>
      <c r="L41" s="4">
        <v>3</v>
      </c>
      <c r="M41" s="35">
        <v>6</v>
      </c>
      <c r="N41" s="50">
        <v>1</v>
      </c>
      <c r="O41" s="6">
        <v>4</v>
      </c>
      <c r="P41" s="4">
        <v>3</v>
      </c>
      <c r="Q41" s="35">
        <v>6</v>
      </c>
      <c r="R41" s="50">
        <v>0</v>
      </c>
      <c r="S41" s="6">
        <v>0</v>
      </c>
      <c r="T41" s="4">
        <v>0</v>
      </c>
      <c r="U41" s="15">
        <v>0</v>
      </c>
      <c r="V41" s="7">
        <v>8</v>
      </c>
      <c r="W41" s="535">
        <v>6</v>
      </c>
      <c r="X41" s="6">
        <v>5</v>
      </c>
      <c r="Y41" s="4">
        <v>6</v>
      </c>
      <c r="Z41" s="35">
        <v>1</v>
      </c>
      <c r="AA41" s="50">
        <v>3</v>
      </c>
      <c r="AB41" s="6">
        <v>3</v>
      </c>
      <c r="AC41" s="4">
        <v>4</v>
      </c>
      <c r="AD41" s="35">
        <v>3</v>
      </c>
      <c r="AE41" s="50">
        <v>2</v>
      </c>
      <c r="AF41" s="6">
        <v>1</v>
      </c>
      <c r="AG41" s="4">
        <v>2</v>
      </c>
      <c r="AH41" s="818">
        <v>2</v>
      </c>
      <c r="AI41" s="672"/>
      <c r="AJ41" s="672"/>
      <c r="AK41" s="13">
        <v>8</v>
      </c>
      <c r="AL41" s="70">
        <f t="shared" si="32"/>
        <v>50</v>
      </c>
      <c r="AM41" s="67">
        <f t="shared" si="33"/>
        <v>1</v>
      </c>
      <c r="AN41" s="68">
        <f t="shared" si="34"/>
        <v>0</v>
      </c>
      <c r="AO41" s="69">
        <f t="shared" si="35"/>
        <v>2</v>
      </c>
      <c r="AP41" s="66">
        <f t="shared" si="36"/>
        <v>1</v>
      </c>
      <c r="AQ41" s="67">
        <f t="shared" si="37"/>
        <v>2</v>
      </c>
      <c r="AR41" s="68">
        <f t="shared" si="38"/>
        <v>1</v>
      </c>
      <c r="AS41" s="69">
        <f t="shared" si="39"/>
        <v>3</v>
      </c>
      <c r="AT41" s="66">
        <f t="shared" si="40"/>
        <v>0</v>
      </c>
      <c r="AU41" s="67">
        <f t="shared" si="41"/>
        <v>0</v>
      </c>
      <c r="AV41" s="68">
        <f t="shared" si="42"/>
        <v>1</v>
      </c>
      <c r="AW41" s="69">
        <f t="shared" si="43"/>
        <v>2</v>
      </c>
      <c r="AX41" s="66">
        <f t="shared" si="44"/>
        <v>0</v>
      </c>
      <c r="AY41" s="67">
        <f t="shared" si="45"/>
        <v>1</v>
      </c>
      <c r="AZ41" s="68">
        <f t="shared" si="46"/>
        <v>1</v>
      </c>
      <c r="BA41" s="69">
        <f t="shared" si="47"/>
        <v>3</v>
      </c>
      <c r="BB41" s="66">
        <f t="shared" si="48"/>
        <v>0</v>
      </c>
      <c r="BC41" s="67">
        <f t="shared" si="49"/>
        <v>0</v>
      </c>
      <c r="BD41" s="68">
        <f t="shared" si="50"/>
        <v>0</v>
      </c>
      <c r="BE41" s="71">
        <f t="shared" si="51"/>
        <v>0</v>
      </c>
      <c r="BF41" s="7">
        <v>8</v>
      </c>
      <c r="BG41" s="70">
        <f t="shared" si="52"/>
        <v>0</v>
      </c>
      <c r="BH41" s="67">
        <f t="shared" si="53"/>
        <v>1</v>
      </c>
      <c r="BI41" s="68">
        <f t="shared" si="54"/>
        <v>2</v>
      </c>
      <c r="BJ41" s="69">
        <f t="shared" si="55"/>
        <v>0</v>
      </c>
      <c r="BK41" s="66">
        <f t="shared" si="56"/>
        <v>1</v>
      </c>
      <c r="BL41" s="67">
        <f t="shared" si="57"/>
        <v>1</v>
      </c>
      <c r="BM41" s="68">
        <f t="shared" si="59"/>
        <v>2</v>
      </c>
      <c r="BN41" s="69">
        <f t="shared" si="60"/>
        <v>0</v>
      </c>
      <c r="BO41" s="66">
        <f t="shared" si="61"/>
        <v>1</v>
      </c>
      <c r="BP41" s="67">
        <f t="shared" si="62"/>
        <v>0</v>
      </c>
      <c r="BQ41" s="68">
        <f t="shared" si="63"/>
        <v>2</v>
      </c>
      <c r="BR41" s="71">
        <f t="shared" si="64"/>
        <v>2</v>
      </c>
    </row>
    <row r="42" spans="1:70" x14ac:dyDescent="0.25">
      <c r="A42" s="7">
        <v>9</v>
      </c>
      <c r="B42" s="49">
        <v>250</v>
      </c>
      <c r="C42" s="5">
        <v>10</v>
      </c>
      <c r="D42" s="3">
        <v>5</v>
      </c>
      <c r="E42" s="37">
        <v>11</v>
      </c>
      <c r="F42" s="49">
        <v>6</v>
      </c>
      <c r="G42" s="5">
        <v>11</v>
      </c>
      <c r="H42" s="3">
        <v>4</v>
      </c>
      <c r="I42" s="37">
        <v>7</v>
      </c>
      <c r="J42" s="49">
        <v>4</v>
      </c>
      <c r="K42" s="5">
        <v>7</v>
      </c>
      <c r="L42" s="3">
        <v>4</v>
      </c>
      <c r="M42" s="37">
        <v>7</v>
      </c>
      <c r="N42" s="49">
        <v>2</v>
      </c>
      <c r="O42" s="5">
        <v>5</v>
      </c>
      <c r="P42" s="3">
        <v>4</v>
      </c>
      <c r="Q42" s="37">
        <v>7</v>
      </c>
      <c r="R42" s="49">
        <v>2</v>
      </c>
      <c r="S42" s="5">
        <v>3</v>
      </c>
      <c r="T42" s="3">
        <v>0</v>
      </c>
      <c r="U42" s="16">
        <v>0</v>
      </c>
      <c r="V42" s="7">
        <v>9</v>
      </c>
      <c r="W42" s="536">
        <v>6</v>
      </c>
      <c r="X42" s="5">
        <v>6</v>
      </c>
      <c r="Y42" s="3">
        <v>6</v>
      </c>
      <c r="Z42" s="37">
        <v>1</v>
      </c>
      <c r="AA42" s="49">
        <v>4</v>
      </c>
      <c r="AB42" s="5">
        <v>3</v>
      </c>
      <c r="AC42" s="3">
        <v>4</v>
      </c>
      <c r="AD42" s="37">
        <v>4</v>
      </c>
      <c r="AE42" s="49">
        <v>4</v>
      </c>
      <c r="AF42" s="5">
        <v>2</v>
      </c>
      <c r="AG42" s="3">
        <v>2</v>
      </c>
      <c r="AH42" s="817">
        <v>3</v>
      </c>
      <c r="AI42" s="672"/>
      <c r="AJ42" s="672"/>
      <c r="AK42" s="13">
        <v>9</v>
      </c>
      <c r="AL42" s="70">
        <f t="shared" si="32"/>
        <v>25</v>
      </c>
      <c r="AM42" s="67">
        <f t="shared" si="33"/>
        <v>2</v>
      </c>
      <c r="AN42" s="68">
        <f t="shared" si="34"/>
        <v>0</v>
      </c>
      <c r="AO42" s="69">
        <f t="shared" si="35"/>
        <v>1</v>
      </c>
      <c r="AP42" s="66">
        <f t="shared" si="36"/>
        <v>1</v>
      </c>
      <c r="AQ42" s="67">
        <f t="shared" si="37"/>
        <v>1</v>
      </c>
      <c r="AR42" s="68">
        <f t="shared" si="38"/>
        <v>1</v>
      </c>
      <c r="AS42" s="69">
        <f t="shared" si="39"/>
        <v>1</v>
      </c>
      <c r="AT42" s="66">
        <f t="shared" si="40"/>
        <v>2</v>
      </c>
      <c r="AU42" s="67">
        <f t="shared" si="41"/>
        <v>3</v>
      </c>
      <c r="AV42" s="68">
        <f t="shared" si="42"/>
        <v>1</v>
      </c>
      <c r="AW42" s="69">
        <f t="shared" si="43"/>
        <v>1</v>
      </c>
      <c r="AX42" s="66">
        <f t="shared" si="44"/>
        <v>1</v>
      </c>
      <c r="AY42" s="67">
        <f t="shared" si="45"/>
        <v>1</v>
      </c>
      <c r="AZ42" s="68">
        <f t="shared" si="46"/>
        <v>1</v>
      </c>
      <c r="BA42" s="69">
        <f t="shared" si="47"/>
        <v>1</v>
      </c>
      <c r="BB42" s="66">
        <f t="shared" si="48"/>
        <v>2</v>
      </c>
      <c r="BC42" s="67">
        <f t="shared" si="49"/>
        <v>3</v>
      </c>
      <c r="BD42" s="68">
        <f t="shared" si="50"/>
        <v>0</v>
      </c>
      <c r="BE42" s="71">
        <f t="shared" si="51"/>
        <v>0</v>
      </c>
      <c r="BF42" s="7">
        <v>9</v>
      </c>
      <c r="BG42" s="70">
        <f t="shared" si="52"/>
        <v>0</v>
      </c>
      <c r="BH42" s="67">
        <f t="shared" si="53"/>
        <v>1</v>
      </c>
      <c r="BI42" s="68">
        <f t="shared" si="54"/>
        <v>0</v>
      </c>
      <c r="BJ42" s="69">
        <f t="shared" si="55"/>
        <v>0</v>
      </c>
      <c r="BK42" s="66">
        <f t="shared" si="56"/>
        <v>1</v>
      </c>
      <c r="BL42" s="67">
        <f t="shared" si="57"/>
        <v>0</v>
      </c>
      <c r="BM42" s="68">
        <f t="shared" si="59"/>
        <v>0</v>
      </c>
      <c r="BN42" s="69">
        <f t="shared" si="60"/>
        <v>1</v>
      </c>
      <c r="BO42" s="66">
        <f t="shared" si="61"/>
        <v>2</v>
      </c>
      <c r="BP42" s="67">
        <f t="shared" si="62"/>
        <v>1</v>
      </c>
      <c r="BQ42" s="68">
        <f t="shared" si="63"/>
        <v>0</v>
      </c>
      <c r="BR42" s="71">
        <f t="shared" si="64"/>
        <v>1</v>
      </c>
    </row>
    <row r="43" spans="1:70" ht="12" thickBot="1" x14ac:dyDescent="0.3">
      <c r="A43" s="8">
        <v>10</v>
      </c>
      <c r="B43" s="51">
        <v>250</v>
      </c>
      <c r="C43" s="43">
        <v>11</v>
      </c>
      <c r="D43" s="44">
        <v>6</v>
      </c>
      <c r="E43" s="45">
        <v>13</v>
      </c>
      <c r="F43" s="51">
        <v>7</v>
      </c>
      <c r="G43" s="43">
        <v>13</v>
      </c>
      <c r="H43" s="44">
        <v>4</v>
      </c>
      <c r="I43" s="45">
        <v>8</v>
      </c>
      <c r="J43" s="51">
        <v>4</v>
      </c>
      <c r="K43" s="43">
        <v>8</v>
      </c>
      <c r="L43" s="44">
        <v>4</v>
      </c>
      <c r="M43" s="45">
        <v>8</v>
      </c>
      <c r="N43" s="51">
        <v>2</v>
      </c>
      <c r="O43" s="43">
        <v>6</v>
      </c>
      <c r="P43" s="44">
        <v>4</v>
      </c>
      <c r="Q43" s="45">
        <v>8</v>
      </c>
      <c r="R43" s="51">
        <v>3</v>
      </c>
      <c r="S43" s="43">
        <v>4</v>
      </c>
      <c r="T43" s="44">
        <v>2</v>
      </c>
      <c r="U43" s="814">
        <v>3</v>
      </c>
      <c r="V43" s="8">
        <v>10</v>
      </c>
      <c r="W43" s="537">
        <v>6</v>
      </c>
      <c r="X43" s="43">
        <v>6</v>
      </c>
      <c r="Y43" s="44">
        <v>6</v>
      </c>
      <c r="Z43" s="45">
        <v>1</v>
      </c>
      <c r="AA43" s="51">
        <v>5</v>
      </c>
      <c r="AB43" s="43">
        <v>4</v>
      </c>
      <c r="AC43" s="44">
        <v>5</v>
      </c>
      <c r="AD43" s="45">
        <v>4</v>
      </c>
      <c r="AE43" s="51">
        <v>5</v>
      </c>
      <c r="AF43" s="43">
        <v>3</v>
      </c>
      <c r="AG43" s="44">
        <v>3</v>
      </c>
      <c r="AH43" s="819">
        <v>3</v>
      </c>
      <c r="AI43" s="672"/>
      <c r="AJ43" s="672"/>
      <c r="AK43" s="19">
        <v>10</v>
      </c>
      <c r="AL43" s="72">
        <f t="shared" si="32"/>
        <v>0</v>
      </c>
      <c r="AM43" s="73">
        <f t="shared" si="33"/>
        <v>1</v>
      </c>
      <c r="AN43" s="74">
        <f t="shared" si="34"/>
        <v>1</v>
      </c>
      <c r="AO43" s="75">
        <f t="shared" si="35"/>
        <v>2</v>
      </c>
      <c r="AP43" s="76">
        <f t="shared" si="36"/>
        <v>1</v>
      </c>
      <c r="AQ43" s="73">
        <f t="shared" si="37"/>
        <v>2</v>
      </c>
      <c r="AR43" s="74">
        <f t="shared" si="38"/>
        <v>0</v>
      </c>
      <c r="AS43" s="75">
        <f t="shared" si="39"/>
        <v>1</v>
      </c>
      <c r="AT43" s="76">
        <f t="shared" si="40"/>
        <v>1</v>
      </c>
      <c r="AU43" s="73">
        <f t="shared" si="41"/>
        <v>1</v>
      </c>
      <c r="AV43" s="74">
        <f t="shared" si="42"/>
        <v>0</v>
      </c>
      <c r="AW43" s="75">
        <f t="shared" si="43"/>
        <v>1</v>
      </c>
      <c r="AX43" s="76">
        <f t="shared" si="44"/>
        <v>0</v>
      </c>
      <c r="AY43" s="73">
        <f t="shared" si="45"/>
        <v>1</v>
      </c>
      <c r="AZ43" s="74">
        <f t="shared" si="46"/>
        <v>0</v>
      </c>
      <c r="BA43" s="75">
        <f t="shared" si="47"/>
        <v>1</v>
      </c>
      <c r="BB43" s="76">
        <f t="shared" si="48"/>
        <v>1</v>
      </c>
      <c r="BC43" s="73">
        <f t="shared" si="49"/>
        <v>1</v>
      </c>
      <c r="BD43" s="74">
        <f t="shared" si="50"/>
        <v>2</v>
      </c>
      <c r="BE43" s="77">
        <f t="shared" si="51"/>
        <v>3</v>
      </c>
      <c r="BF43" s="8">
        <v>10</v>
      </c>
      <c r="BG43" s="72">
        <f t="shared" si="52"/>
        <v>0</v>
      </c>
      <c r="BH43" s="73">
        <f t="shared" si="53"/>
        <v>0</v>
      </c>
      <c r="BI43" s="74">
        <f t="shared" si="54"/>
        <v>0</v>
      </c>
      <c r="BJ43" s="75">
        <f t="shared" si="55"/>
        <v>0</v>
      </c>
      <c r="BK43" s="76">
        <f t="shared" si="56"/>
        <v>1</v>
      </c>
      <c r="BL43" s="73">
        <f t="shared" si="57"/>
        <v>1</v>
      </c>
      <c r="BM43" s="74">
        <f t="shared" si="59"/>
        <v>1</v>
      </c>
      <c r="BN43" s="75">
        <f t="shared" si="60"/>
        <v>0</v>
      </c>
      <c r="BO43" s="76">
        <f t="shared" si="61"/>
        <v>1</v>
      </c>
      <c r="BP43" s="73">
        <f t="shared" si="62"/>
        <v>1</v>
      </c>
      <c r="BQ43" s="74">
        <f t="shared" si="63"/>
        <v>1</v>
      </c>
      <c r="BR43" s="77">
        <f t="shared" si="64"/>
        <v>0</v>
      </c>
    </row>
    <row r="44" spans="1:70" x14ac:dyDescent="0.2">
      <c r="P44" s="163"/>
      <c r="Q44" s="163"/>
      <c r="R44" s="163"/>
      <c r="AF44" s="672"/>
      <c r="AG44" s="672"/>
    </row>
    <row r="45" spans="1:70" ht="12" thickBot="1" x14ac:dyDescent="0.25">
      <c r="P45" s="163"/>
      <c r="Q45" s="163"/>
      <c r="R45" s="163"/>
      <c r="AF45" s="672"/>
      <c r="AG45" s="672"/>
    </row>
    <row r="46" spans="1:70" ht="30" customHeight="1" thickBot="1" x14ac:dyDescent="0.3">
      <c r="A46" s="1038" t="s">
        <v>406</v>
      </c>
      <c r="B46" s="1039"/>
      <c r="C46" s="1039"/>
      <c r="D46" s="1039"/>
      <c r="E46" s="1040"/>
      <c r="G46" s="1265" t="s">
        <v>369</v>
      </c>
      <c r="H46" s="1266"/>
      <c r="I46" s="1266"/>
      <c r="J46" s="1266"/>
      <c r="K46" s="1266"/>
    </row>
    <row r="47" spans="1:70" ht="23.25" thickBot="1" x14ac:dyDescent="0.3">
      <c r="A47" s="931" t="s">
        <v>291</v>
      </c>
      <c r="B47" s="17" t="s">
        <v>198</v>
      </c>
      <c r="C47" s="18" t="s">
        <v>15</v>
      </c>
      <c r="D47" s="17" t="s">
        <v>197</v>
      </c>
      <c r="E47" s="17" t="s">
        <v>21</v>
      </c>
      <c r="G47" s="931" t="s">
        <v>291</v>
      </c>
      <c r="H47" s="802" t="s">
        <v>198</v>
      </c>
      <c r="I47" s="18" t="s">
        <v>15</v>
      </c>
      <c r="J47" s="17" t="s">
        <v>197</v>
      </c>
      <c r="K47" s="58" t="s">
        <v>21</v>
      </c>
    </row>
    <row r="48" spans="1:70" x14ac:dyDescent="0.25">
      <c r="A48" s="13">
        <v>0</v>
      </c>
      <c r="B48" s="2">
        <v>0</v>
      </c>
      <c r="C48" s="47">
        <v>0</v>
      </c>
      <c r="D48" s="4">
        <v>0</v>
      </c>
      <c r="E48" s="15">
        <v>0</v>
      </c>
      <c r="G48" s="13">
        <v>0</v>
      </c>
      <c r="H48" s="803">
        <f>B48</f>
        <v>0</v>
      </c>
      <c r="I48" s="28">
        <f>C48</f>
        <v>0</v>
      </c>
      <c r="J48" s="29">
        <f>D48</f>
        <v>0</v>
      </c>
      <c r="K48" s="820">
        <f>E48</f>
        <v>0</v>
      </c>
    </row>
    <row r="49" spans="1:11" x14ac:dyDescent="0.25">
      <c r="A49" s="12">
        <v>1</v>
      </c>
      <c r="B49" s="11">
        <v>0</v>
      </c>
      <c r="C49" s="59">
        <v>0</v>
      </c>
      <c r="D49" s="10">
        <v>1</v>
      </c>
      <c r="E49" s="14">
        <v>2</v>
      </c>
      <c r="G49" s="12">
        <v>1</v>
      </c>
      <c r="H49" s="805">
        <f t="shared" ref="H49:H58" si="65">B49-B48</f>
        <v>0</v>
      </c>
      <c r="I49" s="32">
        <f t="shared" ref="I49:I58" si="66">C49-C48</f>
        <v>0</v>
      </c>
      <c r="J49" s="33">
        <f t="shared" ref="J49:J58" si="67">D49-D48</f>
        <v>1</v>
      </c>
      <c r="K49" s="821">
        <f t="shared" ref="K49:K58" si="68">E49-E48</f>
        <v>2</v>
      </c>
    </row>
    <row r="50" spans="1:11" x14ac:dyDescent="0.25">
      <c r="A50" s="13">
        <v>2</v>
      </c>
      <c r="B50" s="2">
        <v>0</v>
      </c>
      <c r="C50" s="47">
        <v>0</v>
      </c>
      <c r="D50" s="4">
        <v>1</v>
      </c>
      <c r="E50" s="15">
        <v>3</v>
      </c>
      <c r="G50" s="13">
        <v>2</v>
      </c>
      <c r="H50" s="805">
        <f t="shared" si="65"/>
        <v>0</v>
      </c>
      <c r="I50" s="32">
        <f t="shared" si="66"/>
        <v>0</v>
      </c>
      <c r="J50" s="33">
        <f t="shared" si="67"/>
        <v>0</v>
      </c>
      <c r="K50" s="821">
        <f t="shared" si="68"/>
        <v>1</v>
      </c>
    </row>
    <row r="51" spans="1:11" x14ac:dyDescent="0.25">
      <c r="A51" s="13">
        <v>3</v>
      </c>
      <c r="B51" s="1">
        <v>1</v>
      </c>
      <c r="C51" s="46">
        <v>1</v>
      </c>
      <c r="D51" s="3">
        <v>1</v>
      </c>
      <c r="E51" s="14">
        <v>4</v>
      </c>
      <c r="G51" s="13">
        <v>3</v>
      </c>
      <c r="H51" s="805">
        <f t="shared" si="65"/>
        <v>1</v>
      </c>
      <c r="I51" s="32">
        <f t="shared" si="66"/>
        <v>1</v>
      </c>
      <c r="J51" s="33">
        <f t="shared" si="67"/>
        <v>0</v>
      </c>
      <c r="K51" s="821">
        <f t="shared" si="68"/>
        <v>1</v>
      </c>
    </row>
    <row r="52" spans="1:11" x14ac:dyDescent="0.25">
      <c r="A52" s="13">
        <v>4</v>
      </c>
      <c r="B52" s="2">
        <v>1</v>
      </c>
      <c r="C52" s="47">
        <v>2</v>
      </c>
      <c r="D52" s="4">
        <v>1</v>
      </c>
      <c r="E52" s="15">
        <v>5</v>
      </c>
      <c r="G52" s="13">
        <v>4</v>
      </c>
      <c r="H52" s="805">
        <f t="shared" si="65"/>
        <v>0</v>
      </c>
      <c r="I52" s="32">
        <f t="shared" si="66"/>
        <v>1</v>
      </c>
      <c r="J52" s="33">
        <f t="shared" si="67"/>
        <v>0</v>
      </c>
      <c r="K52" s="821">
        <f t="shared" si="68"/>
        <v>1</v>
      </c>
    </row>
    <row r="53" spans="1:11" x14ac:dyDescent="0.25">
      <c r="A53" s="13">
        <v>5</v>
      </c>
      <c r="B53" s="1">
        <v>1</v>
      </c>
      <c r="C53" s="46">
        <v>2</v>
      </c>
      <c r="D53" s="3">
        <v>1</v>
      </c>
      <c r="E53" s="14">
        <v>6</v>
      </c>
      <c r="G53" s="13">
        <v>5</v>
      </c>
      <c r="H53" s="805">
        <f t="shared" si="65"/>
        <v>0</v>
      </c>
      <c r="I53" s="32">
        <f t="shared" si="66"/>
        <v>0</v>
      </c>
      <c r="J53" s="33">
        <f t="shared" si="67"/>
        <v>0</v>
      </c>
      <c r="K53" s="821">
        <f t="shared" si="68"/>
        <v>1</v>
      </c>
    </row>
    <row r="54" spans="1:11" x14ac:dyDescent="0.25">
      <c r="A54" s="13">
        <v>6</v>
      </c>
      <c r="B54" s="2">
        <v>1</v>
      </c>
      <c r="C54" s="47">
        <v>3</v>
      </c>
      <c r="D54" s="4">
        <v>1</v>
      </c>
      <c r="E54" s="15">
        <v>7</v>
      </c>
      <c r="G54" s="13">
        <v>6</v>
      </c>
      <c r="H54" s="805">
        <f t="shared" si="65"/>
        <v>0</v>
      </c>
      <c r="I54" s="32">
        <f t="shared" si="66"/>
        <v>1</v>
      </c>
      <c r="J54" s="33">
        <f t="shared" si="67"/>
        <v>0</v>
      </c>
      <c r="K54" s="821">
        <f t="shared" si="68"/>
        <v>1</v>
      </c>
    </row>
    <row r="55" spans="1:11" x14ac:dyDescent="0.25">
      <c r="A55" s="13">
        <v>7</v>
      </c>
      <c r="B55" s="1">
        <v>1</v>
      </c>
      <c r="C55" s="46">
        <v>3</v>
      </c>
      <c r="D55" s="3">
        <v>1</v>
      </c>
      <c r="E55" s="14">
        <v>8</v>
      </c>
      <c r="G55" s="13">
        <v>7</v>
      </c>
      <c r="H55" s="805">
        <f t="shared" si="65"/>
        <v>0</v>
      </c>
      <c r="I55" s="32">
        <f t="shared" si="66"/>
        <v>0</v>
      </c>
      <c r="J55" s="33">
        <f t="shared" si="67"/>
        <v>0</v>
      </c>
      <c r="K55" s="821">
        <f t="shared" si="68"/>
        <v>1</v>
      </c>
    </row>
    <row r="56" spans="1:11" x14ac:dyDescent="0.25">
      <c r="A56" s="13">
        <v>8</v>
      </c>
      <c r="B56" s="2">
        <v>1</v>
      </c>
      <c r="C56" s="47">
        <v>4</v>
      </c>
      <c r="D56" s="4">
        <v>1</v>
      </c>
      <c r="E56" s="15">
        <v>9</v>
      </c>
      <c r="G56" s="13">
        <v>8</v>
      </c>
      <c r="H56" s="805">
        <f t="shared" si="65"/>
        <v>0</v>
      </c>
      <c r="I56" s="32">
        <f t="shared" si="66"/>
        <v>1</v>
      </c>
      <c r="J56" s="33">
        <f t="shared" si="67"/>
        <v>0</v>
      </c>
      <c r="K56" s="821">
        <f t="shared" si="68"/>
        <v>1</v>
      </c>
    </row>
    <row r="57" spans="1:11" x14ac:dyDescent="0.25">
      <c r="A57" s="13">
        <v>9</v>
      </c>
      <c r="B57" s="1">
        <v>1</v>
      </c>
      <c r="C57" s="46">
        <v>5</v>
      </c>
      <c r="D57" s="3">
        <v>1</v>
      </c>
      <c r="E57" s="14">
        <v>10</v>
      </c>
      <c r="G57" s="13">
        <v>9</v>
      </c>
      <c r="H57" s="805">
        <f t="shared" si="65"/>
        <v>0</v>
      </c>
      <c r="I57" s="32">
        <f t="shared" si="66"/>
        <v>1</v>
      </c>
      <c r="J57" s="33">
        <f t="shared" si="67"/>
        <v>0</v>
      </c>
      <c r="K57" s="821">
        <f t="shared" si="68"/>
        <v>1</v>
      </c>
    </row>
    <row r="58" spans="1:11" ht="12" thickBot="1" x14ac:dyDescent="0.3">
      <c r="A58" s="19">
        <v>10</v>
      </c>
      <c r="B58" s="22">
        <v>1</v>
      </c>
      <c r="C58" s="60">
        <v>6</v>
      </c>
      <c r="D58" s="21">
        <v>1</v>
      </c>
      <c r="E58" s="23">
        <v>10</v>
      </c>
      <c r="G58" s="19">
        <v>10</v>
      </c>
      <c r="H58" s="807">
        <f t="shared" si="65"/>
        <v>0</v>
      </c>
      <c r="I58" s="808">
        <f t="shared" si="66"/>
        <v>1</v>
      </c>
      <c r="J58" s="810">
        <f t="shared" si="67"/>
        <v>0</v>
      </c>
      <c r="K58" s="822">
        <f t="shared" si="68"/>
        <v>0</v>
      </c>
    </row>
  </sheetData>
  <sheetProtection selectLockedCells="1"/>
  <mergeCells count="10">
    <mergeCell ref="AK31:BE31"/>
    <mergeCell ref="BF31:BR31"/>
    <mergeCell ref="A1:M1"/>
    <mergeCell ref="A46:E46"/>
    <mergeCell ref="A31:U31"/>
    <mergeCell ref="O1:AA1"/>
    <mergeCell ref="V31:AH31"/>
    <mergeCell ref="G46:K46"/>
    <mergeCell ref="A16:M16"/>
    <mergeCell ref="O16:AA16"/>
  </mergeCells>
  <pageMargins left="0.7" right="0.7" top="0.75" bottom="0.75" header="0.3" footer="0.3"/>
  <pageSetup paperSize="9" orientation="portrait" r:id="rId1"/>
  <tableParts count="10">
    <tablePart r:id="rId2"/>
    <tablePart r:id="rId3"/>
    <tablePart r:id="rId4"/>
    <tablePart r:id="rId5"/>
    <tablePart r:id="rId6"/>
    <tablePart r:id="rId7"/>
    <tablePart r:id="rId8"/>
    <tablePart r:id="rId9"/>
    <tablePart r:id="rId10"/>
    <tablePart r:id="rId1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1"/>
  </sheetPr>
  <dimension ref="A1:BL89"/>
  <sheetViews>
    <sheetView showGridLines="0" zoomScaleNormal="100" workbookViewId="0">
      <pane xSplit="1" ySplit="2" topLeftCell="B3" activePane="bottomRight" state="frozen"/>
      <selection activeCell="A3" sqref="A3:H6"/>
      <selection pane="topRight" activeCell="A3" sqref="A3:H6"/>
      <selection pane="bottomLeft" activeCell="A3" sqref="A3:H6"/>
      <selection pane="bottomRight" activeCell="BJ2" sqref="BJ2"/>
    </sheetView>
  </sheetViews>
  <sheetFormatPr baseColWidth="10" defaultColWidth="11.42578125" defaultRowHeight="15" x14ac:dyDescent="0.25"/>
  <cols>
    <col min="1" max="1" width="5.140625" style="156" customWidth="1"/>
    <col min="2" max="13" width="3" style="156" customWidth="1"/>
    <col min="14" max="14" width="3.5703125" style="156" customWidth="1"/>
    <col min="15" max="29" width="3" style="156" customWidth="1"/>
    <col min="30" max="30" width="3.7109375" style="156" customWidth="1"/>
    <col min="31" max="31" width="3.5703125" style="156" bestFit="1" customWidth="1"/>
    <col min="32" max="32" width="0.7109375" style="156" hidden="1" customWidth="1"/>
    <col min="33" max="50" width="3" style="156" customWidth="1"/>
    <col min="51" max="55" width="3.28515625" style="156" customWidth="1"/>
    <col min="56" max="56" width="2.85546875" style="156" customWidth="1"/>
    <col min="57" max="57" width="1" style="156" hidden="1" customWidth="1"/>
    <col min="58" max="58" width="2.85546875" style="156" customWidth="1"/>
    <col min="59" max="59" width="3" style="156" customWidth="1"/>
    <col min="60" max="60" width="4.7109375" style="152" customWidth="1"/>
    <col min="61" max="61" width="12.7109375" style="153" customWidth="1"/>
    <col min="62" max="62" width="12.7109375" style="152" customWidth="1"/>
    <col min="64" max="16384" width="11.42578125" style="152"/>
  </cols>
  <sheetData>
    <row r="1" spans="1:64" ht="30" customHeight="1" thickBot="1" x14ac:dyDescent="0.3">
      <c r="A1" s="1267" t="s">
        <v>30</v>
      </c>
      <c r="B1" s="1269" t="s">
        <v>448</v>
      </c>
      <c r="C1" s="1270"/>
      <c r="D1" s="1270"/>
      <c r="E1" s="1270"/>
      <c r="F1" s="1270"/>
      <c r="G1" s="1271"/>
      <c r="H1" s="1274" t="s">
        <v>181</v>
      </c>
      <c r="I1" s="1275"/>
      <c r="J1" s="1275"/>
      <c r="K1" s="1275"/>
      <c r="L1" s="1275"/>
      <c r="M1" s="1276"/>
      <c r="N1" s="1269" t="s">
        <v>179</v>
      </c>
      <c r="O1" s="1270"/>
      <c r="P1" s="1270"/>
      <c r="Q1" s="1270"/>
      <c r="R1" s="1270"/>
      <c r="S1" s="1270"/>
      <c r="T1" s="1270"/>
      <c r="U1" s="1270"/>
      <c r="V1" s="1270"/>
      <c r="W1" s="1271"/>
      <c r="X1" s="1269" t="s">
        <v>585</v>
      </c>
      <c r="Y1" s="1270"/>
      <c r="Z1" s="1270"/>
      <c r="AA1" s="1270"/>
      <c r="AB1" s="1270"/>
      <c r="AC1" s="1271"/>
      <c r="AD1" s="1272" t="s">
        <v>180</v>
      </c>
      <c r="AE1" s="1273"/>
      <c r="AF1" s="841"/>
      <c r="AG1" s="1274" t="s">
        <v>226</v>
      </c>
      <c r="AH1" s="1275"/>
      <c r="AI1" s="1275"/>
      <c r="AJ1" s="1275"/>
      <c r="AK1" s="1275"/>
      <c r="AL1" s="1275"/>
      <c r="AM1" s="1275"/>
      <c r="AN1" s="1276"/>
      <c r="AO1" s="1269" t="s">
        <v>240</v>
      </c>
      <c r="AP1" s="1270"/>
      <c r="AQ1" s="1270"/>
      <c r="AR1" s="1270"/>
      <c r="AS1" s="1270"/>
      <c r="AT1" s="1270"/>
      <c r="AU1" s="1270"/>
      <c r="AV1" s="1270"/>
      <c r="AW1" s="1270"/>
      <c r="AX1" s="1271"/>
      <c r="AY1" s="1274" t="s">
        <v>227</v>
      </c>
      <c r="AZ1" s="1275"/>
      <c r="BA1" s="1275"/>
      <c r="BB1" s="1275"/>
      <c r="BC1" s="1275"/>
      <c r="BD1" s="1276"/>
      <c r="BE1" s="841"/>
      <c r="BF1" s="1274" t="s">
        <v>178</v>
      </c>
      <c r="BG1" s="1276"/>
      <c r="BI1" s="229" t="s">
        <v>291</v>
      </c>
      <c r="BJ1" s="229" t="s">
        <v>352</v>
      </c>
      <c r="BK1" s="229" t="s">
        <v>415</v>
      </c>
      <c r="BL1" s="400" t="s">
        <v>294</v>
      </c>
    </row>
    <row r="2" spans="1:64" ht="95.1" customHeight="1" thickTop="1" thickBot="1" x14ac:dyDescent="0.3">
      <c r="A2" s="1268"/>
      <c r="B2" s="838" t="s">
        <v>176</v>
      </c>
      <c r="C2" s="839" t="s">
        <v>210</v>
      </c>
      <c r="D2" s="839" t="s">
        <v>211</v>
      </c>
      <c r="E2" s="839" t="s">
        <v>212</v>
      </c>
      <c r="F2" s="839" t="s">
        <v>453</v>
      </c>
      <c r="G2" s="840" t="s">
        <v>452</v>
      </c>
      <c r="H2" s="838" t="s">
        <v>207</v>
      </c>
      <c r="I2" s="839" t="s">
        <v>343</v>
      </c>
      <c r="J2" s="839" t="s">
        <v>338</v>
      </c>
      <c r="K2" s="839" t="s">
        <v>208</v>
      </c>
      <c r="L2" s="839" t="s">
        <v>209</v>
      </c>
      <c r="M2" s="840" t="s">
        <v>707</v>
      </c>
      <c r="N2" s="838" t="s">
        <v>206</v>
      </c>
      <c r="O2" s="839" t="s">
        <v>205</v>
      </c>
      <c r="P2" s="839" t="s">
        <v>204</v>
      </c>
      <c r="Q2" s="839" t="s">
        <v>203</v>
      </c>
      <c r="R2" s="839" t="s">
        <v>202</v>
      </c>
      <c r="S2" s="839" t="s">
        <v>455</v>
      </c>
      <c r="T2" s="839" t="s">
        <v>647</v>
      </c>
      <c r="U2" s="839" t="s">
        <v>201</v>
      </c>
      <c r="V2" s="839" t="s">
        <v>200</v>
      </c>
      <c r="W2" s="840" t="s">
        <v>199</v>
      </c>
      <c r="X2" s="838" t="s">
        <v>564</v>
      </c>
      <c r="Y2" s="839" t="s">
        <v>562</v>
      </c>
      <c r="Z2" s="839" t="s">
        <v>561</v>
      </c>
      <c r="AA2" s="839" t="s">
        <v>563</v>
      </c>
      <c r="AB2" s="839" t="s">
        <v>565</v>
      </c>
      <c r="AC2" s="840" t="s">
        <v>567</v>
      </c>
      <c r="AD2" s="838" t="s">
        <v>198</v>
      </c>
      <c r="AE2" s="840" t="s">
        <v>197</v>
      </c>
      <c r="AF2" s="837" t="s">
        <v>623</v>
      </c>
      <c r="AG2" s="838" t="s">
        <v>190</v>
      </c>
      <c r="AH2" s="839" t="s">
        <v>191</v>
      </c>
      <c r="AI2" s="839" t="s">
        <v>192</v>
      </c>
      <c r="AJ2" s="839" t="s">
        <v>193</v>
      </c>
      <c r="AK2" s="839" t="s">
        <v>194</v>
      </c>
      <c r="AL2" s="839" t="s">
        <v>712</v>
      </c>
      <c r="AM2" s="839" t="s">
        <v>713</v>
      </c>
      <c r="AN2" s="840" t="s">
        <v>714</v>
      </c>
      <c r="AO2" s="838" t="s">
        <v>195</v>
      </c>
      <c r="AP2" s="839" t="s">
        <v>50</v>
      </c>
      <c r="AQ2" s="839" t="s">
        <v>189</v>
      </c>
      <c r="AR2" s="839" t="s">
        <v>188</v>
      </c>
      <c r="AS2" s="839" t="s">
        <v>187</v>
      </c>
      <c r="AT2" s="839" t="s">
        <v>186</v>
      </c>
      <c r="AU2" s="839" t="s">
        <v>185</v>
      </c>
      <c r="AV2" s="839" t="s">
        <v>184</v>
      </c>
      <c r="AW2" s="839" t="s">
        <v>57</v>
      </c>
      <c r="AX2" s="840" t="s">
        <v>58</v>
      </c>
      <c r="AY2" s="838" t="s">
        <v>183</v>
      </c>
      <c r="AZ2" s="839" t="s">
        <v>245</v>
      </c>
      <c r="BA2" s="839" t="s">
        <v>66</v>
      </c>
      <c r="BB2" s="839" t="s">
        <v>67</v>
      </c>
      <c r="BC2" s="839" t="s">
        <v>539</v>
      </c>
      <c r="BD2" s="840" t="s">
        <v>576</v>
      </c>
      <c r="BE2" s="837" t="s">
        <v>623</v>
      </c>
      <c r="BF2" s="838" t="s">
        <v>196</v>
      </c>
      <c r="BG2" s="840" t="s">
        <v>182</v>
      </c>
      <c r="BI2" s="408">
        <v>1</v>
      </c>
      <c r="BJ2" s="409">
        <v>1</v>
      </c>
      <c r="BK2" s="409" t="s">
        <v>658</v>
      </c>
      <c r="BL2" s="831">
        <v>2012</v>
      </c>
    </row>
    <row r="3" spans="1:64" ht="15" customHeight="1" thickTop="1" x14ac:dyDescent="0.25">
      <c r="A3" s="845" t="s">
        <v>38</v>
      </c>
      <c r="B3" s="847">
        <f>VLOOKUP($BI$2,AVAILABLE_Buildings_Resource[#All],MATCH(B$2,AVAILABLE_Buildings_Resource[#Headers],0))</f>
        <v>1</v>
      </c>
      <c r="C3" s="842">
        <f>VLOOKUP($BI$2,AVAILABLE_Buildings_Resource[#All],MATCH(C$2,AVAILABLE_Buildings_Resource[#Headers],0))</f>
        <v>1</v>
      </c>
      <c r="D3" s="842">
        <f>VLOOKUP($BI$2,AVAILABLE_Buildings_Resource[#All],MATCH(D$2,AVAILABLE_Buildings_Resource[#Headers],0))</f>
        <v>0</v>
      </c>
      <c r="E3" s="842">
        <f>VLOOKUP($BI$2,AVAILABLE_Buildings_Resource[#All],MATCH(E$2,AVAILABLE_Buildings_Resource[#Headers],0))</f>
        <v>1</v>
      </c>
      <c r="F3" s="842">
        <f>VLOOKUP($BI$2,AVAILABLE_Buildings_Resource[#All],MATCH(F$2,AVAILABLE_Buildings_Resource[#Headers],0))</f>
        <v>1</v>
      </c>
      <c r="G3" s="848">
        <f>VLOOKUP($BI$2,AVAILABLE_Buildings_Resource[#All],MATCH(G$2,AVAILABLE_Buildings_Resource[#Headers],0))</f>
        <v>0</v>
      </c>
      <c r="H3" s="847">
        <f>VLOOKUP($BI$2,AVAILABLE_Buildings_Army[#All],MATCH(H$2,AVAILABLE_Buildings_Army[#Headers],0))</f>
        <v>1</v>
      </c>
      <c r="I3" s="842">
        <f>VLOOKUP($BI$2,AVAILABLE_Buildings_Army[#All],MATCH(I$2,AVAILABLE_Buildings_Army[#Headers],0))</f>
        <v>0</v>
      </c>
      <c r="J3" s="842">
        <f>VLOOKUP($BI$2,AVAILABLE_Buildings_Army[#All],MATCH(J$2,AVAILABLE_Buildings_Army[#Headers],0))</f>
        <v>1</v>
      </c>
      <c r="K3" s="842">
        <f>VLOOKUP($BI$2,AVAILABLE_Buildings_Army[#All],MATCH(K$2,AVAILABLE_Buildings_Army[#Headers],0))</f>
        <v>0</v>
      </c>
      <c r="L3" s="842">
        <f>VLOOKUP($BI$2,AVAILABLE_Buildings_Army[#All],MATCH(L$2,AVAILABLE_Buildings_Army[#Headers],0))</f>
        <v>0</v>
      </c>
      <c r="M3" s="842">
        <f>VLOOKUP($BI$2,AVAILABLE_Buildings_Army[#All],MATCH(M$2,AVAILABLE_Buildings_Army[#Headers],0))</f>
        <v>0</v>
      </c>
      <c r="N3" s="847">
        <f>VLOOKUP($BI$2,AVAILABLE_Buildings_Defensive[#All],MATCH(N$2,AVAILABLE_Buildings_Defensive[#Headers],0))</f>
        <v>0</v>
      </c>
      <c r="O3" s="842">
        <f>VLOOKUP($BI$2,AVAILABLE_Buildings_Defensive[#All],MATCH(O$2,AVAILABLE_Buildings_Defensive[#Headers],0))</f>
        <v>2</v>
      </c>
      <c r="P3" s="842">
        <f>VLOOKUP($BI$2,AVAILABLE_Buildings_Defensive[#All],MATCH(P$2,AVAILABLE_Buildings_Defensive[#Headers],0))</f>
        <v>0</v>
      </c>
      <c r="Q3" s="842">
        <f>VLOOKUP($BI$2,AVAILABLE_Buildings_Defensive[#All],MATCH(Q$2,AVAILABLE_Buildings_Defensive[#Headers],0))</f>
        <v>0</v>
      </c>
      <c r="R3" s="842">
        <f>VLOOKUP($BI$2,AVAILABLE_Buildings_Defensive[#All],MATCH(R$2,AVAILABLE_Buildings_Defensive[#Headers],0))</f>
        <v>0</v>
      </c>
      <c r="S3" s="842">
        <f>VLOOKUP($BI$2,AVAILABLE_Buildings_Defensive[#All],MATCH(S$2,AVAILABLE_Buildings_Defensive[#Headers],0))</f>
        <v>0</v>
      </c>
      <c r="T3" s="842">
        <f>VLOOKUP($BI$2,AVAILABLE_Buildings_Defensive[#All],MATCH(T$2,AVAILABLE_Buildings_Defensive[#Headers],0))</f>
        <v>0</v>
      </c>
      <c r="U3" s="842">
        <f>VLOOKUP($BI$2,AVAILABLE_Buildings_Defensive[#All],MATCH(U$2,AVAILABLE_Buildings_Defensive[#Headers],0))</f>
        <v>0</v>
      </c>
      <c r="V3" s="842">
        <f>VLOOKUP($BI$2,AVAILABLE_Buildings_Defensive[#All],MATCH(V$2,AVAILABLE_Buildings_Defensive[#Headers],0))</f>
        <v>0</v>
      </c>
      <c r="W3" s="848">
        <f>VLOOKUP($BI$2,AVAILABLE_Buildings_Defensive[#All],MATCH(W$2,AVAILABLE_Buildings_Defensive[#Headers],0))</f>
        <v>0</v>
      </c>
      <c r="X3" s="847">
        <f>VLOOKUP($BI$2,AVAILABLE_Traps[#All],MATCH(X$2,AVAILABLE_Traps[#Headers],0))</f>
        <v>0</v>
      </c>
      <c r="Y3" s="842">
        <f>VLOOKUP($BI$2,AVAILABLE_Traps[#All],MATCH(Y$2,AVAILABLE_Traps[#Headers],0))</f>
        <v>0</v>
      </c>
      <c r="Z3" s="842">
        <f>VLOOKUP($BI$2,AVAILABLE_Traps[#All],MATCH(Z$2,AVAILABLE_Traps[#Headers],0))</f>
        <v>0</v>
      </c>
      <c r="AA3" s="842">
        <f>VLOOKUP($BI$2,AVAILABLE_Traps[#All],MATCH(AA$2,AVAILABLE_Traps[#Headers],0))</f>
        <v>0</v>
      </c>
      <c r="AB3" s="842">
        <f>VLOOKUP($BI$2,AVAILABLE_Traps[#All],MATCH(AB$2,AVAILABLE_Traps[#Headers],0))</f>
        <v>0</v>
      </c>
      <c r="AC3" s="848">
        <f>VLOOKUP($BI$2,AVAILABLE_Traps[#All],MATCH(AC$2,AVAILABLE_Traps[#Headers],0))</f>
        <v>0</v>
      </c>
      <c r="AD3" s="847">
        <f>VLOOKUP($BI$2,AVAILABLE_Buildings_Other[#All],MATCH(AD$2,AVAILABLE_Buildings_Other[#Headers],0))</f>
        <v>0</v>
      </c>
      <c r="AE3" s="848">
        <f>VLOOKUP($BI$2,AVAILABLE_Buildings_Other[#All],MATCH(AE$2,AVAILABLE_Buildings_Other[#Headers],0))</f>
        <v>1</v>
      </c>
      <c r="AF3" s="853"/>
      <c r="AG3" s="847">
        <f>IF(IF(ISERROR(LOOKUP(MATCH(4,Paramètres!$L$6:$L$45,1),Paramètres!$A$6:$A$45)),0,LOOKUP(MATCH(4,Paramètres!$L$6:$L$45,1),Paramètres!$A$6:$A$45))&gt;=1,1,0)</f>
        <v>0</v>
      </c>
      <c r="AH3" s="842">
        <f>IF(IF(ISERROR(LOOKUP(MATCH(4,Paramètres!$L$6:$L$45,1),Paramètres!$A$6:$A$45)),0,LOOKUP(MATCH(4,Paramètres!$L$6:$L$45,1),Paramètres!$A$6:$A$45))&gt;=2,1,0)</f>
        <v>0</v>
      </c>
      <c r="AI3" s="842">
        <f>IF(IF(ISERROR(LOOKUP(MATCH(4,Paramètres!$L$6:$L$45,1),Paramètres!$A$6:$A$45)),0,LOOKUP(MATCH(4,Paramètres!$L$6:$L$45,1),Paramètres!$A$6:$A$45))&gt;=3,1,0)</f>
        <v>0</v>
      </c>
      <c r="AJ3" s="842">
        <f>IF(IF(ISERROR(LOOKUP(MATCH(4,Paramètres!$L$6:$L$45,1),Paramètres!$A$6:$A$45)),0,LOOKUP(MATCH(4,Paramètres!$L$6:$L$45,1),Paramètres!$A$6:$A$45))&gt;=4,1,0)</f>
        <v>0</v>
      </c>
      <c r="AK3" s="842">
        <f>IF(IF(ISERROR(LOOKUP(MATCH(4,Paramètres!$L$6:$L$45,1),Paramètres!$A$6:$A$45)),0,LOOKUP(MATCH(4,Paramètres!$L$6:$L$45,1),Paramètres!$A$6:$A$45))&gt;=5,1,0)</f>
        <v>0</v>
      </c>
      <c r="AL3" s="842">
        <f>IF(IF(ISERROR(LOOKUP(MATCH(4,Paramètres!$M$6:$M$45,1),Paramètres!$A$6:$A$45)),0,LOOKUP(MATCH(4,Paramètres!$M$6:$M$45,1),Paramètres!$A$6:$A$45))&gt;=1,1,0)</f>
        <v>0</v>
      </c>
      <c r="AM3" s="842">
        <f>IF(IF(ISERROR(LOOKUP(MATCH(4,Paramètres!$M$6:$M$45,1),Paramètres!$A$6:$A$45)),0,LOOKUP(MATCH(4,Paramètres!$M$6:$M$45,1),Paramètres!$A$6:$A$45))&gt;=2,1,0)</f>
        <v>0</v>
      </c>
      <c r="AN3" s="848">
        <f>IF(IF(ISERROR(LOOKUP(MATCH(4,Paramètres!$M$6:$M$45,1),Paramètres!$A$6:$A$45)),0,LOOKUP(MATCH(4,Paramètres!$M$6:$M$45,1),Paramètres!$A$6:$A$45))&gt;=3,1,0)</f>
        <v>0</v>
      </c>
      <c r="AO3" s="847">
        <f>IF(IF(ISERROR(LOOKUP(MATCH(4,Paramètres!$H$6:$H$45,1),Paramètres!$A$6:$A$45)),0,LOOKUP(MATCH(4,Paramètres!$H$6:$H$45,1),Paramètres!$A$6:$A$45))&gt;=1,1,0)</f>
        <v>0</v>
      </c>
      <c r="AP3" s="842">
        <f>IF(IF(ISERROR(LOOKUP(MATCH(4,Paramètres!$H$6:$H$45,1),Paramètres!$A$6:$A$45)),0,LOOKUP(MATCH(4,Paramètres!$H$6:$H$45,1),Paramètres!$A$6:$A$45))&gt;=2,1,0)</f>
        <v>0</v>
      </c>
      <c r="AQ3" s="842">
        <f>IF(IF(ISERROR(LOOKUP(MATCH(4,Paramètres!$H$6:$H$45,1),Paramètres!$A$6:$A$45)),0,LOOKUP(MATCH(4,Paramètres!$H$6:$H$45,1),Paramètres!$A$6:$A$45))&gt;=3,1,0)</f>
        <v>0</v>
      </c>
      <c r="AR3" s="842">
        <f>IF(IF(ISERROR(LOOKUP(MATCH(4,Paramètres!$H$6:$H$45,1),Paramètres!$A$6:$A$45)),0,LOOKUP(MATCH(4,Paramètres!$H$6:$H$45,1),Paramètres!$A$6:$A$45))&gt;=4,1,0)</f>
        <v>0</v>
      </c>
      <c r="AS3" s="842">
        <f>IF(IF(ISERROR(LOOKUP(MATCH(4,Paramètres!$H$6:$H$45,1),Paramètres!$A$6:$A$45)),0,LOOKUP(MATCH(4,Paramètres!$H$6:$H$45,1),Paramètres!$A$6:$A$45))&gt;=5,1,0)</f>
        <v>0</v>
      </c>
      <c r="AT3" s="842">
        <f>IF(IF(ISERROR(LOOKUP(MATCH(4,Paramètres!$H$6:$H$45,1),Paramètres!$A$6:$A$45)),0,LOOKUP(MATCH(4,Paramètres!$H$6:$H$45,1),Paramètres!$A$6:$A$45))&gt;=6,1,0)</f>
        <v>0</v>
      </c>
      <c r="AU3" s="842">
        <f>IF(IF(ISERROR(LOOKUP(MATCH(4,Paramètres!$H$6:$H$45,1),Paramètres!$A$6:$A$45)),0,LOOKUP(MATCH(4,Paramètres!$H$6:$H$45,1),Paramètres!$A$6:$A$45))&gt;=7,1,0)</f>
        <v>0</v>
      </c>
      <c r="AV3" s="842">
        <f>IF(IF(ISERROR(LOOKUP(MATCH(4,Paramètres!$H$6:$H$45,1),Paramètres!$A$6:$A$45)),0,LOOKUP(MATCH(4,Paramètres!$H$6:$H$45,1),Paramètres!$A$6:$A$45))&gt;=8,1,0)</f>
        <v>0</v>
      </c>
      <c r="AW3" s="842">
        <f>IF(IF(ISERROR(LOOKUP(MATCH(4,Paramètres!$H$6:$H$45,1),Paramètres!$A$6:$A$45)),0,LOOKUP(MATCH(4,Paramètres!$H$6:$H$45,1),Paramètres!$A$6:$A$45))&gt;=9,1,0)</f>
        <v>0</v>
      </c>
      <c r="AX3" s="848">
        <f>IF(IF(ISERROR(LOOKUP(MATCH(4,Paramètres!$H$6:$H$45,1),Paramètres!$A$6:$A$45)),0,LOOKUP(MATCH(4,Paramètres!$H$6:$H$45,1),Paramètres!$A$6:$A$45))&gt;=10,1,0)</f>
        <v>0</v>
      </c>
      <c r="AY3" s="847">
        <f>IF(IF(ISERROR(LOOKUP(MATCH(4,Paramètres!$I$6:$I$45,1),Paramètres!$A$6:$A$45)),0,LOOKUP(MATCH(4,Paramètres!$I$6:$I$45,1),Paramètres!$A$6:$A$45))&gt;=1,1,0)</f>
        <v>0</v>
      </c>
      <c r="AZ3" s="842">
        <f>IF(IF(ISERROR(LOOKUP(MATCH(4,Paramètres!$I$6:$I$45,1),Paramètres!$A$6:$A$45)),0,LOOKUP(MATCH(4,Paramètres!$I$6:$I$45,1),Paramètres!$A$6:$A$45))&gt;=2,1,0)</f>
        <v>0</v>
      </c>
      <c r="BA3" s="842">
        <f>IF(IF(ISERROR(LOOKUP(MATCH(4,Paramètres!$I$6:$I$45,1),Paramètres!$A$6:$A$45)),0,LOOKUP(MATCH(4,Paramètres!$I$6:$I$45,1),Paramètres!$A$6:$A$45))&gt;=3,1,0)</f>
        <v>0</v>
      </c>
      <c r="BB3" s="842">
        <f>IF(IF(ISERROR(LOOKUP(MATCH(4,Paramètres!$I$6:$I$45,1),Paramètres!$A$6:$A$45)),0,LOOKUP(MATCH(4,Paramètres!$I$6:$I$45,1),Paramètres!$A$6:$A$45))&gt;=4,1,0)</f>
        <v>0</v>
      </c>
      <c r="BC3" s="842">
        <f>IF(IF(ISERROR(LOOKUP(MATCH(4,Paramètres!$I$6:$I$45,1),Paramètres!$A$6:$A$45)),0,LOOKUP(MATCH(4,Paramètres!$I$6:$I$45,1),Paramètres!$A$6:$A$45))&gt;=5,1,0)</f>
        <v>0</v>
      </c>
      <c r="BD3" s="848">
        <f>IF(IF(ISERROR(LOOKUP(MATCH(4,Paramètres!$I$6:$I$45,1),Paramètres!$A$6:$A$45)),0,LOOKUP(MATCH(4,Paramètres!$I$6:$I$45,1),Paramètres!$A$6:$A$45))&gt;=6,1,0)</f>
        <v>0</v>
      </c>
      <c r="BE3" s="853"/>
      <c r="BF3" s="847">
        <f>VLOOKUP($BI$2,AVAILABLE_Heroes[#All],MATCH(BF$2,AVAILABLE_Heroes[#Headers],0))</f>
        <v>0</v>
      </c>
      <c r="BG3" s="848">
        <f>VLOOKUP($BI$2,AVAILABLE_Heroes[#All],MATCH(BG$2,AVAILABLE_Heroes[#Headers],0))</f>
        <v>0</v>
      </c>
    </row>
    <row r="4" spans="1:64" ht="20.100000000000001" customHeight="1" x14ac:dyDescent="0.25">
      <c r="A4" s="845" t="s">
        <v>362</v>
      </c>
      <c r="B4" s="849">
        <f t="shared" ref="B4:AE4" si="0">B3-B46</f>
        <v>1</v>
      </c>
      <c r="C4" s="843">
        <f t="shared" si="0"/>
        <v>1</v>
      </c>
      <c r="D4" s="843">
        <f t="shared" si="0"/>
        <v>0</v>
      </c>
      <c r="E4" s="843">
        <f t="shared" si="0"/>
        <v>1</v>
      </c>
      <c r="F4" s="843">
        <f t="shared" si="0"/>
        <v>1</v>
      </c>
      <c r="G4" s="850">
        <f t="shared" si="0"/>
        <v>0</v>
      </c>
      <c r="H4" s="849">
        <f t="shared" si="0"/>
        <v>1</v>
      </c>
      <c r="I4" s="843">
        <f t="shared" si="0"/>
        <v>0</v>
      </c>
      <c r="J4" s="843">
        <f t="shared" si="0"/>
        <v>1</v>
      </c>
      <c r="K4" s="843">
        <f t="shared" si="0"/>
        <v>0</v>
      </c>
      <c r="L4" s="843">
        <f t="shared" si="0"/>
        <v>0</v>
      </c>
      <c r="M4" s="850">
        <f t="shared" si="0"/>
        <v>0</v>
      </c>
      <c r="N4" s="849">
        <f t="shared" si="0"/>
        <v>0</v>
      </c>
      <c r="O4" s="843">
        <f t="shared" si="0"/>
        <v>2</v>
      </c>
      <c r="P4" s="843">
        <f t="shared" si="0"/>
        <v>0</v>
      </c>
      <c r="Q4" s="843">
        <f>Q3-Q46</f>
        <v>0</v>
      </c>
      <c r="R4" s="843">
        <f>R3-R46</f>
        <v>0</v>
      </c>
      <c r="S4" s="843">
        <f t="shared" si="0"/>
        <v>0</v>
      </c>
      <c r="T4" s="843">
        <f t="shared" ref="T4" si="1">T3-T46</f>
        <v>0</v>
      </c>
      <c r="U4" s="843">
        <f t="shared" si="0"/>
        <v>0</v>
      </c>
      <c r="V4" s="843">
        <f t="shared" si="0"/>
        <v>0</v>
      </c>
      <c r="W4" s="850">
        <f t="shared" ref="W4:AC4" si="2">W3-W46</f>
        <v>0</v>
      </c>
      <c r="X4" s="849">
        <f t="shared" si="2"/>
        <v>0</v>
      </c>
      <c r="Y4" s="843">
        <f t="shared" si="2"/>
        <v>0</v>
      </c>
      <c r="Z4" s="843">
        <f t="shared" si="2"/>
        <v>0</v>
      </c>
      <c r="AA4" s="843">
        <f t="shared" si="2"/>
        <v>0</v>
      </c>
      <c r="AB4" s="843">
        <f t="shared" si="2"/>
        <v>0</v>
      </c>
      <c r="AC4" s="850">
        <f t="shared" si="2"/>
        <v>0</v>
      </c>
      <c r="AD4" s="849">
        <f t="shared" si="0"/>
        <v>0</v>
      </c>
      <c r="AE4" s="850">
        <f t="shared" si="0"/>
        <v>0</v>
      </c>
      <c r="AF4" s="853"/>
      <c r="AG4" s="849">
        <f t="shared" ref="AG4:BC4" si="3">AG3-AG46</f>
        <v>0</v>
      </c>
      <c r="AH4" s="843">
        <f t="shared" si="3"/>
        <v>0</v>
      </c>
      <c r="AI4" s="843">
        <f t="shared" si="3"/>
        <v>0</v>
      </c>
      <c r="AJ4" s="843">
        <f>AJ3-AJ46</f>
        <v>0</v>
      </c>
      <c r="AK4" s="843">
        <f t="shared" si="3"/>
        <v>0</v>
      </c>
      <c r="AL4" s="843">
        <f t="shared" si="3"/>
        <v>0</v>
      </c>
      <c r="AM4" s="843">
        <f t="shared" si="3"/>
        <v>0</v>
      </c>
      <c r="AN4" s="850">
        <f>AN3-AN46</f>
        <v>0</v>
      </c>
      <c r="AO4" s="849">
        <f t="shared" si="3"/>
        <v>0</v>
      </c>
      <c r="AP4" s="843">
        <f t="shared" si="3"/>
        <v>0</v>
      </c>
      <c r="AQ4" s="843">
        <f t="shared" si="3"/>
        <v>0</v>
      </c>
      <c r="AR4" s="843">
        <f t="shared" si="3"/>
        <v>0</v>
      </c>
      <c r="AS4" s="843">
        <f t="shared" si="3"/>
        <v>0</v>
      </c>
      <c r="AT4" s="843">
        <f t="shared" si="3"/>
        <v>0</v>
      </c>
      <c r="AU4" s="843">
        <f t="shared" si="3"/>
        <v>0</v>
      </c>
      <c r="AV4" s="843">
        <f t="shared" si="3"/>
        <v>0</v>
      </c>
      <c r="AW4" s="843">
        <f t="shared" si="3"/>
        <v>0</v>
      </c>
      <c r="AX4" s="850">
        <f>AX3-AX46</f>
        <v>0</v>
      </c>
      <c r="AY4" s="849">
        <f t="shared" si="3"/>
        <v>0</v>
      </c>
      <c r="AZ4" s="843">
        <f t="shared" si="3"/>
        <v>0</v>
      </c>
      <c r="BA4" s="843">
        <f>BA3-BA46</f>
        <v>0</v>
      </c>
      <c r="BB4" s="843">
        <f t="shared" si="3"/>
        <v>0</v>
      </c>
      <c r="BC4" s="843">
        <f t="shared" si="3"/>
        <v>0</v>
      </c>
      <c r="BD4" s="850">
        <f>BD3-BD46</f>
        <v>0</v>
      </c>
      <c r="BE4" s="853"/>
      <c r="BF4" s="849">
        <f>BF3-BF46</f>
        <v>0</v>
      </c>
      <c r="BG4" s="850">
        <f>BG3-BG46</f>
        <v>0</v>
      </c>
      <c r="BK4" s="153"/>
      <c r="BL4" s="153"/>
    </row>
    <row r="5" spans="1:64" ht="20.100000000000001" customHeight="1" thickBot="1" x14ac:dyDescent="0.3">
      <c r="A5" s="845" t="s">
        <v>39</v>
      </c>
      <c r="B5" s="851">
        <f>VLOOKUP($BI$2,AVAILABLE_Buildings_Resource[#All],MATCH(B$2,AVAILABLE_Buildings_Resource[#Headers],0)+1)</f>
        <v>2</v>
      </c>
      <c r="C5" s="844">
        <f>VLOOKUP($BI$2,AVAILABLE_Buildings_Resource[#All],MATCH(C$2,AVAILABLE_Buildings_Resource[#Headers],0)+1)</f>
        <v>2</v>
      </c>
      <c r="D5" s="844">
        <f>VLOOKUP($BI$2,AVAILABLE_Buildings_Resource[#All],MATCH(D$2,AVAILABLE_Buildings_Resource[#Headers],0)+1)</f>
        <v>0</v>
      </c>
      <c r="E5" s="844">
        <f>VLOOKUP($BI$2,AVAILABLE_Buildings_Resource[#All],MATCH(E$2,AVAILABLE_Buildings_Resource[#Headers],0)+1)</f>
        <v>1</v>
      </c>
      <c r="F5" s="844">
        <f>VLOOKUP($BI$2,AVAILABLE_Buildings_Resource[#All],MATCH(F$2,AVAILABLE_Buildings_Resource[#Headers],0)+1)</f>
        <v>1</v>
      </c>
      <c r="G5" s="852">
        <f>VLOOKUP($BI$2,AVAILABLE_Buildings_Resource[#All],MATCH(G$2,AVAILABLE_Buildings_Resource[#Headers],0)+1)</f>
        <v>0</v>
      </c>
      <c r="H5" s="851">
        <f>VLOOKUP($BI$2,AVAILABLE_Buildings_Army[#All],MATCH(H$2,AVAILABLE_Buildings_Army[#Headers],0)+1)</f>
        <v>3</v>
      </c>
      <c r="I5" s="844">
        <f>VLOOKUP($BI$2,AVAILABLE_Buildings_Army[#All],MATCH(I$2,AVAILABLE_Buildings_Army[#Headers],0)+1)</f>
        <v>0</v>
      </c>
      <c r="J5" s="844">
        <f>VLOOKUP($BI$2,AVAILABLE_Buildings_Army[#All],MATCH(J$2,AVAILABLE_Buildings_Army[#Headers],0)+1)</f>
        <v>1</v>
      </c>
      <c r="K5" s="844">
        <f>VLOOKUP($BI$2,AVAILABLE_Buildings_Army[#All],MATCH(K$2,AVAILABLE_Buildings_Army[#Headers],0)+1)</f>
        <v>0</v>
      </c>
      <c r="L5" s="844">
        <f>VLOOKUP($BI$2,AVAILABLE_Buildings_Army[#All],MATCH(L$2,AVAILABLE_Buildings_Army[#Headers],0)+1)</f>
        <v>0</v>
      </c>
      <c r="M5" s="844">
        <f>VLOOKUP($BI$2,AVAILABLE_Buildings_Army[#All],MATCH(M$2,AVAILABLE_Buildings_Army[#Headers],0)+1)</f>
        <v>0</v>
      </c>
      <c r="N5" s="851">
        <f>VLOOKUP($BI$2,AVAILABLE_Buildings_Defensive[#All],MATCH(N$2,AVAILABLE_Buildings_Defensive[#Headers],0)+1)</f>
        <v>0</v>
      </c>
      <c r="O5" s="844">
        <f>VLOOKUP($BI$2,AVAILABLE_Buildings_Defensive[#All],MATCH(O$2,AVAILABLE_Buildings_Defensive[#Headers],0)+1)</f>
        <v>2</v>
      </c>
      <c r="P5" s="844">
        <f>VLOOKUP($BI$2,AVAILABLE_Buildings_Defensive[#All],MATCH(P$2,AVAILABLE_Buildings_Defensive[#Headers],0)+1)</f>
        <v>0</v>
      </c>
      <c r="Q5" s="844">
        <f>VLOOKUP($BI$2,AVAILABLE_Buildings_Defensive[#All],MATCH(Q$2,AVAILABLE_Buildings_Defensive[#Headers],0)+1)</f>
        <v>0</v>
      </c>
      <c r="R5" s="844">
        <f>VLOOKUP($BI$2,AVAILABLE_Buildings_Defensive[#All],MATCH(R$2,AVAILABLE_Buildings_Defensive[#Headers],0)+1)</f>
        <v>0</v>
      </c>
      <c r="S5" s="844">
        <f>VLOOKUP($BI$2,AVAILABLE_Buildings_Defensive[#All],MATCH(S$2,AVAILABLE_Buildings_Defensive[#Headers],0)+1)</f>
        <v>0</v>
      </c>
      <c r="T5" s="844">
        <f>VLOOKUP($BI$2,AVAILABLE_Buildings_Defensive[#All],MATCH(T$2,AVAILABLE_Buildings_Defensive[#Headers],0)+1)</f>
        <v>0</v>
      </c>
      <c r="U5" s="844">
        <f>VLOOKUP($BI$2,AVAILABLE_Buildings_Defensive[#All],MATCH(U$2,AVAILABLE_Buildings_Defensive[#Headers],0)+1)</f>
        <v>0</v>
      </c>
      <c r="V5" s="844">
        <f>VLOOKUP($BI$2,AVAILABLE_Buildings_Defensive[#All],MATCH(V$2,AVAILABLE_Buildings_Defensive[#Headers],0)+1)</f>
        <v>0</v>
      </c>
      <c r="W5" s="852">
        <f>VLOOKUP($BI$2,AVAILABLE_Buildings_Defensive[#All],MATCH(W$2,AVAILABLE_Buildings_Defensive[#Headers],0)+1)</f>
        <v>0</v>
      </c>
      <c r="X5" s="851">
        <f>VLOOKUP($BI$2,AVAILABLE_Traps[#All],MATCH(X$2,AVAILABLE_Traps[#Headers],0)+1)</f>
        <v>0</v>
      </c>
      <c r="Y5" s="844">
        <f>VLOOKUP($BI$2,AVAILABLE_Traps[#All],MATCH(Y$2,AVAILABLE_Traps[#Headers],0)+1)</f>
        <v>0</v>
      </c>
      <c r="Z5" s="844">
        <f>VLOOKUP($BI$2,AVAILABLE_Traps[#All],MATCH(Z$2,AVAILABLE_Traps[#Headers],0)+1)</f>
        <v>0</v>
      </c>
      <c r="AA5" s="844">
        <f>VLOOKUP($BI$2,AVAILABLE_Traps[#All],MATCH(AA$2,AVAILABLE_Traps[#Headers],0)+1)</f>
        <v>0</v>
      </c>
      <c r="AB5" s="844">
        <f>VLOOKUP($BI$2,AVAILABLE_Traps[#All],MATCH(AB$2,AVAILABLE_Traps[#Headers],0)+1)</f>
        <v>0</v>
      </c>
      <c r="AC5" s="852">
        <f>VLOOKUP($BI$2,AVAILABLE_Traps[#All],MATCH(AC$2,AVAILABLE_Traps[#Headers],0)+1)</f>
        <v>0</v>
      </c>
      <c r="AD5" s="851">
        <f>VLOOKUP($BI$2,AVAILABLE_Buildings_Other[#All],MATCH(AD$2,AVAILABLE_Buildings_Other[#Headers],0)+1)</f>
        <v>0</v>
      </c>
      <c r="AE5" s="852">
        <f>VLOOKUP($BI$2,AVAILABLE_Buildings_Other[#All],MATCH(AE$2,AVAILABLE_Buildings_Other[#Headers],0)+1)</f>
        <v>2</v>
      </c>
      <c r="AF5" s="854"/>
      <c r="AG5" s="851">
        <f>VLOOKUP(IF(ISERROR(LOOKUP(MATCH(1,Paramètres!$K$6:$K$45,0),Paramètres!$A$6:$A$45)),0,LOOKUP(MATCH(1,Paramètres!$K$6:$K$45,0),Paramètres!$A$6:$A$45)),AVAILABLE_Upgrades_Spells[#All],MATCH(AG$2,AVAILABLE_Upgrades_Spells[#Headers],0)+1)</f>
        <v>0</v>
      </c>
      <c r="AH5" s="844">
        <f>VLOOKUP(IF(ISERROR(LOOKUP(MATCH(1,Paramètres!$K$6:$K$45,0),Paramètres!$A$6:$A$45)),0,LOOKUP(MATCH(1,Paramètres!$K$6:$K$45,0),Paramètres!$A$6:$A$45)),AVAILABLE_Upgrades_Spells[#All],MATCH(AH$2,AVAILABLE_Upgrades_Spells[#Headers],0)+1)</f>
        <v>0</v>
      </c>
      <c r="AI5" s="844">
        <f>VLOOKUP(IF(ISERROR(LOOKUP(MATCH(1,Paramètres!$K$6:$K$45,0),Paramètres!$A$6:$A$45)),0,LOOKUP(MATCH(1,Paramètres!$K$6:$K$45,0),Paramètres!$A$6:$A$45)),AVAILABLE_Upgrades_Spells[#All],MATCH(AI$2,AVAILABLE_Upgrades_Spells[#Headers],0)+1)</f>
        <v>0</v>
      </c>
      <c r="AJ5" s="844">
        <f>VLOOKUP(IF(ISERROR(LOOKUP(MATCH(1,Paramètres!$K$6:$K$45,0),Paramètres!$A$6:$A$45)),0,LOOKUP(MATCH(1,Paramètres!$K$6:$K$45,0),Paramètres!$A$6:$A$45)),AVAILABLE_Upgrades_Spells[#All],MATCH(AJ$2,AVAILABLE_Upgrades_Spells[#Headers],0)+1)</f>
        <v>0</v>
      </c>
      <c r="AK5" s="844">
        <f>VLOOKUP(IF(ISERROR(LOOKUP(MATCH(1,Paramètres!$K$6:$K$45,0),Paramètres!$A$6:$A$45)),0,LOOKUP(MATCH(1,Paramètres!$K$6:$K$45,0),Paramètres!$A$6:$A$45)),AVAILABLE_Upgrades_Spells[#All],MATCH(AK$2,AVAILABLE_Upgrades_Spells[#Headers],0)+1)</f>
        <v>0</v>
      </c>
      <c r="AL5" s="844">
        <f>VLOOKUP(IF(ISERROR(LOOKUP(MATCH(1,Paramètres!$K$6:$K$45,0),Paramètres!$A$6:$A$45)),0,LOOKUP(MATCH(1,Paramètres!$K$6:$K$45,0),Paramètres!$A$6:$A$45)),AVAILABLE_Upgrades_Dark_Spells[#All],MATCH(AL$2,AVAILABLE_Upgrades_Dark_Spells[#Headers],0)+1)</f>
        <v>0</v>
      </c>
      <c r="AM5" s="844">
        <f>VLOOKUP(IF(ISERROR(LOOKUP(MATCH(1,Paramètres!$K$6:$K$45,0),Paramètres!$A$6:$A$45)),0,LOOKUP(MATCH(1,Paramètres!$K$6:$K$45,0),Paramètres!$A$6:$A$45)),AVAILABLE_Upgrades_Dark_Spells[#All],MATCH(AM$2,AVAILABLE_Upgrades_Dark_Spells[#Headers],0)+1)</f>
        <v>0</v>
      </c>
      <c r="AN5" s="852">
        <f>VLOOKUP(IF(ISERROR(LOOKUP(MATCH(1,Paramètres!$K$6:$K$45,0),Paramètres!$A$6:$A$45)),0,LOOKUP(MATCH(1,Paramètres!$K$6:$K$45,0),Paramètres!$A$6:$A$45)),AVAILABLE_Upgrades_Dark_Spells[#All],MATCH(AN$2,AVAILABLE_Upgrades_Dark_Spells[#Headers],0)+1)</f>
        <v>0</v>
      </c>
      <c r="AO5" s="851">
        <f>VLOOKUP(IF(ISERROR(LOOKUP(MATCH(1,Paramètres!$K$6:$K$45,0),Paramètres!$A$6:$A$45)),0,LOOKUP(MATCH(1,Paramètres!$K$6:$K$45,0),Paramètres!$A$6:$A$45)),AVAILABLE_Upgrades_Normal_Troops[#All],MATCH(AO$2,AVAILABLE_Upgrades_Normal_Troops[#Headers],0)+1)</f>
        <v>0</v>
      </c>
      <c r="AP5" s="844">
        <f>VLOOKUP(IF(ISERROR(LOOKUP(MATCH(1,Paramètres!$K$6:$K$45,0),Paramètres!$A$6:$A$45)),0,LOOKUP(MATCH(1,Paramètres!$K$6:$K$45,0),Paramètres!$A$6:$A$45)),AVAILABLE_Upgrades_Normal_Troops[#All],MATCH(AP$2,AVAILABLE_Upgrades_Normal_Troops[#Headers],0)+1)</f>
        <v>0</v>
      </c>
      <c r="AQ5" s="844">
        <f>VLOOKUP(IF(ISERROR(LOOKUP(MATCH(1,Paramètres!$K$6:$K$45,0),Paramètres!$A$6:$A$45)),0,LOOKUP(MATCH(1,Paramètres!$K$6:$K$45,0),Paramètres!$A$6:$A$45)),AVAILABLE_Upgrades_Normal_Troops[#All],MATCH(AQ$2,AVAILABLE_Upgrades_Normal_Troops[#Headers],0)+1)</f>
        <v>0</v>
      </c>
      <c r="AR5" s="844">
        <f>VLOOKUP(IF(ISERROR(LOOKUP(MATCH(1,Paramètres!$K$6:$K$45,0),Paramètres!$A$6:$A$45)),0,LOOKUP(MATCH(1,Paramètres!$K$6:$K$45,0),Paramètres!$A$6:$A$45)),AVAILABLE_Upgrades_Normal_Troops[#All],MATCH(AR$2,AVAILABLE_Upgrades_Normal_Troops[#Headers],0)+1)</f>
        <v>0</v>
      </c>
      <c r="AS5" s="844">
        <f>VLOOKUP(IF(ISERROR(LOOKUP(MATCH(1,Paramètres!$K$6:$K$45,0),Paramètres!$A$6:$A$45)),0,LOOKUP(MATCH(1,Paramètres!$K$6:$K$45,0),Paramètres!$A$6:$A$45)),AVAILABLE_Upgrades_Normal_Troops[#All],MATCH(AS$2,AVAILABLE_Upgrades_Normal_Troops[#Headers],0)+1)</f>
        <v>0</v>
      </c>
      <c r="AT5" s="844">
        <f>VLOOKUP(IF(ISERROR(LOOKUP(MATCH(1,Paramètres!$K$6:$K$45,0),Paramètres!$A$6:$A$45)),0,LOOKUP(MATCH(1,Paramètres!$K$6:$K$45,0),Paramètres!$A$6:$A$45)),AVAILABLE_Upgrades_Normal_Troops[#All],MATCH(AT$2,AVAILABLE_Upgrades_Normal_Troops[#Headers],0)+1)</f>
        <v>0</v>
      </c>
      <c r="AU5" s="844">
        <f>VLOOKUP(IF(ISERROR(LOOKUP(MATCH(1,Paramètres!$K$6:$K$45,0),Paramètres!$A$6:$A$45)),0,LOOKUP(MATCH(1,Paramètres!$K$6:$K$45,0),Paramètres!$A$6:$A$45)),AVAILABLE_Upgrades_Normal_Troops[#All],MATCH(AU$2,AVAILABLE_Upgrades_Normal_Troops[#Headers],0)+1)</f>
        <v>0</v>
      </c>
      <c r="AV5" s="844">
        <f>VLOOKUP(IF(ISERROR(LOOKUP(MATCH(1,Paramètres!$K$6:$K$45,0),Paramètres!$A$6:$A$45)),0,LOOKUP(MATCH(1,Paramètres!$K$6:$K$45,0),Paramètres!$A$6:$A$45)),AVAILABLE_Upgrades_Normal_Troops[#All],MATCH(AV$2,AVAILABLE_Upgrades_Normal_Troops[#Headers],0)+1)</f>
        <v>0</v>
      </c>
      <c r="AW5" s="844">
        <f>VLOOKUP(IF(ISERROR(LOOKUP(MATCH(1,Paramètres!$K$6:$K$45,0),Paramètres!$A$6:$A$45)),0,LOOKUP(MATCH(1,Paramètres!$K$6:$K$45,0),Paramètres!$A$6:$A$45)),AVAILABLE_Upgrades_Normal_Troops[#All],MATCH(AW$2,AVAILABLE_Upgrades_Normal_Troops[#Headers],0)+1)</f>
        <v>0</v>
      </c>
      <c r="AX5" s="852">
        <f>VLOOKUP(IF(ISERROR(LOOKUP(MATCH(1,Paramètres!$K$6:$K$45,0),Paramètres!$A$6:$A$45)),0,LOOKUP(MATCH(1,Paramètres!$K$6:$K$45,0),Paramètres!$A$6:$A$45)),AVAILABLE_Upgrades_Normal_Troops[#All],MATCH(AX$2,AVAILABLE_Upgrades_Normal_Troops[#Headers],0)+1)</f>
        <v>0</v>
      </c>
      <c r="AY5" s="851">
        <f>VLOOKUP(IF(ISERROR(LOOKUP(MATCH(1,Paramètres!$K$6:$K$45,0),Paramètres!$A$6:$A$45)),0,LOOKUP(MATCH(1,Paramètres!$K$6:$K$45,0),Paramètres!$A$6:$A$45)),AVAILABLE_Upgrades_Dark_Troops[#All],MATCH(AY$2,AVAILABLE_Upgrades_Dark_Troops[#Headers],0)+1)</f>
        <v>0</v>
      </c>
      <c r="AZ5" s="844">
        <f>VLOOKUP(IF(ISERROR(LOOKUP(MATCH(1,Paramètres!$K$6:$K$45,0),Paramètres!$A$6:$A$45)),0,LOOKUP(MATCH(1,Paramètres!$K$6:$K$45,0),Paramètres!$A$6:$A$45)),AVAILABLE_Upgrades_Dark_Troops[#All],MATCH(AZ$2,AVAILABLE_Upgrades_Dark_Troops[#Headers],0)+1)</f>
        <v>0</v>
      </c>
      <c r="BA5" s="844">
        <f>VLOOKUP(IF(ISERROR(LOOKUP(MATCH(1,Paramètres!$K$6:$K$45,0),Paramètres!$A$6:$A$45)),0,LOOKUP(MATCH(1,Paramètres!$K$6:$K$45,0),Paramètres!$A$6:$A$45)),AVAILABLE_Upgrades_Dark_Troops[#All],MATCH(BA$2,AVAILABLE_Upgrades_Dark_Troops[#Headers],0)+1)</f>
        <v>0</v>
      </c>
      <c r="BB5" s="844">
        <f>VLOOKUP(IF(ISERROR(LOOKUP(MATCH(1,Paramètres!$K$6:$K$45,0),Paramètres!$A$6:$A$45)),0,LOOKUP(MATCH(1,Paramètres!$K$6:$K$45,0),Paramètres!$A$6:$A$45)),AVAILABLE_Upgrades_Dark_Troops[#All],MATCH(BB$2,AVAILABLE_Upgrades_Dark_Troops[#Headers],0)+1)</f>
        <v>0</v>
      </c>
      <c r="BC5" s="844">
        <f>VLOOKUP(IF(ISERROR(LOOKUP(MATCH(1,Paramètres!$K$6:$K$45,0),Paramètres!$A$6:$A$45)),0,LOOKUP(MATCH(1,Paramètres!$K$6:$K$45,0),Paramètres!$A$6:$A$45)),AVAILABLE_Upgrades_Dark_Troops[#All],MATCH(BC$2,AVAILABLE_Upgrades_Dark_Troops[#Headers],0)+1)</f>
        <v>0</v>
      </c>
      <c r="BD5" s="852">
        <f>VLOOKUP(IF(ISERROR(LOOKUP(MATCH(1,Paramètres!$K$6:$K$45,0),Paramètres!$A$6:$A$45)),0,LOOKUP(MATCH(1,Paramètres!$K$6:$K$45,0),Paramètres!$A$6:$A$45)),AVAILABLE_Upgrades_Dark_Troops[#All],MATCH(BD$2,AVAILABLE_Upgrades_Dark_Troops[#Headers],0)+1)</f>
        <v>0</v>
      </c>
      <c r="BE5" s="854"/>
      <c r="BF5" s="851">
        <f>VLOOKUP($BI$2,AVAILABLE_Heroes[#All],MATCH(BF$2,AVAILABLE_Heroes[#Headers],0)+1)</f>
        <v>0</v>
      </c>
      <c r="BG5" s="852">
        <f>VLOOKUP($BI$2,AVAILABLE_Heroes[#All],MATCH(BG$2,AVAILABLE_Heroes[#Headers],0)+1)</f>
        <v>0</v>
      </c>
      <c r="BK5" s="688"/>
    </row>
    <row r="6" spans="1:64" ht="12" customHeight="1" thickTop="1" x14ac:dyDescent="0.25">
      <c r="A6" s="857">
        <v>1</v>
      </c>
      <c r="B6" s="410"/>
      <c r="C6" s="416"/>
      <c r="D6" s="416"/>
      <c r="E6" s="416"/>
      <c r="F6" s="416"/>
      <c r="G6" s="411"/>
      <c r="H6" s="410"/>
      <c r="I6" s="416"/>
      <c r="J6" s="416"/>
      <c r="K6" s="416"/>
      <c r="L6" s="416"/>
      <c r="M6" s="411"/>
      <c r="N6" s="1004"/>
      <c r="O6" s="416"/>
      <c r="P6" s="416"/>
      <c r="Q6" s="416"/>
      <c r="R6" s="416"/>
      <c r="S6" s="416"/>
      <c r="T6" s="416"/>
      <c r="U6" s="416"/>
      <c r="V6" s="416"/>
      <c r="W6" s="411"/>
      <c r="X6" s="416"/>
      <c r="Y6" s="416"/>
      <c r="Z6" s="416"/>
      <c r="AA6" s="416"/>
      <c r="AB6" s="416"/>
      <c r="AC6" s="416"/>
      <c r="AD6" s="410"/>
      <c r="AE6" s="1007">
        <f>IF($BI$2=1,1,0)</f>
        <v>1</v>
      </c>
      <c r="AF6" s="863"/>
      <c r="AG6" s="410"/>
      <c r="AH6" s="416"/>
      <c r="AI6" s="416"/>
      <c r="AJ6" s="416"/>
      <c r="AK6" s="411"/>
      <c r="AL6" s="410"/>
      <c r="AM6" s="416"/>
      <c r="AN6" s="411"/>
      <c r="AO6" s="410"/>
      <c r="AP6" s="416"/>
      <c r="AQ6" s="416"/>
      <c r="AR6" s="416"/>
      <c r="AS6" s="416"/>
      <c r="AT6" s="416"/>
      <c r="AU6" s="416"/>
      <c r="AV6" s="416"/>
      <c r="AW6" s="416"/>
      <c r="AX6" s="411"/>
      <c r="AY6" s="410"/>
      <c r="AZ6" s="416"/>
      <c r="BA6" s="410"/>
      <c r="BB6" s="416"/>
      <c r="BC6" s="411"/>
      <c r="BD6" s="411"/>
      <c r="BE6" s="1002"/>
      <c r="BF6" s="410"/>
      <c r="BG6" s="411"/>
      <c r="BI6" s="1215" t="s">
        <v>298</v>
      </c>
      <c r="BJ6" s="1218" t="s">
        <v>661</v>
      </c>
    </row>
    <row r="7" spans="1:64" ht="11.1" customHeight="1" x14ac:dyDescent="0.25">
      <c r="A7" s="857">
        <v>2</v>
      </c>
      <c r="B7" s="412"/>
      <c r="C7" s="639"/>
      <c r="D7" s="639"/>
      <c r="E7" s="639"/>
      <c r="F7" s="639"/>
      <c r="G7" s="413"/>
      <c r="H7" s="412"/>
      <c r="I7" s="639"/>
      <c r="J7" s="639"/>
      <c r="K7" s="639"/>
      <c r="L7" s="639"/>
      <c r="M7" s="413"/>
      <c r="N7" s="1005"/>
      <c r="O7" s="639"/>
      <c r="P7" s="639"/>
      <c r="Q7" s="639"/>
      <c r="R7" s="639"/>
      <c r="S7" s="639"/>
      <c r="T7" s="639"/>
      <c r="U7" s="639"/>
      <c r="V7" s="639"/>
      <c r="W7" s="413"/>
      <c r="X7" s="639"/>
      <c r="Y7" s="639"/>
      <c r="Z7" s="639"/>
      <c r="AA7" s="639"/>
      <c r="AB7" s="639"/>
      <c r="AC7" s="639"/>
      <c r="AD7" s="412"/>
      <c r="AE7" s="1000">
        <f>IF($BI$2=2,1,0)</f>
        <v>0</v>
      </c>
      <c r="AF7" s="855"/>
      <c r="AG7" s="412"/>
      <c r="AH7" s="639"/>
      <c r="AI7" s="639"/>
      <c r="AJ7" s="639"/>
      <c r="AK7" s="413"/>
      <c r="AL7" s="412"/>
      <c r="AM7" s="639"/>
      <c r="AN7" s="413"/>
      <c r="AO7" s="412"/>
      <c r="AP7" s="639"/>
      <c r="AQ7" s="639"/>
      <c r="AR7" s="639"/>
      <c r="AS7" s="639"/>
      <c r="AT7" s="639"/>
      <c r="AU7" s="639"/>
      <c r="AV7" s="639"/>
      <c r="AW7" s="639"/>
      <c r="AX7" s="413"/>
      <c r="AY7" s="412"/>
      <c r="AZ7" s="639"/>
      <c r="BA7" s="412"/>
      <c r="BB7" s="639"/>
      <c r="BC7" s="413"/>
      <c r="BD7" s="413"/>
      <c r="BE7" s="1002"/>
      <c r="BF7" s="412"/>
      <c r="BG7" s="413"/>
      <c r="BI7" s="1287"/>
      <c r="BJ7" s="1288"/>
      <c r="BK7" s="688"/>
    </row>
    <row r="8" spans="1:64" ht="11.1" customHeight="1" thickBot="1" x14ac:dyDescent="0.3">
      <c r="A8" s="857">
        <v>3</v>
      </c>
      <c r="B8" s="412"/>
      <c r="C8" s="639"/>
      <c r="D8" s="639"/>
      <c r="E8" s="639"/>
      <c r="F8" s="639"/>
      <c r="G8" s="413"/>
      <c r="H8" s="412"/>
      <c r="I8" s="639"/>
      <c r="J8" s="639"/>
      <c r="K8" s="639"/>
      <c r="L8" s="639"/>
      <c r="M8" s="413"/>
      <c r="N8" s="1005"/>
      <c r="O8" s="639"/>
      <c r="P8" s="639"/>
      <c r="Q8" s="639"/>
      <c r="R8" s="639"/>
      <c r="S8" s="639"/>
      <c r="T8" s="639"/>
      <c r="U8" s="639"/>
      <c r="V8" s="639"/>
      <c r="W8" s="413"/>
      <c r="X8" s="639"/>
      <c r="Y8" s="639"/>
      <c r="Z8" s="639"/>
      <c r="AA8" s="639"/>
      <c r="AB8" s="639"/>
      <c r="AC8" s="639"/>
      <c r="AD8" s="412"/>
      <c r="AE8" s="1000">
        <f>IF($BI$2=3,1,0)</f>
        <v>0</v>
      </c>
      <c r="AF8" s="855"/>
      <c r="AG8" s="412"/>
      <c r="AH8" s="639"/>
      <c r="AI8" s="639"/>
      <c r="AJ8" s="639"/>
      <c r="AK8" s="413"/>
      <c r="AL8" s="412"/>
      <c r="AM8" s="639"/>
      <c r="AN8" s="413"/>
      <c r="AO8" s="412"/>
      <c r="AP8" s="639"/>
      <c r="AQ8" s="639"/>
      <c r="AR8" s="639"/>
      <c r="AS8" s="639"/>
      <c r="AT8" s="639"/>
      <c r="AU8" s="639"/>
      <c r="AV8" s="639"/>
      <c r="AW8" s="639"/>
      <c r="AX8" s="413"/>
      <c r="AY8" s="412"/>
      <c r="AZ8" s="639"/>
      <c r="BA8" s="412"/>
      <c r="BB8" s="639"/>
      <c r="BC8" s="413"/>
      <c r="BD8" s="413"/>
      <c r="BE8" s="1002"/>
      <c r="BF8" s="412"/>
      <c r="BG8" s="413"/>
      <c r="BI8" s="1216"/>
      <c r="BJ8" s="1220"/>
    </row>
    <row r="9" spans="1:64" ht="11.1" customHeight="1" thickBot="1" x14ac:dyDescent="0.3">
      <c r="A9" s="857">
        <v>4</v>
      </c>
      <c r="B9" s="412"/>
      <c r="C9" s="639"/>
      <c r="D9" s="639"/>
      <c r="E9" s="639"/>
      <c r="F9" s="639"/>
      <c r="G9" s="413"/>
      <c r="H9" s="412"/>
      <c r="I9" s="639"/>
      <c r="J9" s="639"/>
      <c r="K9" s="639"/>
      <c r="L9" s="639"/>
      <c r="M9" s="413"/>
      <c r="N9" s="1005"/>
      <c r="O9" s="639"/>
      <c r="P9" s="639"/>
      <c r="Q9" s="639"/>
      <c r="R9" s="639"/>
      <c r="S9" s="639"/>
      <c r="T9" s="639"/>
      <c r="U9" s="639"/>
      <c r="V9" s="639"/>
      <c r="W9" s="413"/>
      <c r="X9" s="639"/>
      <c r="Y9" s="639"/>
      <c r="Z9" s="639"/>
      <c r="AA9" s="639"/>
      <c r="AB9" s="639"/>
      <c r="AC9" s="639"/>
      <c r="AD9" s="412"/>
      <c r="AE9" s="1000">
        <f>IF($BI$2=4,1,0)</f>
        <v>0</v>
      </c>
      <c r="AF9" s="855"/>
      <c r="AG9" s="412"/>
      <c r="AH9" s="639"/>
      <c r="AI9" s="639"/>
      <c r="AJ9" s="639"/>
      <c r="AK9" s="413"/>
      <c r="AL9" s="412"/>
      <c r="AM9" s="639"/>
      <c r="AN9" s="413"/>
      <c r="AO9" s="412"/>
      <c r="AP9" s="639"/>
      <c r="AQ9" s="639"/>
      <c r="AR9" s="639"/>
      <c r="AS9" s="639"/>
      <c r="AT9" s="639"/>
      <c r="AU9" s="639"/>
      <c r="AV9" s="639"/>
      <c r="AW9" s="639"/>
      <c r="AX9" s="413"/>
      <c r="AY9" s="412"/>
      <c r="AZ9" s="639"/>
      <c r="BA9" s="412"/>
      <c r="BB9" s="639"/>
      <c r="BC9" s="413"/>
      <c r="BD9" s="413"/>
      <c r="BE9" s="1002"/>
      <c r="BF9" s="412"/>
      <c r="BG9" s="413"/>
      <c r="BI9" s="154"/>
      <c r="BJ9" s="155"/>
    </row>
    <row r="10" spans="1:64" ht="11.1" customHeight="1" x14ac:dyDescent="0.25">
      <c r="A10" s="857">
        <v>5</v>
      </c>
      <c r="B10" s="412"/>
      <c r="C10" s="639"/>
      <c r="D10" s="639"/>
      <c r="E10" s="639"/>
      <c r="F10" s="639"/>
      <c r="G10" s="413"/>
      <c r="H10" s="412"/>
      <c r="I10" s="639"/>
      <c r="J10" s="639"/>
      <c r="K10" s="639"/>
      <c r="L10" s="639"/>
      <c r="M10" s="413"/>
      <c r="N10" s="1005"/>
      <c r="O10" s="639"/>
      <c r="P10" s="639"/>
      <c r="Q10" s="639"/>
      <c r="R10" s="639"/>
      <c r="S10" s="639"/>
      <c r="T10" s="639"/>
      <c r="U10" s="639"/>
      <c r="V10" s="639"/>
      <c r="W10" s="413"/>
      <c r="X10" s="639"/>
      <c r="Y10" s="639"/>
      <c r="Z10" s="639"/>
      <c r="AA10" s="639"/>
      <c r="AB10" s="639"/>
      <c r="AC10" s="639"/>
      <c r="AD10" s="412"/>
      <c r="AE10" s="1000">
        <f>IF($BI$2=5,1,0)</f>
        <v>0</v>
      </c>
      <c r="AF10" s="855"/>
      <c r="AG10" s="412"/>
      <c r="AH10" s="639"/>
      <c r="AI10" s="639"/>
      <c r="AJ10" s="639"/>
      <c r="AK10" s="413"/>
      <c r="AL10" s="412"/>
      <c r="AM10" s="639"/>
      <c r="AN10" s="413"/>
      <c r="AO10" s="412"/>
      <c r="AP10" s="639"/>
      <c r="AQ10" s="639"/>
      <c r="AR10" s="639"/>
      <c r="AS10" s="639"/>
      <c r="AT10" s="639"/>
      <c r="AU10" s="639"/>
      <c r="AV10" s="639"/>
      <c r="AW10" s="639"/>
      <c r="AX10" s="413"/>
      <c r="AY10" s="412"/>
      <c r="AZ10" s="639"/>
      <c r="BA10" s="412"/>
      <c r="BB10" s="639"/>
      <c r="BC10" s="413"/>
      <c r="BD10" s="413"/>
      <c r="BE10" s="1002"/>
      <c r="BF10" s="412"/>
      <c r="BG10" s="413"/>
      <c r="BI10" s="1289" t="s">
        <v>456</v>
      </c>
      <c r="BJ10" s="1292" t="s">
        <v>457</v>
      </c>
    </row>
    <row r="11" spans="1:64" ht="11.1" customHeight="1" x14ac:dyDescent="0.25">
      <c r="A11" s="857">
        <v>6</v>
      </c>
      <c r="B11" s="412"/>
      <c r="C11" s="639"/>
      <c r="D11" s="639"/>
      <c r="E11" s="639"/>
      <c r="F11" s="639"/>
      <c r="G11" s="413"/>
      <c r="H11" s="412"/>
      <c r="I11" s="639"/>
      <c r="J11" s="639"/>
      <c r="K11" s="639"/>
      <c r="L11" s="639"/>
      <c r="M11" s="413"/>
      <c r="N11" s="1005"/>
      <c r="O11" s="639"/>
      <c r="P11" s="639"/>
      <c r="Q11" s="639"/>
      <c r="R11" s="639"/>
      <c r="S11" s="639"/>
      <c r="T11" s="639"/>
      <c r="U11" s="639"/>
      <c r="V11" s="639"/>
      <c r="W11" s="413"/>
      <c r="X11" s="639"/>
      <c r="Y11" s="639"/>
      <c r="Z11" s="639"/>
      <c r="AA11" s="639"/>
      <c r="AB11" s="639"/>
      <c r="AC11" s="639"/>
      <c r="AD11" s="412"/>
      <c r="AE11" s="1000">
        <f>IF($BI$2=6,1,0)</f>
        <v>0</v>
      </c>
      <c r="AF11" s="855"/>
      <c r="AG11" s="412"/>
      <c r="AH11" s="639"/>
      <c r="AI11" s="639"/>
      <c r="AJ11" s="639"/>
      <c r="AK11" s="413"/>
      <c r="AL11" s="412"/>
      <c r="AM11" s="639"/>
      <c r="AN11" s="413"/>
      <c r="AO11" s="412"/>
      <c r="AP11" s="639"/>
      <c r="AQ11" s="639"/>
      <c r="AR11" s="639"/>
      <c r="AS11" s="639"/>
      <c r="AT11" s="639"/>
      <c r="AU11" s="639"/>
      <c r="AV11" s="639"/>
      <c r="AW11" s="639"/>
      <c r="AX11" s="413"/>
      <c r="AY11" s="412"/>
      <c r="AZ11" s="639"/>
      <c r="BA11" s="412"/>
      <c r="BB11" s="639"/>
      <c r="BC11" s="413"/>
      <c r="BD11" s="413"/>
      <c r="BE11" s="1002"/>
      <c r="BF11" s="412"/>
      <c r="BG11" s="413"/>
      <c r="BI11" s="1290"/>
      <c r="BJ11" s="1293"/>
    </row>
    <row r="12" spans="1:64" ht="11.1" customHeight="1" thickBot="1" x14ac:dyDescent="0.3">
      <c r="A12" s="857">
        <v>7</v>
      </c>
      <c r="B12" s="412"/>
      <c r="C12" s="639"/>
      <c r="D12" s="639"/>
      <c r="E12" s="639"/>
      <c r="F12" s="639"/>
      <c r="G12" s="413"/>
      <c r="H12" s="412"/>
      <c r="I12" s="639"/>
      <c r="J12" s="639"/>
      <c r="K12" s="639"/>
      <c r="L12" s="639"/>
      <c r="M12" s="413"/>
      <c r="N12" s="1005"/>
      <c r="O12" s="639"/>
      <c r="P12" s="639"/>
      <c r="Q12" s="639"/>
      <c r="R12" s="639"/>
      <c r="S12" s="639"/>
      <c r="T12" s="639"/>
      <c r="U12" s="639"/>
      <c r="V12" s="639"/>
      <c r="W12" s="413"/>
      <c r="X12" s="639"/>
      <c r="Y12" s="639"/>
      <c r="Z12" s="639"/>
      <c r="AA12" s="639"/>
      <c r="AB12" s="639"/>
      <c r="AC12" s="639"/>
      <c r="AD12" s="412"/>
      <c r="AE12" s="1000">
        <f>IF($BI$2=7,1,0)</f>
        <v>0</v>
      </c>
      <c r="AF12" s="855"/>
      <c r="AG12" s="412"/>
      <c r="AH12" s="639"/>
      <c r="AI12" s="639"/>
      <c r="AJ12" s="639"/>
      <c r="AK12" s="413"/>
      <c r="AL12" s="412"/>
      <c r="AM12" s="639"/>
      <c r="AN12" s="413"/>
      <c r="AO12" s="412"/>
      <c r="AP12" s="639"/>
      <c r="AQ12" s="639"/>
      <c r="AR12" s="639"/>
      <c r="AS12" s="639"/>
      <c r="AT12" s="639"/>
      <c r="AU12" s="639"/>
      <c r="AV12" s="639"/>
      <c r="AW12" s="639"/>
      <c r="AX12" s="413"/>
      <c r="AY12" s="412"/>
      <c r="AZ12" s="639"/>
      <c r="BA12" s="412"/>
      <c r="BB12" s="639"/>
      <c r="BC12" s="413"/>
      <c r="BD12" s="413"/>
      <c r="BE12" s="1002"/>
      <c r="BF12" s="412"/>
      <c r="BG12" s="413"/>
      <c r="BI12" s="1291"/>
      <c r="BJ12" s="1294"/>
    </row>
    <row r="13" spans="1:64" ht="11.1" customHeight="1" thickBot="1" x14ac:dyDescent="0.3">
      <c r="A13" s="857">
        <v>8</v>
      </c>
      <c r="B13" s="412"/>
      <c r="C13" s="639"/>
      <c r="D13" s="639"/>
      <c r="E13" s="639"/>
      <c r="F13" s="639"/>
      <c r="G13" s="413"/>
      <c r="H13" s="412"/>
      <c r="I13" s="639"/>
      <c r="J13" s="639"/>
      <c r="K13" s="639"/>
      <c r="L13" s="639"/>
      <c r="M13" s="413"/>
      <c r="N13" s="1005"/>
      <c r="O13" s="639"/>
      <c r="P13" s="639"/>
      <c r="Q13" s="639"/>
      <c r="R13" s="639"/>
      <c r="S13" s="639"/>
      <c r="T13" s="639"/>
      <c r="U13" s="639"/>
      <c r="V13" s="639"/>
      <c r="W13" s="413"/>
      <c r="X13" s="639"/>
      <c r="Y13" s="639"/>
      <c r="Z13" s="639"/>
      <c r="AA13" s="639"/>
      <c r="AB13" s="639"/>
      <c r="AC13" s="639"/>
      <c r="AD13" s="412"/>
      <c r="AE13" s="1000">
        <f>IF($BI$2=8,1,0)</f>
        <v>0</v>
      </c>
      <c r="AF13" s="855"/>
      <c r="AG13" s="412"/>
      <c r="AH13" s="639"/>
      <c r="AI13" s="639"/>
      <c r="AJ13" s="639"/>
      <c r="AK13" s="413"/>
      <c r="AL13" s="412"/>
      <c r="AM13" s="639"/>
      <c r="AN13" s="413"/>
      <c r="AO13" s="412"/>
      <c r="AP13" s="639"/>
      <c r="AQ13" s="639"/>
      <c r="AR13" s="639"/>
      <c r="AS13" s="639"/>
      <c r="AT13" s="639"/>
      <c r="AU13" s="639"/>
      <c r="AV13" s="639"/>
      <c r="AW13" s="639"/>
      <c r="AX13" s="413"/>
      <c r="AY13" s="412"/>
      <c r="AZ13" s="639"/>
      <c r="BA13" s="412"/>
      <c r="BB13" s="639"/>
      <c r="BC13" s="413"/>
      <c r="BD13" s="413"/>
      <c r="BE13" s="1002"/>
      <c r="BF13" s="412"/>
      <c r="BG13" s="413"/>
    </row>
    <row r="14" spans="1:64" ht="11.1" customHeight="1" x14ac:dyDescent="0.25">
      <c r="A14" s="857">
        <v>9</v>
      </c>
      <c r="B14" s="412"/>
      <c r="C14" s="639"/>
      <c r="D14" s="639"/>
      <c r="E14" s="639"/>
      <c r="F14" s="639"/>
      <c r="G14" s="413"/>
      <c r="H14" s="412"/>
      <c r="I14" s="639"/>
      <c r="J14" s="639"/>
      <c r="K14" s="639"/>
      <c r="L14" s="639"/>
      <c r="M14" s="413"/>
      <c r="N14" s="1005"/>
      <c r="O14" s="639"/>
      <c r="P14" s="639"/>
      <c r="Q14" s="639"/>
      <c r="R14" s="639"/>
      <c r="S14" s="639"/>
      <c r="T14" s="639"/>
      <c r="U14" s="639"/>
      <c r="V14" s="639"/>
      <c r="W14" s="413"/>
      <c r="X14" s="639"/>
      <c r="Y14" s="639"/>
      <c r="Z14" s="639"/>
      <c r="AA14" s="639"/>
      <c r="AB14" s="639"/>
      <c r="AC14" s="639"/>
      <c r="AD14" s="412"/>
      <c r="AE14" s="1000">
        <f>IF($BI$2=9,1,0)</f>
        <v>0</v>
      </c>
      <c r="AF14" s="855"/>
      <c r="AG14" s="412"/>
      <c r="AH14" s="639"/>
      <c r="AI14" s="639"/>
      <c r="AJ14" s="639"/>
      <c r="AK14" s="413"/>
      <c r="AL14" s="412"/>
      <c r="AM14" s="639"/>
      <c r="AN14" s="413"/>
      <c r="AO14" s="412"/>
      <c r="AP14" s="639"/>
      <c r="AQ14" s="639"/>
      <c r="AR14" s="639"/>
      <c r="AS14" s="639"/>
      <c r="AT14" s="639"/>
      <c r="AU14" s="639"/>
      <c r="AV14" s="639"/>
      <c r="AW14" s="639"/>
      <c r="AX14" s="413"/>
      <c r="AY14" s="412"/>
      <c r="AZ14" s="639"/>
      <c r="BA14" s="412"/>
      <c r="BB14" s="639"/>
      <c r="BC14" s="413"/>
      <c r="BD14" s="413"/>
      <c r="BE14" s="1002"/>
      <c r="BF14" s="412"/>
      <c r="BG14" s="413"/>
      <c r="BI14" s="1221" t="s">
        <v>333</v>
      </c>
      <c r="BJ14" s="1224" t="s">
        <v>351</v>
      </c>
    </row>
    <row r="15" spans="1:64" ht="11.1" customHeight="1" x14ac:dyDescent="0.25">
      <c r="A15" s="857">
        <v>10</v>
      </c>
      <c r="B15" s="412"/>
      <c r="C15" s="639"/>
      <c r="D15" s="639"/>
      <c r="E15" s="639"/>
      <c r="F15" s="639"/>
      <c r="G15" s="413"/>
      <c r="H15" s="412"/>
      <c r="I15" s="639"/>
      <c r="J15" s="639"/>
      <c r="K15" s="639"/>
      <c r="L15" s="639"/>
      <c r="M15" s="413"/>
      <c r="N15" s="1005"/>
      <c r="O15" s="639"/>
      <c r="P15" s="639"/>
      <c r="Q15" s="639"/>
      <c r="R15" s="639"/>
      <c r="S15" s="639"/>
      <c r="T15" s="639"/>
      <c r="U15" s="639"/>
      <c r="V15" s="639"/>
      <c r="W15" s="413"/>
      <c r="X15" s="639"/>
      <c r="Y15" s="639"/>
      <c r="Z15" s="639"/>
      <c r="AA15" s="639"/>
      <c r="AB15" s="639"/>
      <c r="AC15" s="639"/>
      <c r="AD15" s="412"/>
      <c r="AE15" s="1000">
        <f>IF($BI$2=10,1,0)</f>
        <v>0</v>
      </c>
      <c r="AF15" s="855"/>
      <c r="AG15" s="412"/>
      <c r="AH15" s="639"/>
      <c r="AI15" s="639"/>
      <c r="AJ15" s="639"/>
      <c r="AK15" s="413"/>
      <c r="AL15" s="412"/>
      <c r="AM15" s="639"/>
      <c r="AN15" s="413"/>
      <c r="AO15" s="412"/>
      <c r="AP15" s="639"/>
      <c r="AQ15" s="639"/>
      <c r="AR15" s="639"/>
      <c r="AS15" s="639"/>
      <c r="AT15" s="639"/>
      <c r="AU15" s="639"/>
      <c r="AV15" s="639"/>
      <c r="AW15" s="639"/>
      <c r="AX15" s="413"/>
      <c r="AY15" s="412"/>
      <c r="AZ15" s="639"/>
      <c r="BA15" s="412"/>
      <c r="BB15" s="639"/>
      <c r="BC15" s="413"/>
      <c r="BD15" s="413"/>
      <c r="BE15" s="1002"/>
      <c r="BF15" s="412"/>
      <c r="BG15" s="413"/>
      <c r="BI15" s="1285"/>
      <c r="BJ15" s="1286"/>
    </row>
    <row r="16" spans="1:64" ht="11.1" customHeight="1" thickBot="1" x14ac:dyDescent="0.3">
      <c r="A16" s="857">
        <v>11</v>
      </c>
      <c r="B16" s="412"/>
      <c r="C16" s="639"/>
      <c r="D16" s="639"/>
      <c r="E16" s="639"/>
      <c r="F16" s="639"/>
      <c r="G16" s="413"/>
      <c r="H16" s="412"/>
      <c r="I16" s="639"/>
      <c r="J16" s="639"/>
      <c r="K16" s="639"/>
      <c r="L16" s="639"/>
      <c r="M16" s="413"/>
      <c r="N16" s="1005"/>
      <c r="O16" s="639"/>
      <c r="P16" s="639"/>
      <c r="Q16" s="639"/>
      <c r="R16" s="639"/>
      <c r="S16" s="639"/>
      <c r="T16" s="639"/>
      <c r="U16" s="639"/>
      <c r="V16" s="639"/>
      <c r="W16" s="413"/>
      <c r="X16" s="639"/>
      <c r="Y16" s="639"/>
      <c r="Z16" s="639"/>
      <c r="AA16" s="639"/>
      <c r="AB16" s="639"/>
      <c r="AC16" s="639"/>
      <c r="AD16" s="412"/>
      <c r="AE16" s="413"/>
      <c r="AF16" s="855"/>
      <c r="AG16" s="412"/>
      <c r="AH16" s="639"/>
      <c r="AI16" s="639"/>
      <c r="AJ16" s="639"/>
      <c r="AK16" s="413"/>
      <c r="AL16" s="412"/>
      <c r="AM16" s="639"/>
      <c r="AN16" s="413"/>
      <c r="AO16" s="412"/>
      <c r="AP16" s="639"/>
      <c r="AQ16" s="639"/>
      <c r="AR16" s="639"/>
      <c r="AS16" s="639"/>
      <c r="AT16" s="639"/>
      <c r="AU16" s="639"/>
      <c r="AV16" s="639"/>
      <c r="AW16" s="639"/>
      <c r="AX16" s="413"/>
      <c r="AY16" s="412"/>
      <c r="AZ16" s="639"/>
      <c r="BA16" s="412"/>
      <c r="BB16" s="639"/>
      <c r="BC16" s="413"/>
      <c r="BD16" s="413"/>
      <c r="BE16" s="1003"/>
      <c r="BF16" s="412"/>
      <c r="BG16" s="413"/>
      <c r="BI16" s="1222"/>
      <c r="BJ16" s="1226"/>
    </row>
    <row r="17" spans="1:62" ht="11.1" customHeight="1" thickBot="1" x14ac:dyDescent="0.3">
      <c r="A17" s="857">
        <v>12</v>
      </c>
      <c r="B17" s="412"/>
      <c r="C17" s="639"/>
      <c r="D17" s="639"/>
      <c r="E17" s="639"/>
      <c r="F17" s="639"/>
      <c r="G17" s="413"/>
      <c r="H17" s="412"/>
      <c r="I17" s="639"/>
      <c r="J17" s="639"/>
      <c r="K17" s="639"/>
      <c r="L17" s="639"/>
      <c r="M17" s="413"/>
      <c r="N17" s="1005"/>
      <c r="O17" s="639"/>
      <c r="P17" s="639"/>
      <c r="Q17" s="639"/>
      <c r="R17" s="639"/>
      <c r="S17" s="639"/>
      <c r="T17" s="639"/>
      <c r="U17" s="639"/>
      <c r="V17" s="639"/>
      <c r="W17" s="413"/>
      <c r="X17" s="639"/>
      <c r="Y17" s="639"/>
      <c r="Z17" s="639"/>
      <c r="AA17" s="639"/>
      <c r="AB17" s="639"/>
      <c r="AC17" s="639"/>
      <c r="AD17" s="412"/>
      <c r="AE17" s="413"/>
      <c r="AF17" s="855"/>
      <c r="AG17" s="412"/>
      <c r="AH17" s="639"/>
      <c r="AI17" s="639"/>
      <c r="AJ17" s="639"/>
      <c r="AK17" s="413"/>
      <c r="AL17" s="412"/>
      <c r="AM17" s="639"/>
      <c r="AN17" s="413"/>
      <c r="AO17" s="412"/>
      <c r="AP17" s="639"/>
      <c r="AQ17" s="639"/>
      <c r="AR17" s="639"/>
      <c r="AS17" s="639"/>
      <c r="AT17" s="639"/>
      <c r="AU17" s="639"/>
      <c r="AV17" s="639"/>
      <c r="AW17" s="639"/>
      <c r="AX17" s="413"/>
      <c r="AY17" s="412"/>
      <c r="AZ17" s="639"/>
      <c r="BA17" s="412"/>
      <c r="BB17" s="639"/>
      <c r="BC17" s="413"/>
      <c r="BD17" s="413"/>
      <c r="BE17" s="1003"/>
      <c r="BF17" s="412"/>
      <c r="BG17" s="413"/>
    </row>
    <row r="18" spans="1:62" ht="11.1" customHeight="1" x14ac:dyDescent="0.25">
      <c r="A18" s="857">
        <v>13</v>
      </c>
      <c r="B18" s="412"/>
      <c r="C18" s="639"/>
      <c r="D18" s="639"/>
      <c r="E18" s="639"/>
      <c r="F18" s="639"/>
      <c r="G18" s="413"/>
      <c r="H18" s="412"/>
      <c r="I18" s="639"/>
      <c r="J18" s="639"/>
      <c r="K18" s="639"/>
      <c r="L18" s="639"/>
      <c r="M18" s="413"/>
      <c r="N18" s="1005"/>
      <c r="O18" s="639"/>
      <c r="P18" s="639"/>
      <c r="Q18" s="639"/>
      <c r="R18" s="639"/>
      <c r="S18" s="639"/>
      <c r="T18" s="639"/>
      <c r="U18" s="639"/>
      <c r="V18" s="413"/>
      <c r="W18" s="639"/>
      <c r="X18" s="639"/>
      <c r="Y18" s="639"/>
      <c r="Z18" s="639"/>
      <c r="AA18" s="639"/>
      <c r="AB18" s="639"/>
      <c r="AC18" s="412"/>
      <c r="AD18" s="412"/>
      <c r="AE18" s="413"/>
      <c r="AF18" s="855"/>
      <c r="AG18" s="412"/>
      <c r="AH18" s="639"/>
      <c r="AI18" s="639"/>
      <c r="AJ18" s="639"/>
      <c r="AK18" s="413"/>
      <c r="AL18" s="412"/>
      <c r="AM18" s="639"/>
      <c r="AN18" s="413"/>
      <c r="AO18" s="412"/>
      <c r="AP18" s="639"/>
      <c r="AQ18" s="639"/>
      <c r="AR18" s="639"/>
      <c r="AS18" s="639"/>
      <c r="AT18" s="639"/>
      <c r="AU18" s="639"/>
      <c r="AV18" s="639"/>
      <c r="AW18" s="639"/>
      <c r="AX18" s="413"/>
      <c r="AY18" s="412"/>
      <c r="AZ18" s="639"/>
      <c r="BA18" s="412"/>
      <c r="BB18" s="639"/>
      <c r="BC18" s="413"/>
      <c r="BD18" s="413"/>
      <c r="BE18" s="1003"/>
      <c r="BF18" s="412"/>
      <c r="BG18" s="413"/>
      <c r="BI18" s="1281" t="s">
        <v>413</v>
      </c>
      <c r="BJ18" s="1282"/>
    </row>
    <row r="19" spans="1:62" ht="11.1" customHeight="1" x14ac:dyDescent="0.25">
      <c r="A19" s="857">
        <v>14</v>
      </c>
      <c r="B19" s="412"/>
      <c r="C19" s="639"/>
      <c r="D19" s="639"/>
      <c r="E19" s="639"/>
      <c r="F19" s="639"/>
      <c r="G19" s="413"/>
      <c r="H19" s="412"/>
      <c r="I19" s="639"/>
      <c r="J19" s="639"/>
      <c r="K19" s="639"/>
      <c r="L19" s="639"/>
      <c r="M19" s="413"/>
      <c r="N19" s="1005"/>
      <c r="O19" s="639"/>
      <c r="P19" s="639"/>
      <c r="Q19" s="639"/>
      <c r="R19" s="639"/>
      <c r="S19" s="639"/>
      <c r="T19" s="639"/>
      <c r="U19" s="639"/>
      <c r="V19" s="413"/>
      <c r="W19" s="412"/>
      <c r="X19" s="639"/>
      <c r="Y19" s="639"/>
      <c r="Z19" s="639"/>
      <c r="AA19" s="639"/>
      <c r="AB19" s="413"/>
      <c r="AC19" s="412"/>
      <c r="AD19" s="412"/>
      <c r="AE19" s="1000"/>
      <c r="AF19" s="856"/>
      <c r="AG19" s="412"/>
      <c r="AH19" s="639"/>
      <c r="AI19" s="639"/>
      <c r="AJ19" s="639"/>
      <c r="AK19" s="413"/>
      <c r="AL19" s="412"/>
      <c r="AM19" s="639"/>
      <c r="AN19" s="413"/>
      <c r="AO19" s="412"/>
      <c r="AP19" s="639"/>
      <c r="AQ19" s="639"/>
      <c r="AR19" s="639"/>
      <c r="AS19" s="639"/>
      <c r="AT19" s="639"/>
      <c r="AU19" s="639"/>
      <c r="AV19" s="639"/>
      <c r="AW19" s="639"/>
      <c r="AX19" s="413"/>
      <c r="AY19" s="412"/>
      <c r="AZ19" s="639"/>
      <c r="BA19" s="639"/>
      <c r="BB19" s="639"/>
      <c r="BC19" s="639"/>
      <c r="BD19" s="413"/>
      <c r="BE19" s="578"/>
      <c r="BF19" s="412"/>
      <c r="BG19" s="413"/>
      <c r="BI19" s="1283"/>
      <c r="BJ19" s="1284"/>
    </row>
    <row r="20" spans="1:62" ht="11.1" customHeight="1" x14ac:dyDescent="0.25">
      <c r="A20" s="857">
        <v>15</v>
      </c>
      <c r="B20" s="412"/>
      <c r="C20" s="639"/>
      <c r="D20" s="639"/>
      <c r="E20" s="639"/>
      <c r="F20" s="639"/>
      <c r="G20" s="413"/>
      <c r="H20" s="412"/>
      <c r="I20" s="639"/>
      <c r="J20" s="639"/>
      <c r="K20" s="639"/>
      <c r="L20" s="639"/>
      <c r="M20" s="413"/>
      <c r="N20" s="1005"/>
      <c r="O20" s="639"/>
      <c r="P20" s="639"/>
      <c r="Q20" s="639"/>
      <c r="R20" s="639"/>
      <c r="S20" s="639"/>
      <c r="T20" s="639"/>
      <c r="U20" s="639"/>
      <c r="V20" s="413"/>
      <c r="W20" s="412"/>
      <c r="X20" s="639"/>
      <c r="Y20" s="639"/>
      <c r="Z20" s="639"/>
      <c r="AA20" s="639"/>
      <c r="AB20" s="413"/>
      <c r="AC20" s="412"/>
      <c r="AD20" s="412"/>
      <c r="AE20" s="1000"/>
      <c r="AF20" s="856"/>
      <c r="AG20" s="412"/>
      <c r="AH20" s="639"/>
      <c r="AI20" s="639"/>
      <c r="AJ20" s="639"/>
      <c r="AK20" s="413"/>
      <c r="AL20" s="412"/>
      <c r="AM20" s="639"/>
      <c r="AN20" s="413"/>
      <c r="AO20" s="412"/>
      <c r="AP20" s="639"/>
      <c r="AQ20" s="639"/>
      <c r="AR20" s="639"/>
      <c r="AS20" s="639"/>
      <c r="AT20" s="639"/>
      <c r="AU20" s="639"/>
      <c r="AV20" s="639"/>
      <c r="AW20" s="639"/>
      <c r="AX20" s="413"/>
      <c r="AY20" s="412"/>
      <c r="AZ20" s="639"/>
      <c r="BA20" s="639"/>
      <c r="BB20" s="639"/>
      <c r="BC20" s="639"/>
      <c r="BD20" s="413"/>
      <c r="BE20" s="578"/>
      <c r="BF20" s="412"/>
      <c r="BG20" s="413"/>
      <c r="BI20" s="1283"/>
      <c r="BJ20" s="1284"/>
    </row>
    <row r="21" spans="1:62" ht="11.1" customHeight="1" x14ac:dyDescent="0.25">
      <c r="A21" s="857">
        <v>16</v>
      </c>
      <c r="B21" s="412"/>
      <c r="C21" s="639"/>
      <c r="D21" s="639"/>
      <c r="E21" s="639"/>
      <c r="F21" s="639"/>
      <c r="G21" s="413"/>
      <c r="H21" s="412"/>
      <c r="I21" s="639"/>
      <c r="J21" s="639"/>
      <c r="K21" s="639"/>
      <c r="L21" s="639"/>
      <c r="M21" s="413"/>
      <c r="N21" s="1005"/>
      <c r="O21" s="639"/>
      <c r="P21" s="639"/>
      <c r="Q21" s="639"/>
      <c r="R21" s="639"/>
      <c r="S21" s="639"/>
      <c r="T21" s="639"/>
      <c r="U21" s="639"/>
      <c r="V21" s="413"/>
      <c r="W21" s="412"/>
      <c r="X21" s="639"/>
      <c r="Y21" s="639"/>
      <c r="Z21" s="639"/>
      <c r="AA21" s="639"/>
      <c r="AB21" s="413"/>
      <c r="AC21" s="412"/>
      <c r="AD21" s="412"/>
      <c r="AE21" s="1000"/>
      <c r="AF21" s="856"/>
      <c r="AG21" s="412"/>
      <c r="AH21" s="639"/>
      <c r="AI21" s="639"/>
      <c r="AJ21" s="639"/>
      <c r="AK21" s="413"/>
      <c r="AL21" s="412"/>
      <c r="AM21" s="639"/>
      <c r="AN21" s="413"/>
      <c r="AO21" s="412"/>
      <c r="AP21" s="639"/>
      <c r="AQ21" s="639"/>
      <c r="AR21" s="639"/>
      <c r="AS21" s="639"/>
      <c r="AT21" s="639"/>
      <c r="AU21" s="639"/>
      <c r="AV21" s="639"/>
      <c r="AW21" s="639"/>
      <c r="AX21" s="413"/>
      <c r="AY21" s="412"/>
      <c r="AZ21" s="639"/>
      <c r="BA21" s="639"/>
      <c r="BB21" s="639"/>
      <c r="BC21" s="639"/>
      <c r="BD21" s="413"/>
      <c r="BE21" s="578"/>
      <c r="BF21" s="412"/>
      <c r="BG21" s="413"/>
      <c r="BI21" s="1283"/>
      <c r="BJ21" s="1284"/>
    </row>
    <row r="22" spans="1:62" ht="11.1" customHeight="1" x14ac:dyDescent="0.25">
      <c r="A22" s="857">
        <v>17</v>
      </c>
      <c r="B22" s="412"/>
      <c r="C22" s="639"/>
      <c r="D22" s="639"/>
      <c r="E22" s="639"/>
      <c r="F22" s="639"/>
      <c r="G22" s="413"/>
      <c r="H22" s="412"/>
      <c r="I22" s="639"/>
      <c r="J22" s="639"/>
      <c r="K22" s="639"/>
      <c r="L22" s="639"/>
      <c r="M22" s="413"/>
      <c r="N22" s="1005"/>
      <c r="O22" s="639"/>
      <c r="P22" s="639"/>
      <c r="Q22" s="639"/>
      <c r="R22" s="639"/>
      <c r="S22" s="639"/>
      <c r="T22" s="639"/>
      <c r="U22" s="639"/>
      <c r="V22" s="413"/>
      <c r="W22" s="412"/>
      <c r="X22" s="639"/>
      <c r="Y22" s="639"/>
      <c r="Z22" s="639"/>
      <c r="AA22" s="639"/>
      <c r="AB22" s="413"/>
      <c r="AC22" s="412"/>
      <c r="AD22" s="412"/>
      <c r="AE22" s="1000"/>
      <c r="AF22" s="856"/>
      <c r="AG22" s="412"/>
      <c r="AH22" s="639"/>
      <c r="AI22" s="639"/>
      <c r="AJ22" s="639"/>
      <c r="AK22" s="413"/>
      <c r="AL22" s="412"/>
      <c r="AM22" s="639"/>
      <c r="AN22" s="413"/>
      <c r="AO22" s="412"/>
      <c r="AP22" s="639"/>
      <c r="AQ22" s="639"/>
      <c r="AR22" s="639"/>
      <c r="AS22" s="639"/>
      <c r="AT22" s="639"/>
      <c r="AU22" s="639"/>
      <c r="AV22" s="639"/>
      <c r="AW22" s="639"/>
      <c r="AX22" s="413"/>
      <c r="AY22" s="412"/>
      <c r="AZ22" s="639"/>
      <c r="BA22" s="639"/>
      <c r="BB22" s="639"/>
      <c r="BC22" s="639"/>
      <c r="BD22" s="413"/>
      <c r="BE22" s="578"/>
      <c r="BF22" s="412"/>
      <c r="BG22" s="413"/>
      <c r="BI22" s="1283"/>
      <c r="BJ22" s="1284"/>
    </row>
    <row r="23" spans="1:62" ht="11.1" customHeight="1" x14ac:dyDescent="0.25">
      <c r="A23" s="857">
        <v>18</v>
      </c>
      <c r="B23" s="412"/>
      <c r="C23" s="639"/>
      <c r="D23" s="639"/>
      <c r="E23" s="639"/>
      <c r="F23" s="639"/>
      <c r="G23" s="413"/>
      <c r="H23" s="412"/>
      <c r="I23" s="639"/>
      <c r="J23" s="639"/>
      <c r="K23" s="639"/>
      <c r="L23" s="639"/>
      <c r="M23" s="413"/>
      <c r="N23" s="1005"/>
      <c r="O23" s="639"/>
      <c r="P23" s="639"/>
      <c r="Q23" s="639"/>
      <c r="R23" s="639"/>
      <c r="S23" s="639"/>
      <c r="T23" s="639"/>
      <c r="U23" s="639"/>
      <c r="V23" s="413"/>
      <c r="W23" s="412"/>
      <c r="X23" s="639"/>
      <c r="Y23" s="639"/>
      <c r="Z23" s="639"/>
      <c r="AA23" s="639"/>
      <c r="AB23" s="413"/>
      <c r="AC23" s="412"/>
      <c r="AD23" s="412"/>
      <c r="AE23" s="1000"/>
      <c r="AF23" s="856"/>
      <c r="AG23" s="412"/>
      <c r="AH23" s="639"/>
      <c r="AI23" s="639"/>
      <c r="AJ23" s="639"/>
      <c r="AK23" s="413"/>
      <c r="AL23" s="412"/>
      <c r="AM23" s="639"/>
      <c r="AN23" s="413"/>
      <c r="AO23" s="412"/>
      <c r="AP23" s="639"/>
      <c r="AQ23" s="639"/>
      <c r="AR23" s="639"/>
      <c r="AS23" s="639"/>
      <c r="AT23" s="639"/>
      <c r="AU23" s="639"/>
      <c r="AV23" s="639"/>
      <c r="AW23" s="639"/>
      <c r="AX23" s="413"/>
      <c r="AY23" s="412"/>
      <c r="AZ23" s="639"/>
      <c r="BA23" s="639"/>
      <c r="BB23" s="639"/>
      <c r="BC23" s="639"/>
      <c r="BD23" s="413"/>
      <c r="BE23" s="578"/>
      <c r="BF23" s="412"/>
      <c r="BG23" s="413"/>
      <c r="BI23" s="1283"/>
      <c r="BJ23" s="1284"/>
    </row>
    <row r="24" spans="1:62" ht="11.1" customHeight="1" x14ac:dyDescent="0.25">
      <c r="A24" s="857">
        <v>19</v>
      </c>
      <c r="B24" s="412"/>
      <c r="C24" s="639"/>
      <c r="D24" s="639"/>
      <c r="E24" s="639"/>
      <c r="F24" s="639"/>
      <c r="G24" s="413"/>
      <c r="H24" s="412"/>
      <c r="I24" s="639"/>
      <c r="J24" s="639"/>
      <c r="K24" s="639"/>
      <c r="L24" s="639"/>
      <c r="M24" s="413"/>
      <c r="N24" s="1005"/>
      <c r="O24" s="639"/>
      <c r="P24" s="639"/>
      <c r="Q24" s="639"/>
      <c r="R24" s="639"/>
      <c r="S24" s="639"/>
      <c r="T24" s="639"/>
      <c r="U24" s="639"/>
      <c r="V24" s="413"/>
      <c r="W24" s="412"/>
      <c r="X24" s="639"/>
      <c r="Y24" s="639"/>
      <c r="Z24" s="639"/>
      <c r="AA24" s="639"/>
      <c r="AB24" s="413"/>
      <c r="AC24" s="412"/>
      <c r="AD24" s="412"/>
      <c r="AE24" s="1000"/>
      <c r="AF24" s="856"/>
      <c r="AG24" s="412"/>
      <c r="AH24" s="639"/>
      <c r="AI24" s="639"/>
      <c r="AJ24" s="639"/>
      <c r="AK24" s="413"/>
      <c r="AL24" s="412"/>
      <c r="AM24" s="639"/>
      <c r="AN24" s="413"/>
      <c r="AO24" s="412"/>
      <c r="AP24" s="639"/>
      <c r="AQ24" s="639"/>
      <c r="AR24" s="639"/>
      <c r="AS24" s="639"/>
      <c r="AT24" s="639"/>
      <c r="AU24" s="639"/>
      <c r="AV24" s="639"/>
      <c r="AW24" s="639"/>
      <c r="AX24" s="413"/>
      <c r="AY24" s="412"/>
      <c r="AZ24" s="639"/>
      <c r="BA24" s="639"/>
      <c r="BB24" s="639"/>
      <c r="BC24" s="639"/>
      <c r="BD24" s="413"/>
      <c r="BE24" s="578"/>
      <c r="BF24" s="412"/>
      <c r="BG24" s="413"/>
      <c r="BI24" s="1283"/>
      <c r="BJ24" s="1284"/>
    </row>
    <row r="25" spans="1:62" ht="11.1" customHeight="1" x14ac:dyDescent="0.25">
      <c r="A25" s="857">
        <v>20</v>
      </c>
      <c r="B25" s="412"/>
      <c r="C25" s="639"/>
      <c r="D25" s="639"/>
      <c r="E25" s="639"/>
      <c r="F25" s="639"/>
      <c r="G25" s="413"/>
      <c r="H25" s="412"/>
      <c r="I25" s="639"/>
      <c r="J25" s="639"/>
      <c r="K25" s="639"/>
      <c r="L25" s="639"/>
      <c r="M25" s="413"/>
      <c r="N25" s="1005"/>
      <c r="O25" s="639"/>
      <c r="P25" s="639"/>
      <c r="Q25" s="639"/>
      <c r="R25" s="639"/>
      <c r="S25" s="639"/>
      <c r="T25" s="639"/>
      <c r="U25" s="639"/>
      <c r="V25" s="413"/>
      <c r="W25" s="412"/>
      <c r="X25" s="639"/>
      <c r="Y25" s="639"/>
      <c r="Z25" s="639"/>
      <c r="AA25" s="639"/>
      <c r="AB25" s="413"/>
      <c r="AC25" s="412"/>
      <c r="AD25" s="412"/>
      <c r="AE25" s="1000"/>
      <c r="AF25" s="856"/>
      <c r="AG25" s="412"/>
      <c r="AH25" s="639"/>
      <c r="AI25" s="639"/>
      <c r="AJ25" s="639"/>
      <c r="AK25" s="413"/>
      <c r="AL25" s="412"/>
      <c r="AM25" s="639"/>
      <c r="AN25" s="413"/>
      <c r="AO25" s="412"/>
      <c r="AP25" s="639"/>
      <c r="AQ25" s="639"/>
      <c r="AR25" s="639"/>
      <c r="AS25" s="639"/>
      <c r="AT25" s="639"/>
      <c r="AU25" s="639"/>
      <c r="AV25" s="639"/>
      <c r="AW25" s="639"/>
      <c r="AX25" s="413"/>
      <c r="AY25" s="412"/>
      <c r="AZ25" s="639"/>
      <c r="BA25" s="639"/>
      <c r="BB25" s="639"/>
      <c r="BC25" s="639"/>
      <c r="BD25" s="413"/>
      <c r="BE25" s="578"/>
      <c r="BF25" s="412"/>
      <c r="BG25" s="413"/>
      <c r="BI25" s="1283"/>
      <c r="BJ25" s="1284"/>
    </row>
    <row r="26" spans="1:62" ht="11.1" customHeight="1" x14ac:dyDescent="0.25">
      <c r="A26" s="857">
        <v>21</v>
      </c>
      <c r="B26" s="412"/>
      <c r="C26" s="639"/>
      <c r="D26" s="639"/>
      <c r="E26" s="639"/>
      <c r="F26" s="639"/>
      <c r="G26" s="413"/>
      <c r="H26" s="412"/>
      <c r="I26" s="639"/>
      <c r="J26" s="639"/>
      <c r="K26" s="639"/>
      <c r="L26" s="639"/>
      <c r="M26" s="413"/>
      <c r="N26" s="1005"/>
      <c r="O26" s="639"/>
      <c r="P26" s="639"/>
      <c r="Q26" s="639"/>
      <c r="R26" s="639"/>
      <c r="S26" s="639"/>
      <c r="T26" s="639"/>
      <c r="U26" s="639"/>
      <c r="V26" s="413"/>
      <c r="W26" s="412"/>
      <c r="X26" s="639"/>
      <c r="Y26" s="639"/>
      <c r="Z26" s="639"/>
      <c r="AA26" s="639"/>
      <c r="AB26" s="413"/>
      <c r="AC26" s="412"/>
      <c r="AD26" s="412"/>
      <c r="AE26" s="1000"/>
      <c r="AF26" s="856"/>
      <c r="AG26" s="412"/>
      <c r="AH26" s="639"/>
      <c r="AI26" s="639"/>
      <c r="AJ26" s="639"/>
      <c r="AK26" s="413"/>
      <c r="AL26" s="412"/>
      <c r="AM26" s="639"/>
      <c r="AN26" s="413"/>
      <c r="AO26" s="412"/>
      <c r="AP26" s="639"/>
      <c r="AQ26" s="639"/>
      <c r="AR26" s="639"/>
      <c r="AS26" s="639"/>
      <c r="AT26" s="639"/>
      <c r="AU26" s="639"/>
      <c r="AV26" s="639"/>
      <c r="AW26" s="639"/>
      <c r="AX26" s="413"/>
      <c r="AY26" s="412"/>
      <c r="AZ26" s="639"/>
      <c r="BA26" s="639"/>
      <c r="BB26" s="639"/>
      <c r="BC26" s="639"/>
      <c r="BD26" s="413"/>
      <c r="BE26" s="578"/>
      <c r="BF26" s="412"/>
      <c r="BG26" s="413"/>
      <c r="BI26" s="1277" t="s">
        <v>354</v>
      </c>
      <c r="BJ26" s="1278"/>
    </row>
    <row r="27" spans="1:62" ht="11.1" customHeight="1" x14ac:dyDescent="0.25">
      <c r="A27" s="857">
        <v>22</v>
      </c>
      <c r="B27" s="412"/>
      <c r="C27" s="639"/>
      <c r="D27" s="639"/>
      <c r="E27" s="639"/>
      <c r="F27" s="639"/>
      <c r="G27" s="413"/>
      <c r="H27" s="412"/>
      <c r="I27" s="639"/>
      <c r="J27" s="639"/>
      <c r="K27" s="639"/>
      <c r="L27" s="639"/>
      <c r="M27" s="413"/>
      <c r="N27" s="1005"/>
      <c r="O27" s="639"/>
      <c r="P27" s="639"/>
      <c r="Q27" s="639"/>
      <c r="R27" s="639"/>
      <c r="S27" s="639"/>
      <c r="T27" s="639"/>
      <c r="U27" s="639"/>
      <c r="V27" s="413"/>
      <c r="W27" s="412"/>
      <c r="X27" s="639"/>
      <c r="Y27" s="639"/>
      <c r="Z27" s="639"/>
      <c r="AA27" s="639"/>
      <c r="AB27" s="413"/>
      <c r="AC27" s="412"/>
      <c r="AD27" s="412"/>
      <c r="AE27" s="1000"/>
      <c r="AF27" s="856"/>
      <c r="AG27" s="412"/>
      <c r="AH27" s="639"/>
      <c r="AI27" s="639"/>
      <c r="AJ27" s="639"/>
      <c r="AK27" s="413"/>
      <c r="AL27" s="412"/>
      <c r="AM27" s="639"/>
      <c r="AN27" s="413"/>
      <c r="AO27" s="412"/>
      <c r="AP27" s="639"/>
      <c r="AQ27" s="639"/>
      <c r="AR27" s="639"/>
      <c r="AS27" s="639"/>
      <c r="AT27" s="639"/>
      <c r="AU27" s="639"/>
      <c r="AV27" s="639"/>
      <c r="AW27" s="639"/>
      <c r="AX27" s="413"/>
      <c r="AY27" s="412"/>
      <c r="AZ27" s="639"/>
      <c r="BA27" s="639"/>
      <c r="BB27" s="639"/>
      <c r="BC27" s="639"/>
      <c r="BD27" s="413"/>
      <c r="BE27" s="578"/>
      <c r="BF27" s="412"/>
      <c r="BG27" s="413"/>
      <c r="BI27" s="1277"/>
      <c r="BJ27" s="1278"/>
    </row>
    <row r="28" spans="1:62" ht="11.1" customHeight="1" x14ac:dyDescent="0.25">
      <c r="A28" s="857">
        <v>23</v>
      </c>
      <c r="B28" s="412"/>
      <c r="C28" s="639"/>
      <c r="D28" s="639"/>
      <c r="E28" s="639"/>
      <c r="F28" s="639"/>
      <c r="G28" s="413"/>
      <c r="H28" s="412"/>
      <c r="I28" s="639"/>
      <c r="J28" s="639"/>
      <c r="K28" s="639"/>
      <c r="L28" s="639"/>
      <c r="M28" s="413"/>
      <c r="N28" s="1005"/>
      <c r="O28" s="639"/>
      <c r="P28" s="639"/>
      <c r="Q28" s="639"/>
      <c r="R28" s="639"/>
      <c r="S28" s="639"/>
      <c r="T28" s="639"/>
      <c r="U28" s="639"/>
      <c r="V28" s="413"/>
      <c r="W28" s="412"/>
      <c r="X28" s="639"/>
      <c r="Y28" s="639"/>
      <c r="Z28" s="639"/>
      <c r="AA28" s="639"/>
      <c r="AB28" s="413"/>
      <c r="AC28" s="412"/>
      <c r="AD28" s="412"/>
      <c r="AE28" s="1000"/>
      <c r="AF28" s="856"/>
      <c r="AG28" s="412"/>
      <c r="AH28" s="639"/>
      <c r="AI28" s="639"/>
      <c r="AJ28" s="639"/>
      <c r="AK28" s="413"/>
      <c r="AL28" s="412"/>
      <c r="AM28" s="639"/>
      <c r="AN28" s="413"/>
      <c r="AO28" s="412"/>
      <c r="AP28" s="639"/>
      <c r="AQ28" s="639"/>
      <c r="AR28" s="639"/>
      <c r="AS28" s="639"/>
      <c r="AT28" s="639"/>
      <c r="AU28" s="639"/>
      <c r="AV28" s="639"/>
      <c r="AW28" s="639"/>
      <c r="AX28" s="413"/>
      <c r="AY28" s="412"/>
      <c r="AZ28" s="639"/>
      <c r="BA28" s="639"/>
      <c r="BB28" s="639"/>
      <c r="BC28" s="639"/>
      <c r="BD28" s="413"/>
      <c r="BE28" s="578"/>
      <c r="BF28" s="412"/>
      <c r="BG28" s="413"/>
      <c r="BI28" s="1277"/>
      <c r="BJ28" s="1278"/>
    </row>
    <row r="29" spans="1:62" ht="11.1" customHeight="1" x14ac:dyDescent="0.25">
      <c r="A29" s="857">
        <v>24</v>
      </c>
      <c r="B29" s="412"/>
      <c r="C29" s="639"/>
      <c r="D29" s="639"/>
      <c r="E29" s="639"/>
      <c r="F29" s="639"/>
      <c r="G29" s="413"/>
      <c r="H29" s="412"/>
      <c r="I29" s="639"/>
      <c r="J29" s="639"/>
      <c r="K29" s="639"/>
      <c r="L29" s="639"/>
      <c r="M29" s="413"/>
      <c r="N29" s="1005"/>
      <c r="O29" s="639"/>
      <c r="P29" s="639"/>
      <c r="Q29" s="639"/>
      <c r="R29" s="639"/>
      <c r="S29" s="639"/>
      <c r="T29" s="639"/>
      <c r="U29" s="639"/>
      <c r="V29" s="413"/>
      <c r="W29" s="412"/>
      <c r="X29" s="639"/>
      <c r="Y29" s="639"/>
      <c r="Z29" s="639"/>
      <c r="AA29" s="639"/>
      <c r="AB29" s="413"/>
      <c r="AC29" s="412"/>
      <c r="AD29" s="412"/>
      <c r="AE29" s="1000"/>
      <c r="AF29" s="856"/>
      <c r="AG29" s="412"/>
      <c r="AH29" s="639"/>
      <c r="AI29" s="639"/>
      <c r="AJ29" s="639"/>
      <c r="AK29" s="413"/>
      <c r="AL29" s="412"/>
      <c r="AM29" s="639"/>
      <c r="AN29" s="413"/>
      <c r="AO29" s="412"/>
      <c r="AP29" s="639"/>
      <c r="AQ29" s="639"/>
      <c r="AR29" s="639"/>
      <c r="AS29" s="639"/>
      <c r="AT29" s="639"/>
      <c r="AU29" s="639"/>
      <c r="AV29" s="639"/>
      <c r="AW29" s="639"/>
      <c r="AX29" s="413"/>
      <c r="AY29" s="412"/>
      <c r="AZ29" s="639"/>
      <c r="BA29" s="639"/>
      <c r="BB29" s="639"/>
      <c r="BC29" s="639"/>
      <c r="BD29" s="413"/>
      <c r="BE29" s="578"/>
      <c r="BF29" s="412"/>
      <c r="BG29" s="413"/>
      <c r="BI29" s="1277"/>
      <c r="BJ29" s="1278"/>
    </row>
    <row r="30" spans="1:62" ht="11.1" customHeight="1" x14ac:dyDescent="0.25">
      <c r="A30" s="857">
        <v>25</v>
      </c>
      <c r="B30" s="412"/>
      <c r="C30" s="639"/>
      <c r="D30" s="639"/>
      <c r="E30" s="639"/>
      <c r="F30" s="639"/>
      <c r="G30" s="413"/>
      <c r="H30" s="412"/>
      <c r="I30" s="639"/>
      <c r="J30" s="639"/>
      <c r="K30" s="639"/>
      <c r="L30" s="639"/>
      <c r="M30" s="413"/>
      <c r="N30" s="1005"/>
      <c r="O30" s="639"/>
      <c r="P30" s="639"/>
      <c r="Q30" s="639"/>
      <c r="R30" s="639"/>
      <c r="S30" s="639"/>
      <c r="T30" s="639"/>
      <c r="U30" s="639"/>
      <c r="V30" s="413"/>
      <c r="W30" s="412"/>
      <c r="X30" s="639"/>
      <c r="Y30" s="639"/>
      <c r="Z30" s="639"/>
      <c r="AA30" s="639"/>
      <c r="AB30" s="413"/>
      <c r="AC30" s="412"/>
      <c r="AD30" s="412"/>
      <c r="AE30" s="1000"/>
      <c r="AF30" s="856"/>
      <c r="AG30" s="412"/>
      <c r="AH30" s="639"/>
      <c r="AI30" s="639"/>
      <c r="AJ30" s="639"/>
      <c r="AK30" s="413"/>
      <c r="AL30" s="412"/>
      <c r="AM30" s="639"/>
      <c r="AN30" s="413"/>
      <c r="AO30" s="412"/>
      <c r="AP30" s="639"/>
      <c r="AQ30" s="639"/>
      <c r="AR30" s="639"/>
      <c r="AS30" s="639"/>
      <c r="AT30" s="639"/>
      <c r="AU30" s="639"/>
      <c r="AV30" s="639"/>
      <c r="AW30" s="639"/>
      <c r="AX30" s="413"/>
      <c r="AY30" s="412"/>
      <c r="AZ30" s="639"/>
      <c r="BA30" s="639"/>
      <c r="BB30" s="639"/>
      <c r="BC30" s="639"/>
      <c r="BD30" s="413"/>
      <c r="BE30" s="578"/>
      <c r="BF30" s="412"/>
      <c r="BG30" s="413"/>
      <c r="BI30" s="1277"/>
      <c r="BJ30" s="1278"/>
    </row>
    <row r="31" spans="1:62" ht="11.1" customHeight="1" x14ac:dyDescent="0.25">
      <c r="A31" s="857">
        <v>26</v>
      </c>
      <c r="B31" s="412"/>
      <c r="C31" s="639"/>
      <c r="D31" s="639"/>
      <c r="E31" s="639"/>
      <c r="F31" s="639"/>
      <c r="G31" s="413"/>
      <c r="H31" s="412"/>
      <c r="I31" s="639"/>
      <c r="J31" s="639"/>
      <c r="K31" s="639"/>
      <c r="L31" s="639"/>
      <c r="M31" s="413"/>
      <c r="N31" s="1005"/>
      <c r="O31" s="639"/>
      <c r="P31" s="639"/>
      <c r="Q31" s="639"/>
      <c r="R31" s="639"/>
      <c r="S31" s="639"/>
      <c r="T31" s="639"/>
      <c r="U31" s="639"/>
      <c r="V31" s="413"/>
      <c r="W31" s="412"/>
      <c r="X31" s="639"/>
      <c r="Y31" s="639"/>
      <c r="Z31" s="639"/>
      <c r="AA31" s="639"/>
      <c r="AB31" s="413"/>
      <c r="AC31" s="412"/>
      <c r="AD31" s="412"/>
      <c r="AE31" s="1000"/>
      <c r="AF31" s="856"/>
      <c r="AG31" s="412"/>
      <c r="AH31" s="639"/>
      <c r="AI31" s="639"/>
      <c r="AJ31" s="639"/>
      <c r="AK31" s="413"/>
      <c r="AL31" s="412"/>
      <c r="AM31" s="639"/>
      <c r="AN31" s="413"/>
      <c r="AO31" s="412"/>
      <c r="AP31" s="639"/>
      <c r="AQ31" s="639"/>
      <c r="AR31" s="639"/>
      <c r="AS31" s="639"/>
      <c r="AT31" s="639"/>
      <c r="AU31" s="639"/>
      <c r="AV31" s="639"/>
      <c r="AW31" s="639"/>
      <c r="AX31" s="413"/>
      <c r="AY31" s="412"/>
      <c r="AZ31" s="639"/>
      <c r="BA31" s="639"/>
      <c r="BB31" s="639"/>
      <c r="BC31" s="639"/>
      <c r="BD31" s="413"/>
      <c r="BE31" s="578"/>
      <c r="BF31" s="412"/>
      <c r="BG31" s="413"/>
      <c r="BI31" s="1277"/>
      <c r="BJ31" s="1278"/>
    </row>
    <row r="32" spans="1:62" ht="11.1" customHeight="1" x14ac:dyDescent="0.25">
      <c r="A32" s="857">
        <v>27</v>
      </c>
      <c r="B32" s="412"/>
      <c r="C32" s="639"/>
      <c r="D32" s="639"/>
      <c r="E32" s="639"/>
      <c r="F32" s="639"/>
      <c r="G32" s="413"/>
      <c r="H32" s="412"/>
      <c r="I32" s="639"/>
      <c r="J32" s="639"/>
      <c r="K32" s="639"/>
      <c r="L32" s="639"/>
      <c r="M32" s="413"/>
      <c r="N32" s="1005"/>
      <c r="O32" s="639"/>
      <c r="P32" s="639"/>
      <c r="Q32" s="639"/>
      <c r="R32" s="639"/>
      <c r="S32" s="639"/>
      <c r="T32" s="639"/>
      <c r="U32" s="639"/>
      <c r="V32" s="413"/>
      <c r="W32" s="412"/>
      <c r="X32" s="639"/>
      <c r="Y32" s="639"/>
      <c r="Z32" s="639"/>
      <c r="AA32" s="639"/>
      <c r="AB32" s="413"/>
      <c r="AC32" s="412"/>
      <c r="AD32" s="412"/>
      <c r="AE32" s="1000"/>
      <c r="AF32" s="856"/>
      <c r="AG32" s="412"/>
      <c r="AH32" s="639"/>
      <c r="AI32" s="639"/>
      <c r="AJ32" s="639"/>
      <c r="AK32" s="413"/>
      <c r="AL32" s="412"/>
      <c r="AM32" s="639"/>
      <c r="AN32" s="413"/>
      <c r="AO32" s="412"/>
      <c r="AP32" s="639"/>
      <c r="AQ32" s="639"/>
      <c r="AR32" s="639"/>
      <c r="AS32" s="639"/>
      <c r="AT32" s="639"/>
      <c r="AU32" s="639"/>
      <c r="AV32" s="639"/>
      <c r="AW32" s="639"/>
      <c r="AX32" s="413"/>
      <c r="AY32" s="412"/>
      <c r="AZ32" s="639"/>
      <c r="BA32" s="639"/>
      <c r="BB32" s="639"/>
      <c r="BC32" s="639"/>
      <c r="BD32" s="413"/>
      <c r="BE32" s="578"/>
      <c r="BF32" s="412"/>
      <c r="BG32" s="413"/>
      <c r="BI32" s="1277"/>
      <c r="BJ32" s="1278"/>
    </row>
    <row r="33" spans="1:63" ht="11.1" customHeight="1" x14ac:dyDescent="0.25">
      <c r="A33" s="857">
        <v>28</v>
      </c>
      <c r="B33" s="412"/>
      <c r="C33" s="639"/>
      <c r="D33" s="639"/>
      <c r="E33" s="639"/>
      <c r="F33" s="639"/>
      <c r="G33" s="413"/>
      <c r="H33" s="412"/>
      <c r="I33" s="639"/>
      <c r="J33" s="639"/>
      <c r="K33" s="639"/>
      <c r="L33" s="639"/>
      <c r="M33" s="413"/>
      <c r="N33" s="1005"/>
      <c r="O33" s="639"/>
      <c r="P33" s="639"/>
      <c r="Q33" s="639"/>
      <c r="R33" s="639"/>
      <c r="S33" s="639"/>
      <c r="T33" s="639"/>
      <c r="U33" s="639"/>
      <c r="V33" s="413"/>
      <c r="W33" s="412"/>
      <c r="X33" s="639"/>
      <c r="Y33" s="639"/>
      <c r="Z33" s="639"/>
      <c r="AA33" s="639"/>
      <c r="AB33" s="413"/>
      <c r="AC33" s="412"/>
      <c r="AD33" s="412"/>
      <c r="AE33" s="1000"/>
      <c r="AF33" s="856"/>
      <c r="AG33" s="412"/>
      <c r="AH33" s="639"/>
      <c r="AI33" s="639"/>
      <c r="AJ33" s="639"/>
      <c r="AK33" s="413"/>
      <c r="AL33" s="412"/>
      <c r="AM33" s="639"/>
      <c r="AN33" s="413"/>
      <c r="AO33" s="412"/>
      <c r="AP33" s="639"/>
      <c r="AQ33" s="639"/>
      <c r="AR33" s="639"/>
      <c r="AS33" s="639"/>
      <c r="AT33" s="639"/>
      <c r="AU33" s="639"/>
      <c r="AV33" s="639"/>
      <c r="AW33" s="639"/>
      <c r="AX33" s="413"/>
      <c r="AY33" s="412"/>
      <c r="AZ33" s="639"/>
      <c r="BA33" s="639"/>
      <c r="BB33" s="639"/>
      <c r="BC33" s="639"/>
      <c r="BD33" s="413"/>
      <c r="BE33" s="578"/>
      <c r="BF33" s="412"/>
      <c r="BG33" s="413"/>
      <c r="BI33" s="1277"/>
      <c r="BJ33" s="1278"/>
    </row>
    <row r="34" spans="1:63" ht="11.1" customHeight="1" thickBot="1" x14ac:dyDescent="0.3">
      <c r="A34" s="857">
        <v>29</v>
      </c>
      <c r="B34" s="412"/>
      <c r="C34" s="639"/>
      <c r="D34" s="639"/>
      <c r="E34" s="639"/>
      <c r="F34" s="639"/>
      <c r="G34" s="413"/>
      <c r="H34" s="412"/>
      <c r="I34" s="639"/>
      <c r="J34" s="639"/>
      <c r="K34" s="639"/>
      <c r="L34" s="639"/>
      <c r="M34" s="413"/>
      <c r="N34" s="1005"/>
      <c r="O34" s="639"/>
      <c r="P34" s="639"/>
      <c r="Q34" s="639"/>
      <c r="R34" s="639"/>
      <c r="S34" s="639"/>
      <c r="T34" s="639"/>
      <c r="U34" s="639"/>
      <c r="V34" s="413"/>
      <c r="W34" s="412"/>
      <c r="X34" s="639"/>
      <c r="Y34" s="639"/>
      <c r="Z34" s="639"/>
      <c r="AA34" s="639"/>
      <c r="AB34" s="413"/>
      <c r="AC34" s="412"/>
      <c r="AD34" s="412"/>
      <c r="AE34" s="1000"/>
      <c r="AF34" s="856"/>
      <c r="AG34" s="412"/>
      <c r="AH34" s="639"/>
      <c r="AI34" s="639"/>
      <c r="AJ34" s="639"/>
      <c r="AK34" s="413"/>
      <c r="AL34" s="412"/>
      <c r="AM34" s="639"/>
      <c r="AN34" s="413"/>
      <c r="AO34" s="412"/>
      <c r="AP34" s="639"/>
      <c r="AQ34" s="639"/>
      <c r="AR34" s="639"/>
      <c r="AS34" s="639"/>
      <c r="AT34" s="639"/>
      <c r="AU34" s="639"/>
      <c r="AV34" s="639"/>
      <c r="AW34" s="639"/>
      <c r="AX34" s="413"/>
      <c r="AY34" s="412"/>
      <c r="AZ34" s="639"/>
      <c r="BA34" s="639"/>
      <c r="BB34" s="639"/>
      <c r="BC34" s="639"/>
      <c r="BD34" s="413"/>
      <c r="BE34" s="578"/>
      <c r="BF34" s="412"/>
      <c r="BG34" s="413"/>
      <c r="BI34" s="1279"/>
      <c r="BJ34" s="1280"/>
    </row>
    <row r="35" spans="1:63" ht="11.1" customHeight="1" x14ac:dyDescent="0.25">
      <c r="A35" s="857">
        <v>30</v>
      </c>
      <c r="B35" s="412"/>
      <c r="C35" s="639"/>
      <c r="D35" s="639"/>
      <c r="E35" s="639"/>
      <c r="F35" s="639"/>
      <c r="G35" s="413"/>
      <c r="H35" s="412"/>
      <c r="I35" s="639"/>
      <c r="J35" s="639"/>
      <c r="K35" s="639"/>
      <c r="L35" s="639"/>
      <c r="M35" s="413"/>
      <c r="N35" s="1005"/>
      <c r="O35" s="639"/>
      <c r="P35" s="639"/>
      <c r="Q35" s="639"/>
      <c r="R35" s="639"/>
      <c r="S35" s="639"/>
      <c r="T35" s="639"/>
      <c r="U35" s="639"/>
      <c r="V35" s="413"/>
      <c r="W35" s="412"/>
      <c r="X35" s="639"/>
      <c r="Y35" s="639"/>
      <c r="Z35" s="639"/>
      <c r="AA35" s="639"/>
      <c r="AB35" s="413"/>
      <c r="AC35" s="412"/>
      <c r="AD35" s="412"/>
      <c r="AE35" s="1000"/>
      <c r="AF35" s="856"/>
      <c r="AG35" s="412"/>
      <c r="AH35" s="639"/>
      <c r="AI35" s="639"/>
      <c r="AJ35" s="639"/>
      <c r="AK35" s="413"/>
      <c r="AL35" s="412"/>
      <c r="AM35" s="639"/>
      <c r="AN35" s="413"/>
      <c r="AO35" s="412"/>
      <c r="AP35" s="639"/>
      <c r="AQ35" s="639"/>
      <c r="AR35" s="639"/>
      <c r="AS35" s="639"/>
      <c r="AT35" s="639"/>
      <c r="AU35" s="639"/>
      <c r="AV35" s="639"/>
      <c r="AW35" s="639"/>
      <c r="AX35" s="413"/>
      <c r="AY35" s="412"/>
      <c r="AZ35" s="639"/>
      <c r="BA35" s="639"/>
      <c r="BB35" s="639"/>
      <c r="BC35" s="639"/>
      <c r="BD35" s="413"/>
      <c r="BE35" s="578"/>
      <c r="BF35" s="412"/>
      <c r="BG35" s="413"/>
    </row>
    <row r="36" spans="1:63" ht="11.1" customHeight="1" x14ac:dyDescent="0.25">
      <c r="A36" s="857">
        <v>31</v>
      </c>
      <c r="B36" s="412"/>
      <c r="C36" s="639"/>
      <c r="D36" s="639"/>
      <c r="E36" s="639"/>
      <c r="F36" s="639"/>
      <c r="G36" s="413"/>
      <c r="H36" s="412"/>
      <c r="I36" s="639"/>
      <c r="J36" s="639"/>
      <c r="K36" s="639"/>
      <c r="L36" s="639"/>
      <c r="M36" s="413"/>
      <c r="N36" s="1005"/>
      <c r="O36" s="639"/>
      <c r="P36" s="639"/>
      <c r="Q36" s="639"/>
      <c r="R36" s="639"/>
      <c r="S36" s="639"/>
      <c r="T36" s="639"/>
      <c r="U36" s="639"/>
      <c r="V36" s="413"/>
      <c r="W36" s="412"/>
      <c r="X36" s="639"/>
      <c r="Y36" s="639"/>
      <c r="Z36" s="639"/>
      <c r="AA36" s="639"/>
      <c r="AB36" s="413"/>
      <c r="AC36" s="412"/>
      <c r="AD36" s="412"/>
      <c r="AE36" s="1000"/>
      <c r="AF36" s="856"/>
      <c r="AG36" s="412"/>
      <c r="AH36" s="639"/>
      <c r="AI36" s="639"/>
      <c r="AJ36" s="639"/>
      <c r="AK36" s="413"/>
      <c r="AL36" s="412"/>
      <c r="AM36" s="639"/>
      <c r="AN36" s="413"/>
      <c r="AO36" s="412"/>
      <c r="AP36" s="639"/>
      <c r="AQ36" s="639"/>
      <c r="AR36" s="639"/>
      <c r="AS36" s="639"/>
      <c r="AT36" s="639"/>
      <c r="AU36" s="639"/>
      <c r="AV36" s="639"/>
      <c r="AW36" s="639"/>
      <c r="AX36" s="413"/>
      <c r="AY36" s="412"/>
      <c r="AZ36" s="639"/>
      <c r="BA36" s="639"/>
      <c r="BB36" s="639"/>
      <c r="BC36" s="639"/>
      <c r="BD36" s="413"/>
      <c r="BE36" s="578"/>
      <c r="BF36" s="412"/>
      <c r="BG36" s="413"/>
    </row>
    <row r="37" spans="1:63" ht="11.1" customHeight="1" x14ac:dyDescent="0.25">
      <c r="A37" s="857">
        <v>32</v>
      </c>
      <c r="B37" s="412"/>
      <c r="C37" s="639"/>
      <c r="D37" s="639"/>
      <c r="E37" s="639"/>
      <c r="F37" s="639"/>
      <c r="G37" s="413"/>
      <c r="H37" s="412"/>
      <c r="I37" s="639"/>
      <c r="J37" s="639"/>
      <c r="K37" s="639"/>
      <c r="L37" s="639"/>
      <c r="M37" s="413"/>
      <c r="N37" s="1005"/>
      <c r="O37" s="639"/>
      <c r="P37" s="639"/>
      <c r="Q37" s="639"/>
      <c r="R37" s="639"/>
      <c r="S37" s="639"/>
      <c r="T37" s="639"/>
      <c r="U37" s="639"/>
      <c r="V37" s="413"/>
      <c r="W37" s="412"/>
      <c r="X37" s="639"/>
      <c r="Y37" s="639"/>
      <c r="Z37" s="639"/>
      <c r="AA37" s="639"/>
      <c r="AB37" s="413"/>
      <c r="AC37" s="412"/>
      <c r="AD37" s="412"/>
      <c r="AE37" s="1000"/>
      <c r="AF37" s="856"/>
      <c r="AG37" s="412"/>
      <c r="AH37" s="639"/>
      <c r="AI37" s="639"/>
      <c r="AJ37" s="639"/>
      <c r="AK37" s="413"/>
      <c r="AL37" s="412"/>
      <c r="AM37" s="639"/>
      <c r="AN37" s="413"/>
      <c r="AO37" s="412"/>
      <c r="AP37" s="639"/>
      <c r="AQ37" s="639"/>
      <c r="AR37" s="639"/>
      <c r="AS37" s="639"/>
      <c r="AT37" s="639"/>
      <c r="AU37" s="639"/>
      <c r="AV37" s="639"/>
      <c r="AW37" s="639"/>
      <c r="AX37" s="413"/>
      <c r="AY37" s="412"/>
      <c r="AZ37" s="639"/>
      <c r="BA37" s="639"/>
      <c r="BB37" s="639"/>
      <c r="BC37" s="639"/>
      <c r="BD37" s="413"/>
      <c r="BE37" s="578"/>
      <c r="BF37" s="412"/>
      <c r="BG37" s="413"/>
    </row>
    <row r="38" spans="1:63" ht="11.1" customHeight="1" x14ac:dyDescent="0.25">
      <c r="A38" s="857">
        <v>33</v>
      </c>
      <c r="B38" s="412"/>
      <c r="C38" s="639"/>
      <c r="D38" s="639"/>
      <c r="E38" s="639"/>
      <c r="F38" s="639"/>
      <c r="G38" s="413"/>
      <c r="H38" s="412"/>
      <c r="I38" s="639"/>
      <c r="J38" s="639"/>
      <c r="K38" s="639"/>
      <c r="L38" s="639"/>
      <c r="M38" s="413"/>
      <c r="N38" s="1005"/>
      <c r="O38" s="639"/>
      <c r="P38" s="639"/>
      <c r="Q38" s="639"/>
      <c r="R38" s="639"/>
      <c r="S38" s="639"/>
      <c r="T38" s="639"/>
      <c r="U38" s="639"/>
      <c r="V38" s="413"/>
      <c r="W38" s="412"/>
      <c r="X38" s="639"/>
      <c r="Y38" s="639"/>
      <c r="Z38" s="639"/>
      <c r="AA38" s="639"/>
      <c r="AB38" s="413"/>
      <c r="AC38" s="412"/>
      <c r="AD38" s="412"/>
      <c r="AE38" s="1000"/>
      <c r="AF38" s="856"/>
      <c r="AG38" s="412"/>
      <c r="AH38" s="639"/>
      <c r="AI38" s="639"/>
      <c r="AJ38" s="639"/>
      <c r="AK38" s="413"/>
      <c r="AL38" s="412"/>
      <c r="AM38" s="639"/>
      <c r="AN38" s="413"/>
      <c r="AO38" s="412"/>
      <c r="AP38" s="639"/>
      <c r="AQ38" s="639"/>
      <c r="AR38" s="639"/>
      <c r="AS38" s="639"/>
      <c r="AT38" s="639"/>
      <c r="AU38" s="639"/>
      <c r="AV38" s="639"/>
      <c r="AW38" s="639"/>
      <c r="AX38" s="413"/>
      <c r="AY38" s="412"/>
      <c r="AZ38" s="639"/>
      <c r="BA38" s="639"/>
      <c r="BB38" s="639"/>
      <c r="BC38" s="639"/>
      <c r="BD38" s="413"/>
      <c r="BE38" s="578"/>
      <c r="BF38" s="412"/>
      <c r="BG38" s="413"/>
    </row>
    <row r="39" spans="1:63" ht="11.1" customHeight="1" x14ac:dyDescent="0.25">
      <c r="A39" s="857">
        <v>34</v>
      </c>
      <c r="B39" s="412"/>
      <c r="C39" s="639"/>
      <c r="D39" s="639"/>
      <c r="E39" s="639"/>
      <c r="F39" s="639"/>
      <c r="G39" s="413"/>
      <c r="H39" s="412"/>
      <c r="I39" s="639"/>
      <c r="J39" s="639"/>
      <c r="K39" s="639"/>
      <c r="L39" s="639"/>
      <c r="M39" s="413"/>
      <c r="N39" s="1005"/>
      <c r="O39" s="639"/>
      <c r="P39" s="639"/>
      <c r="Q39" s="639"/>
      <c r="R39" s="639"/>
      <c r="S39" s="639"/>
      <c r="T39" s="639"/>
      <c r="U39" s="639"/>
      <c r="V39" s="413"/>
      <c r="W39" s="412"/>
      <c r="X39" s="639"/>
      <c r="Y39" s="639"/>
      <c r="Z39" s="639"/>
      <c r="AA39" s="639"/>
      <c r="AB39" s="413"/>
      <c r="AC39" s="412"/>
      <c r="AD39" s="412"/>
      <c r="AE39" s="1000"/>
      <c r="AF39" s="856"/>
      <c r="AG39" s="412"/>
      <c r="AH39" s="639"/>
      <c r="AI39" s="639"/>
      <c r="AJ39" s="639"/>
      <c r="AK39" s="413"/>
      <c r="AL39" s="412"/>
      <c r="AM39" s="639"/>
      <c r="AN39" s="413"/>
      <c r="AO39" s="412"/>
      <c r="AP39" s="639"/>
      <c r="AQ39" s="639"/>
      <c r="AR39" s="639"/>
      <c r="AS39" s="639"/>
      <c r="AT39" s="639"/>
      <c r="AU39" s="639"/>
      <c r="AV39" s="639"/>
      <c r="AW39" s="639"/>
      <c r="AX39" s="413"/>
      <c r="AY39" s="412"/>
      <c r="AZ39" s="639"/>
      <c r="BA39" s="639"/>
      <c r="BB39" s="639"/>
      <c r="BC39" s="639"/>
      <c r="BD39" s="413"/>
      <c r="BE39" s="578"/>
      <c r="BF39" s="412"/>
      <c r="BG39" s="413"/>
    </row>
    <row r="40" spans="1:63" ht="11.1" customHeight="1" x14ac:dyDescent="0.25">
      <c r="A40" s="857">
        <v>35</v>
      </c>
      <c r="B40" s="412"/>
      <c r="C40" s="639"/>
      <c r="D40" s="639"/>
      <c r="E40" s="639"/>
      <c r="F40" s="639"/>
      <c r="G40" s="413"/>
      <c r="H40" s="412"/>
      <c r="I40" s="639"/>
      <c r="J40" s="639"/>
      <c r="K40" s="639"/>
      <c r="L40" s="639"/>
      <c r="M40" s="413"/>
      <c r="N40" s="1005"/>
      <c r="O40" s="639"/>
      <c r="P40" s="639"/>
      <c r="Q40" s="639"/>
      <c r="R40" s="639"/>
      <c r="S40" s="639"/>
      <c r="T40" s="639"/>
      <c r="U40" s="639"/>
      <c r="V40" s="413"/>
      <c r="W40" s="412"/>
      <c r="X40" s="639"/>
      <c r="Y40" s="639"/>
      <c r="Z40" s="639"/>
      <c r="AA40" s="639"/>
      <c r="AB40" s="413"/>
      <c r="AC40" s="412"/>
      <c r="AD40" s="412"/>
      <c r="AE40" s="1000"/>
      <c r="AF40" s="856"/>
      <c r="AG40" s="412"/>
      <c r="AH40" s="639"/>
      <c r="AI40" s="639"/>
      <c r="AJ40" s="639"/>
      <c r="AK40" s="413"/>
      <c r="AL40" s="412"/>
      <c r="AM40" s="639"/>
      <c r="AN40" s="413"/>
      <c r="AO40" s="412"/>
      <c r="AP40" s="639"/>
      <c r="AQ40" s="639"/>
      <c r="AR40" s="639"/>
      <c r="AS40" s="639"/>
      <c r="AT40" s="639"/>
      <c r="AU40" s="639"/>
      <c r="AV40" s="639"/>
      <c r="AW40" s="639"/>
      <c r="AX40" s="413"/>
      <c r="AY40" s="412"/>
      <c r="AZ40" s="639"/>
      <c r="BA40" s="639"/>
      <c r="BB40" s="639"/>
      <c r="BC40" s="639"/>
      <c r="BD40" s="413"/>
      <c r="BE40" s="578"/>
      <c r="BF40" s="412"/>
      <c r="BG40" s="413"/>
    </row>
    <row r="41" spans="1:63" ht="11.1" customHeight="1" x14ac:dyDescent="0.25">
      <c r="A41" s="857">
        <v>36</v>
      </c>
      <c r="B41" s="412"/>
      <c r="C41" s="639"/>
      <c r="D41" s="639"/>
      <c r="E41" s="639"/>
      <c r="F41" s="639"/>
      <c r="G41" s="413"/>
      <c r="H41" s="412"/>
      <c r="I41" s="639"/>
      <c r="J41" s="639"/>
      <c r="K41" s="639"/>
      <c r="L41" s="639"/>
      <c r="M41" s="413"/>
      <c r="N41" s="1005"/>
      <c r="O41" s="639"/>
      <c r="P41" s="639"/>
      <c r="Q41" s="639"/>
      <c r="R41" s="639"/>
      <c r="S41" s="639"/>
      <c r="T41" s="639"/>
      <c r="U41" s="639"/>
      <c r="V41" s="413"/>
      <c r="W41" s="412"/>
      <c r="X41" s="639"/>
      <c r="Y41" s="639"/>
      <c r="Z41" s="639"/>
      <c r="AA41" s="639"/>
      <c r="AB41" s="413"/>
      <c r="AC41" s="412"/>
      <c r="AD41" s="412"/>
      <c r="AE41" s="1000"/>
      <c r="AF41" s="856"/>
      <c r="AG41" s="412"/>
      <c r="AH41" s="639"/>
      <c r="AI41" s="639"/>
      <c r="AJ41" s="639"/>
      <c r="AK41" s="413"/>
      <c r="AL41" s="412"/>
      <c r="AM41" s="639"/>
      <c r="AN41" s="413"/>
      <c r="AO41" s="412"/>
      <c r="AP41" s="639"/>
      <c r="AQ41" s="639"/>
      <c r="AR41" s="639"/>
      <c r="AS41" s="639"/>
      <c r="AT41" s="639"/>
      <c r="AU41" s="639"/>
      <c r="AV41" s="639"/>
      <c r="AW41" s="639"/>
      <c r="AX41" s="413"/>
      <c r="AY41" s="412"/>
      <c r="AZ41" s="639"/>
      <c r="BA41" s="639"/>
      <c r="BB41" s="639"/>
      <c r="BC41" s="639"/>
      <c r="BD41" s="413"/>
      <c r="BE41" s="578"/>
      <c r="BF41" s="412"/>
      <c r="BG41" s="413"/>
    </row>
    <row r="42" spans="1:63" ht="11.1" customHeight="1" x14ac:dyDescent="0.25">
      <c r="A42" s="857">
        <v>37</v>
      </c>
      <c r="B42" s="412"/>
      <c r="C42" s="639"/>
      <c r="D42" s="639"/>
      <c r="E42" s="639"/>
      <c r="F42" s="639"/>
      <c r="G42" s="413"/>
      <c r="H42" s="412"/>
      <c r="I42" s="639"/>
      <c r="J42" s="639"/>
      <c r="K42" s="639"/>
      <c r="L42" s="639"/>
      <c r="M42" s="413"/>
      <c r="N42" s="1005"/>
      <c r="O42" s="639"/>
      <c r="P42" s="639"/>
      <c r="Q42" s="639"/>
      <c r="R42" s="639"/>
      <c r="S42" s="639"/>
      <c r="T42" s="639"/>
      <c r="U42" s="639"/>
      <c r="V42" s="413"/>
      <c r="W42" s="412"/>
      <c r="X42" s="639"/>
      <c r="Y42" s="639"/>
      <c r="Z42" s="639"/>
      <c r="AA42" s="639"/>
      <c r="AB42" s="413"/>
      <c r="AC42" s="412"/>
      <c r="AD42" s="412"/>
      <c r="AE42" s="1000"/>
      <c r="AF42" s="856"/>
      <c r="AG42" s="412"/>
      <c r="AH42" s="639"/>
      <c r="AI42" s="639"/>
      <c r="AJ42" s="639"/>
      <c r="AK42" s="413"/>
      <c r="AL42" s="412"/>
      <c r="AM42" s="639"/>
      <c r="AN42" s="413"/>
      <c r="AO42" s="412"/>
      <c r="AP42" s="639"/>
      <c r="AQ42" s="639"/>
      <c r="AR42" s="639"/>
      <c r="AS42" s="639"/>
      <c r="AT42" s="639"/>
      <c r="AU42" s="639"/>
      <c r="AV42" s="639"/>
      <c r="AW42" s="639"/>
      <c r="AX42" s="413"/>
      <c r="AY42" s="412"/>
      <c r="AZ42" s="639"/>
      <c r="BA42" s="639"/>
      <c r="BB42" s="639"/>
      <c r="BC42" s="639"/>
      <c r="BD42" s="413"/>
      <c r="BE42" s="578"/>
      <c r="BF42" s="412"/>
      <c r="BG42" s="413"/>
    </row>
    <row r="43" spans="1:63" ht="11.1" customHeight="1" x14ac:dyDescent="0.25">
      <c r="A43" s="857">
        <v>38</v>
      </c>
      <c r="B43" s="412"/>
      <c r="C43" s="639"/>
      <c r="D43" s="639"/>
      <c r="E43" s="639"/>
      <c r="F43" s="639"/>
      <c r="G43" s="413"/>
      <c r="H43" s="412"/>
      <c r="I43" s="639"/>
      <c r="J43" s="639"/>
      <c r="K43" s="639"/>
      <c r="L43" s="639"/>
      <c r="M43" s="413"/>
      <c r="N43" s="1005"/>
      <c r="O43" s="639"/>
      <c r="P43" s="639"/>
      <c r="Q43" s="639"/>
      <c r="R43" s="639"/>
      <c r="S43" s="639"/>
      <c r="T43" s="639"/>
      <c r="U43" s="639"/>
      <c r="V43" s="413"/>
      <c r="W43" s="412"/>
      <c r="X43" s="639"/>
      <c r="Y43" s="639"/>
      <c r="Z43" s="639"/>
      <c r="AA43" s="639"/>
      <c r="AB43" s="413"/>
      <c r="AC43" s="412"/>
      <c r="AD43" s="412"/>
      <c r="AE43" s="1000"/>
      <c r="AF43" s="856"/>
      <c r="AG43" s="412"/>
      <c r="AH43" s="639"/>
      <c r="AI43" s="639"/>
      <c r="AJ43" s="639"/>
      <c r="AK43" s="413"/>
      <c r="AL43" s="412"/>
      <c r="AM43" s="639"/>
      <c r="AN43" s="413"/>
      <c r="AO43" s="412"/>
      <c r="AP43" s="639"/>
      <c r="AQ43" s="639"/>
      <c r="AR43" s="639"/>
      <c r="AS43" s="639"/>
      <c r="AT43" s="639"/>
      <c r="AU43" s="639"/>
      <c r="AV43" s="639"/>
      <c r="AW43" s="639"/>
      <c r="AX43" s="413"/>
      <c r="AY43" s="412"/>
      <c r="AZ43" s="639"/>
      <c r="BA43" s="639"/>
      <c r="BB43" s="639"/>
      <c r="BC43" s="639"/>
      <c r="BD43" s="413"/>
      <c r="BE43" s="578"/>
      <c r="BF43" s="412"/>
      <c r="BG43" s="413"/>
    </row>
    <row r="44" spans="1:63" ht="11.1" customHeight="1" x14ac:dyDescent="0.25">
      <c r="A44" s="857">
        <v>39</v>
      </c>
      <c r="B44" s="412"/>
      <c r="C44" s="639"/>
      <c r="D44" s="639"/>
      <c r="E44" s="639"/>
      <c r="F44" s="639"/>
      <c r="G44" s="413"/>
      <c r="H44" s="412"/>
      <c r="I44" s="639"/>
      <c r="J44" s="639"/>
      <c r="K44" s="639"/>
      <c r="L44" s="639"/>
      <c r="M44" s="413"/>
      <c r="N44" s="1005"/>
      <c r="O44" s="639"/>
      <c r="P44" s="639"/>
      <c r="Q44" s="639"/>
      <c r="R44" s="639"/>
      <c r="S44" s="639"/>
      <c r="T44" s="639"/>
      <c r="U44" s="639"/>
      <c r="V44" s="413"/>
      <c r="W44" s="412"/>
      <c r="X44" s="639"/>
      <c r="Y44" s="639"/>
      <c r="Z44" s="639"/>
      <c r="AA44" s="639"/>
      <c r="AB44" s="413"/>
      <c r="AC44" s="412"/>
      <c r="AD44" s="412"/>
      <c r="AE44" s="1000"/>
      <c r="AF44" s="856"/>
      <c r="AG44" s="412"/>
      <c r="AH44" s="639"/>
      <c r="AI44" s="639"/>
      <c r="AJ44" s="639"/>
      <c r="AK44" s="413"/>
      <c r="AL44" s="412"/>
      <c r="AM44" s="639"/>
      <c r="AN44" s="413"/>
      <c r="AO44" s="412"/>
      <c r="AP44" s="639"/>
      <c r="AQ44" s="639"/>
      <c r="AR44" s="639"/>
      <c r="AS44" s="639"/>
      <c r="AT44" s="639"/>
      <c r="AU44" s="639"/>
      <c r="AV44" s="639"/>
      <c r="AW44" s="639"/>
      <c r="AX44" s="413"/>
      <c r="AY44" s="412"/>
      <c r="AZ44" s="639"/>
      <c r="BA44" s="639"/>
      <c r="BB44" s="639"/>
      <c r="BC44" s="639"/>
      <c r="BD44" s="413"/>
      <c r="BE44" s="578"/>
      <c r="BF44" s="412"/>
      <c r="BG44" s="413"/>
    </row>
    <row r="45" spans="1:63" ht="11.1" customHeight="1" thickBot="1" x14ac:dyDescent="0.3">
      <c r="A45" s="858">
        <v>40</v>
      </c>
      <c r="B45" s="414"/>
      <c r="C45" s="417"/>
      <c r="D45" s="417"/>
      <c r="E45" s="417"/>
      <c r="F45" s="417"/>
      <c r="G45" s="415"/>
      <c r="H45" s="414"/>
      <c r="I45" s="417"/>
      <c r="J45" s="417"/>
      <c r="K45" s="417"/>
      <c r="L45" s="417"/>
      <c r="M45" s="415"/>
      <c r="N45" s="1006"/>
      <c r="O45" s="417"/>
      <c r="P45" s="417"/>
      <c r="Q45" s="417"/>
      <c r="R45" s="417"/>
      <c r="S45" s="417"/>
      <c r="T45" s="417"/>
      <c r="U45" s="417"/>
      <c r="V45" s="415"/>
      <c r="W45" s="414"/>
      <c r="X45" s="417"/>
      <c r="Y45" s="417"/>
      <c r="Z45" s="417"/>
      <c r="AA45" s="417"/>
      <c r="AB45" s="415"/>
      <c r="AC45" s="414"/>
      <c r="AD45" s="414"/>
      <c r="AE45" s="1001"/>
      <c r="AF45" s="864"/>
      <c r="AG45" s="414"/>
      <c r="AH45" s="417"/>
      <c r="AI45" s="417"/>
      <c r="AJ45" s="417"/>
      <c r="AK45" s="415"/>
      <c r="AL45" s="414"/>
      <c r="AM45" s="417"/>
      <c r="AN45" s="415"/>
      <c r="AO45" s="414"/>
      <c r="AP45" s="417"/>
      <c r="AQ45" s="417"/>
      <c r="AR45" s="417"/>
      <c r="AS45" s="417"/>
      <c r="AT45" s="417"/>
      <c r="AU45" s="417"/>
      <c r="AV45" s="417"/>
      <c r="AW45" s="417"/>
      <c r="AX45" s="415"/>
      <c r="AY45" s="414"/>
      <c r="AZ45" s="417"/>
      <c r="BA45" s="417"/>
      <c r="BB45" s="417"/>
      <c r="BC45" s="417"/>
      <c r="BD45" s="415"/>
      <c r="BE45" s="578"/>
      <c r="BF45" s="414"/>
      <c r="BG45" s="415"/>
    </row>
    <row r="46" spans="1:63" ht="15" customHeight="1" thickTop="1" thickBot="1" x14ac:dyDescent="0.3">
      <c r="A46" s="846" t="s">
        <v>101</v>
      </c>
      <c r="B46" s="859">
        <f t="shared" ref="B46:AD46" si="4">SUM(B6:B45)</f>
        <v>0</v>
      </c>
      <c r="C46" s="860">
        <f t="shared" si="4"/>
        <v>0</v>
      </c>
      <c r="D46" s="860">
        <f t="shared" si="4"/>
        <v>0</v>
      </c>
      <c r="E46" s="860">
        <f t="shared" si="4"/>
        <v>0</v>
      </c>
      <c r="F46" s="860">
        <f t="shared" si="4"/>
        <v>0</v>
      </c>
      <c r="G46" s="861">
        <f t="shared" si="4"/>
        <v>0</v>
      </c>
      <c r="H46" s="859">
        <f t="shared" si="4"/>
        <v>0</v>
      </c>
      <c r="I46" s="860">
        <f t="shared" si="4"/>
        <v>0</v>
      </c>
      <c r="J46" s="860">
        <f t="shared" si="4"/>
        <v>0</v>
      </c>
      <c r="K46" s="860">
        <f t="shared" si="4"/>
        <v>0</v>
      </c>
      <c r="L46" s="860">
        <f t="shared" si="4"/>
        <v>0</v>
      </c>
      <c r="M46" s="860">
        <f t="shared" si="4"/>
        <v>0</v>
      </c>
      <c r="N46" s="859">
        <f t="shared" si="4"/>
        <v>0</v>
      </c>
      <c r="O46" s="860">
        <f t="shared" si="4"/>
        <v>0</v>
      </c>
      <c r="P46" s="860">
        <f t="shared" si="4"/>
        <v>0</v>
      </c>
      <c r="Q46" s="860">
        <f t="shared" si="4"/>
        <v>0</v>
      </c>
      <c r="R46" s="860">
        <f t="shared" si="4"/>
        <v>0</v>
      </c>
      <c r="S46" s="860">
        <f t="shared" si="4"/>
        <v>0</v>
      </c>
      <c r="T46" s="860">
        <f t="shared" ref="T46" si="5">SUM(T6:T45)</f>
        <v>0</v>
      </c>
      <c r="U46" s="860">
        <f t="shared" si="4"/>
        <v>0</v>
      </c>
      <c r="V46" s="860">
        <f t="shared" si="4"/>
        <v>0</v>
      </c>
      <c r="W46" s="861">
        <f t="shared" si="4"/>
        <v>0</v>
      </c>
      <c r="X46" s="859">
        <f t="shared" si="4"/>
        <v>0</v>
      </c>
      <c r="Y46" s="860">
        <f t="shared" si="4"/>
        <v>0</v>
      </c>
      <c r="Z46" s="860">
        <f t="shared" si="4"/>
        <v>0</v>
      </c>
      <c r="AA46" s="860">
        <f t="shared" si="4"/>
        <v>0</v>
      </c>
      <c r="AB46" s="860">
        <f t="shared" si="4"/>
        <v>0</v>
      </c>
      <c r="AC46" s="861">
        <f t="shared" si="4"/>
        <v>0</v>
      </c>
      <c r="AD46" s="859">
        <f t="shared" si="4"/>
        <v>0</v>
      </c>
      <c r="AE46" s="861">
        <f>SUM(AE6:AE45)</f>
        <v>1</v>
      </c>
      <c r="AF46" s="862"/>
      <c r="AG46" s="859">
        <f t="shared" ref="AG46:BC46" si="6">SUM(AG6:AG45)</f>
        <v>0</v>
      </c>
      <c r="AH46" s="860">
        <f t="shared" si="6"/>
        <v>0</v>
      </c>
      <c r="AI46" s="860">
        <f t="shared" si="6"/>
        <v>0</v>
      </c>
      <c r="AJ46" s="860">
        <f t="shared" si="6"/>
        <v>0</v>
      </c>
      <c r="AK46" s="860">
        <f t="shared" si="6"/>
        <v>0</v>
      </c>
      <c r="AL46" s="860">
        <f t="shared" si="6"/>
        <v>0</v>
      </c>
      <c r="AM46" s="860">
        <f t="shared" si="6"/>
        <v>0</v>
      </c>
      <c r="AN46" s="861">
        <f t="shared" si="6"/>
        <v>0</v>
      </c>
      <c r="AO46" s="859">
        <f t="shared" si="6"/>
        <v>0</v>
      </c>
      <c r="AP46" s="860">
        <f t="shared" si="6"/>
        <v>0</v>
      </c>
      <c r="AQ46" s="860">
        <f t="shared" si="6"/>
        <v>0</v>
      </c>
      <c r="AR46" s="860">
        <f t="shared" si="6"/>
        <v>0</v>
      </c>
      <c r="AS46" s="860">
        <f t="shared" si="6"/>
        <v>0</v>
      </c>
      <c r="AT46" s="860">
        <f t="shared" si="6"/>
        <v>0</v>
      </c>
      <c r="AU46" s="860">
        <f t="shared" si="6"/>
        <v>0</v>
      </c>
      <c r="AV46" s="860">
        <f t="shared" si="6"/>
        <v>0</v>
      </c>
      <c r="AW46" s="860">
        <f t="shared" si="6"/>
        <v>0</v>
      </c>
      <c r="AX46" s="861">
        <f t="shared" si="6"/>
        <v>0</v>
      </c>
      <c r="AY46" s="859">
        <f t="shared" si="6"/>
        <v>0</v>
      </c>
      <c r="AZ46" s="860">
        <f t="shared" si="6"/>
        <v>0</v>
      </c>
      <c r="BA46" s="860">
        <f t="shared" si="6"/>
        <v>0</v>
      </c>
      <c r="BB46" s="860">
        <f t="shared" si="6"/>
        <v>0</v>
      </c>
      <c r="BC46" s="860">
        <f t="shared" si="6"/>
        <v>0</v>
      </c>
      <c r="BD46" s="861">
        <f>SUM(BD6:BD45)</f>
        <v>0</v>
      </c>
      <c r="BE46" s="862"/>
      <c r="BF46" s="859">
        <f>SUM(BF6:BF45)</f>
        <v>0</v>
      </c>
      <c r="BG46" s="861">
        <f>SUM(BG6:BG45)</f>
        <v>0</v>
      </c>
    </row>
    <row r="47" spans="1:63" s="157" customFormat="1" ht="11.1" customHeight="1" x14ac:dyDescent="0.25">
      <c r="A47" s="956"/>
      <c r="B47" s="956"/>
      <c r="C47" s="956"/>
      <c r="D47" s="956"/>
      <c r="E47" s="956"/>
      <c r="F47" s="956"/>
      <c r="G47" s="956"/>
      <c r="H47" s="956">
        <f t="array" ref="H47">MAX(IF(ISBLANK(Paramètres!$H$6:$H$45),0,ROW(Paramètres!$H$6:$H$45)))-5</f>
        <v>-5</v>
      </c>
      <c r="I47" s="956">
        <f t="array" ref="I47">MAX(IF(ISBLANK(Paramètres!$I$6:$I$45),0,ROW(Paramètres!$I$6:$I$45)))-5</f>
        <v>-5</v>
      </c>
      <c r="J47" s="956"/>
      <c r="K47" s="956"/>
      <c r="L47" s="956">
        <f t="array" ref="L47">MAX(IF(ISBLANK(Paramètres!$L$6:$L$45),0,ROW(Paramètres!$L$6:$L$45)))-5</f>
        <v>-5</v>
      </c>
      <c r="M47" s="956">
        <f t="array" ref="M47">MAX(IF(ISBLANK(Paramètres!$M$6:$M$45),0,ROW(Paramètres!$M$6:$M$45)))-5</f>
        <v>-5</v>
      </c>
      <c r="N47" s="956"/>
      <c r="O47" s="956"/>
      <c r="P47" s="956"/>
      <c r="Q47" s="956"/>
      <c r="R47" s="956"/>
      <c r="S47" s="956"/>
      <c r="T47" s="956"/>
      <c r="U47" s="956"/>
      <c r="V47" s="956"/>
      <c r="W47" s="956"/>
      <c r="X47" s="956"/>
      <c r="Y47" s="956"/>
      <c r="Z47" s="956"/>
      <c r="AA47" s="956"/>
      <c r="AB47" s="956"/>
      <c r="AC47" s="956"/>
      <c r="AD47" s="956"/>
      <c r="AE47" s="956"/>
      <c r="AF47" s="956"/>
      <c r="AG47" s="956"/>
      <c r="AH47" s="956"/>
      <c r="AI47" s="956"/>
      <c r="AJ47" s="956"/>
      <c r="AK47" s="956"/>
      <c r="AL47" s="956"/>
      <c r="AM47" s="956"/>
      <c r="AN47" s="956"/>
      <c r="AO47" s="956"/>
      <c r="AP47" s="956"/>
      <c r="AQ47" s="956"/>
      <c r="AR47" s="956"/>
      <c r="AS47" s="956"/>
      <c r="AT47" s="956"/>
      <c r="AU47" s="956"/>
      <c r="AV47" s="956"/>
      <c r="AW47" s="956"/>
      <c r="AX47" s="956"/>
      <c r="AY47" s="956"/>
      <c r="AZ47" s="956"/>
      <c r="BA47" s="956"/>
      <c r="BB47" s="956"/>
      <c r="BC47" s="956"/>
      <c r="BD47" s="956"/>
      <c r="BE47" s="956"/>
      <c r="BF47" s="956"/>
      <c r="BG47" s="956"/>
      <c r="BI47" s="799"/>
      <c r="BK47" s="800"/>
    </row>
    <row r="48" spans="1:63" s="153" customFormat="1" ht="11.1" hidden="1" customHeight="1" thickBot="1" x14ac:dyDescent="0.3">
      <c r="A48" s="274" t="s">
        <v>30</v>
      </c>
      <c r="B48" s="576" t="s">
        <v>464</v>
      </c>
      <c r="C48" s="576" t="s">
        <v>464</v>
      </c>
      <c r="D48" s="576" t="s">
        <v>464</v>
      </c>
      <c r="E48" s="576" t="s">
        <v>464</v>
      </c>
      <c r="F48" s="576" t="s">
        <v>464</v>
      </c>
      <c r="G48" s="576" t="s">
        <v>464</v>
      </c>
      <c r="H48" s="576" t="s">
        <v>464</v>
      </c>
      <c r="I48" s="576" t="s">
        <v>464</v>
      </c>
      <c r="J48" s="576" t="s">
        <v>464</v>
      </c>
      <c r="K48" s="576" t="s">
        <v>464</v>
      </c>
      <c r="L48" s="576" t="s">
        <v>464</v>
      </c>
      <c r="M48" s="576" t="s">
        <v>464</v>
      </c>
      <c r="N48" s="576" t="s">
        <v>464</v>
      </c>
      <c r="O48" s="576" t="s">
        <v>464</v>
      </c>
      <c r="P48" s="576" t="s">
        <v>464</v>
      </c>
      <c r="Q48" s="576" t="s">
        <v>464</v>
      </c>
      <c r="R48" s="576" t="s">
        <v>464</v>
      </c>
      <c r="S48" s="576" t="s">
        <v>464</v>
      </c>
      <c r="T48" s="576" t="s">
        <v>464</v>
      </c>
      <c r="U48" s="576" t="s">
        <v>464</v>
      </c>
      <c r="V48" s="576" t="s">
        <v>464</v>
      </c>
      <c r="W48" s="576" t="s">
        <v>464</v>
      </c>
      <c r="X48" s="576" t="s">
        <v>464</v>
      </c>
      <c r="Y48" s="576" t="s">
        <v>464</v>
      </c>
      <c r="Z48" s="576" t="s">
        <v>464</v>
      </c>
      <c r="AA48" s="576" t="s">
        <v>464</v>
      </c>
      <c r="AB48" s="576" t="s">
        <v>464</v>
      </c>
      <c r="AC48" s="576" t="s">
        <v>464</v>
      </c>
      <c r="AD48" s="576" t="s">
        <v>464</v>
      </c>
      <c r="AE48" s="576" t="s">
        <v>464</v>
      </c>
      <c r="AF48" s="744"/>
      <c r="AG48" s="576" t="s">
        <v>464</v>
      </c>
      <c r="AH48" s="576" t="s">
        <v>464</v>
      </c>
      <c r="AI48" s="576" t="s">
        <v>464</v>
      </c>
      <c r="AJ48" s="576" t="s">
        <v>464</v>
      </c>
      <c r="AK48" s="576" t="s">
        <v>464</v>
      </c>
      <c r="AL48" s="576" t="s">
        <v>464</v>
      </c>
      <c r="AM48" s="576" t="s">
        <v>464</v>
      </c>
      <c r="AN48" s="576" t="s">
        <v>464</v>
      </c>
      <c r="AO48" s="576" t="s">
        <v>464</v>
      </c>
      <c r="AP48" s="576" t="s">
        <v>464</v>
      </c>
      <c r="AQ48" s="576" t="s">
        <v>464</v>
      </c>
      <c r="AR48" s="576" t="s">
        <v>464</v>
      </c>
      <c r="AS48" s="576" t="s">
        <v>464</v>
      </c>
      <c r="AT48" s="576" t="s">
        <v>464</v>
      </c>
      <c r="AU48" s="576" t="s">
        <v>464</v>
      </c>
      <c r="AV48" s="576" t="s">
        <v>464</v>
      </c>
      <c r="AW48" s="576" t="s">
        <v>464</v>
      </c>
      <c r="AX48" s="576" t="s">
        <v>464</v>
      </c>
      <c r="AY48" s="576" t="s">
        <v>464</v>
      </c>
      <c r="AZ48" s="576" t="s">
        <v>464</v>
      </c>
      <c r="BA48" s="576" t="s">
        <v>464</v>
      </c>
      <c r="BB48" s="576" t="s">
        <v>464</v>
      </c>
      <c r="BC48" s="576" t="s">
        <v>464</v>
      </c>
      <c r="BD48" s="576" t="s">
        <v>464</v>
      </c>
      <c r="BE48" s="744"/>
      <c r="BF48" s="576" t="s">
        <v>464</v>
      </c>
      <c r="BG48" s="576" t="s">
        <v>464</v>
      </c>
      <c r="BK48" s="688"/>
    </row>
    <row r="49" spans="1:59" ht="11.1" hidden="1" customHeight="1" x14ac:dyDescent="0.25">
      <c r="A49" s="575">
        <v>1</v>
      </c>
      <c r="B49" s="552">
        <f t="shared" ref="B49:AI49" si="7">IF($A6-1&lt;B$5,IF(B4&gt;0,B4,IF(B6&gt;0,0,B$4+B6)),0)</f>
        <v>1</v>
      </c>
      <c r="C49" s="553">
        <f t="shared" si="7"/>
        <v>1</v>
      </c>
      <c r="D49" s="553">
        <f t="shared" si="7"/>
        <v>0</v>
      </c>
      <c r="E49" s="553">
        <f t="shared" si="7"/>
        <v>1</v>
      </c>
      <c r="F49" s="553">
        <f t="shared" si="7"/>
        <v>1</v>
      </c>
      <c r="G49" s="554">
        <f t="shared" si="7"/>
        <v>0</v>
      </c>
      <c r="H49" s="552">
        <f t="shared" si="7"/>
        <v>1</v>
      </c>
      <c r="I49" s="553">
        <f t="shared" si="7"/>
        <v>0</v>
      </c>
      <c r="J49" s="553">
        <f t="shared" si="7"/>
        <v>1</v>
      </c>
      <c r="K49" s="553">
        <f>IF($A6-1&lt;K$5,IF(K4&gt;0,K4,IF(K6&gt;0,0,K$4+K6)),0)</f>
        <v>0</v>
      </c>
      <c r="L49" s="554">
        <f>IF($A6-1&lt;L$5,IF(L4&gt;0,L4,IF(L6&gt;0,0,L$4+L6)),0)</f>
        <v>0</v>
      </c>
      <c r="M49" s="554">
        <f>IF($A6-1&lt;M$5,IF(M4&gt;0,M4,IF(M6&gt;0,0,M$4+M6)),0)</f>
        <v>0</v>
      </c>
      <c r="N49" s="552">
        <f t="shared" si="7"/>
        <v>0</v>
      </c>
      <c r="O49" s="553">
        <f t="shared" si="7"/>
        <v>2</v>
      </c>
      <c r="P49" s="553">
        <f t="shared" si="7"/>
        <v>0</v>
      </c>
      <c r="Q49" s="553">
        <f t="shared" si="7"/>
        <v>0</v>
      </c>
      <c r="R49" s="553">
        <f t="shared" si="7"/>
        <v>0</v>
      </c>
      <c r="S49" s="553">
        <f t="shared" si="7"/>
        <v>0</v>
      </c>
      <c r="T49" s="553">
        <f t="shared" ref="T49" si="8">IF($A6-1&lt;T$5,IF(T4&gt;0,T4,IF(T6&gt;0,0,T$4+T6)),0)</f>
        <v>0</v>
      </c>
      <c r="U49" s="553">
        <f t="shared" si="7"/>
        <v>0</v>
      </c>
      <c r="V49" s="553">
        <f t="shared" si="7"/>
        <v>0</v>
      </c>
      <c r="W49" s="554">
        <f t="shared" si="7"/>
        <v>0</v>
      </c>
      <c r="X49" s="553">
        <f t="shared" si="7"/>
        <v>0</v>
      </c>
      <c r="Y49" s="553">
        <f t="shared" si="7"/>
        <v>0</v>
      </c>
      <c r="Z49" s="553">
        <f t="shared" si="7"/>
        <v>0</v>
      </c>
      <c r="AA49" s="553">
        <f t="shared" si="7"/>
        <v>0</v>
      </c>
      <c r="AB49" s="553">
        <f t="shared" si="7"/>
        <v>0</v>
      </c>
      <c r="AC49" s="553">
        <f t="shared" si="7"/>
        <v>0</v>
      </c>
      <c r="AD49" s="552">
        <f t="shared" si="7"/>
        <v>0</v>
      </c>
      <c r="AE49" s="554">
        <f>IF($A6-1&lt;AE$5,IF(AE4&gt;0,AE4,IF(AE6&gt;0,0,AE$4+AE6)),0)</f>
        <v>0</v>
      </c>
      <c r="AF49" s="577">
        <f>IF($A6-1&lt;AF$5,IF(AF4&gt;0,AF4,IF(AF6&gt;0,0,AF$4+AF6)),0)</f>
        <v>0</v>
      </c>
      <c r="AG49" s="552">
        <f t="shared" si="7"/>
        <v>0</v>
      </c>
      <c r="AH49" s="553">
        <f t="shared" si="7"/>
        <v>0</v>
      </c>
      <c r="AI49" s="553">
        <f t="shared" si="7"/>
        <v>0</v>
      </c>
      <c r="AJ49" s="553">
        <f t="shared" ref="AJ49:BG49" si="9">IF($A6-1&lt;AJ$5,IF(AJ4&gt;0,AJ4,IF(AJ6&gt;0,0,AJ$4+AJ6)),0)</f>
        <v>0</v>
      </c>
      <c r="AK49" s="554">
        <f t="shared" si="9"/>
        <v>0</v>
      </c>
      <c r="AL49" s="554">
        <f t="shared" si="9"/>
        <v>0</v>
      </c>
      <c r="AM49" s="554">
        <f t="shared" si="9"/>
        <v>0</v>
      </c>
      <c r="AN49" s="554">
        <f t="shared" si="9"/>
        <v>0</v>
      </c>
      <c r="AO49" s="552">
        <f t="shared" si="9"/>
        <v>0</v>
      </c>
      <c r="AP49" s="553">
        <f t="shared" si="9"/>
        <v>0</v>
      </c>
      <c r="AQ49" s="553">
        <f t="shared" si="9"/>
        <v>0</v>
      </c>
      <c r="AR49" s="553">
        <f t="shared" si="9"/>
        <v>0</v>
      </c>
      <c r="AS49" s="553">
        <f t="shared" si="9"/>
        <v>0</v>
      </c>
      <c r="AT49" s="553">
        <f t="shared" si="9"/>
        <v>0</v>
      </c>
      <c r="AU49" s="553">
        <f t="shared" si="9"/>
        <v>0</v>
      </c>
      <c r="AV49" s="553">
        <f t="shared" si="9"/>
        <v>0</v>
      </c>
      <c r="AW49" s="553">
        <f t="shared" si="9"/>
        <v>0</v>
      </c>
      <c r="AX49" s="554">
        <f t="shared" si="9"/>
        <v>0</v>
      </c>
      <c r="AY49" s="552">
        <f t="shared" si="9"/>
        <v>0</v>
      </c>
      <c r="AZ49" s="553">
        <f t="shared" si="9"/>
        <v>0</v>
      </c>
      <c r="BA49" s="552">
        <f t="shared" si="9"/>
        <v>0</v>
      </c>
      <c r="BB49" s="553">
        <f t="shared" si="9"/>
        <v>0</v>
      </c>
      <c r="BC49" s="554">
        <f t="shared" si="9"/>
        <v>0</v>
      </c>
      <c r="BD49" s="553">
        <f>IF($A6-1&lt;BD$5,IF(BD4&gt;0,BD4,IF(BD6&gt;0,0,BD$4+BD6)),0)</f>
        <v>0</v>
      </c>
      <c r="BE49" s="577">
        <f t="shared" si="9"/>
        <v>0</v>
      </c>
      <c r="BF49" s="552">
        <f t="shared" si="9"/>
        <v>0</v>
      </c>
      <c r="BG49" s="554">
        <f t="shared" si="9"/>
        <v>0</v>
      </c>
    </row>
    <row r="50" spans="1:59" ht="11.1" hidden="1" customHeight="1" x14ac:dyDescent="0.25">
      <c r="A50" s="574">
        <v>2</v>
      </c>
      <c r="B50" s="98">
        <f t="shared" ref="B50:B65" si="10">IF($A6&lt;B$5,IF(B49&lt;&gt;0,B49+B6,B6),0)</f>
        <v>1</v>
      </c>
      <c r="C50" s="340">
        <f t="shared" ref="C50:C65" si="11">IF($A6&lt;C$5,IF(C49&lt;&gt;0,C49+C6,C6),0)</f>
        <v>1</v>
      </c>
      <c r="D50" s="340">
        <f t="shared" ref="D50:D65" si="12">IF($A6&lt;D$5,IF(D49&lt;&gt;0,D49+D6,D6),0)</f>
        <v>0</v>
      </c>
      <c r="E50" s="340">
        <f t="shared" ref="E50:E65" si="13">IF($A6&lt;E$5,IF(E49&lt;&gt;0,E49+E6,E6),0)</f>
        <v>0</v>
      </c>
      <c r="F50" s="340">
        <f t="shared" ref="F50:F65" si="14">IF($A6&lt;F$5,IF(F49&lt;&gt;0,F49+F6,F6),0)</f>
        <v>0</v>
      </c>
      <c r="G50" s="465">
        <f t="shared" ref="G50:G65" si="15">IF($A6&lt;G$5,IF(G49&lt;&gt;0,G49+G6,G6),0)</f>
        <v>0</v>
      </c>
      <c r="H50" s="98">
        <f t="shared" ref="H50:H65" si="16">IF($A6&lt;H$5,IF(H49&lt;&gt;0,H49+H6,H6),0)</f>
        <v>1</v>
      </c>
      <c r="I50" s="340">
        <f t="shared" ref="I50:I65" si="17">IF($A6&lt;I$5,IF(I49&lt;&gt;0,I49+I6,I6),0)</f>
        <v>0</v>
      </c>
      <c r="J50" s="340">
        <f t="shared" ref="J50:J65" si="18">IF($A6&lt;J$5,IF(J49&lt;&gt;0,J49+J6,J6),0)</f>
        <v>0</v>
      </c>
      <c r="K50" s="340">
        <f>IF($A6&lt;K$5,IF(K49&lt;&gt;0,K49+K6,K6),0)</f>
        <v>0</v>
      </c>
      <c r="L50" s="465">
        <f>IF($A6&lt;L$5,IF(L49&lt;&gt;0,L49+L6,L6),0)</f>
        <v>0</v>
      </c>
      <c r="M50" s="465">
        <f>IF($A6&lt;M$5,IF(M49&lt;&gt;0,M49+M6,M6),0)</f>
        <v>0</v>
      </c>
      <c r="N50" s="98">
        <f t="shared" ref="N50:N65" si="19">IF($A6&lt;N$5,IF(N49&lt;&gt;0,N49+N6,N6),0)</f>
        <v>0</v>
      </c>
      <c r="O50" s="340">
        <f t="shared" ref="O50:O65" si="20">IF($A6&lt;O$5,IF(O49&lt;&gt;0,O49+O6,O6),0)</f>
        <v>2</v>
      </c>
      <c r="P50" s="340">
        <f t="shared" ref="P50:P65" si="21">IF($A6&lt;P$5,IF(P49&lt;&gt;0,P49+P6,P6),0)</f>
        <v>0</v>
      </c>
      <c r="Q50" s="340">
        <f t="shared" ref="Q50:Q65" si="22">IF($A6&lt;Q$5,IF(Q49&lt;&gt;0,Q49+Q6,Q6),0)</f>
        <v>0</v>
      </c>
      <c r="R50" s="340">
        <f t="shared" ref="R50:R65" si="23">IF($A6&lt;R$5,IF(R49&lt;&gt;0,R49+R6,R6),0)</f>
        <v>0</v>
      </c>
      <c r="S50" s="340">
        <f t="shared" ref="S50:S65" si="24">IF($A6&lt;S$5,IF(S49&lt;&gt;0,S49+S6,S6),0)</f>
        <v>0</v>
      </c>
      <c r="T50" s="340">
        <f t="shared" ref="T50:U65" si="25">IF($A6&lt;T$5,IF(T49&lt;&gt;0,T49+T6,T6),0)</f>
        <v>0</v>
      </c>
      <c r="U50" s="340">
        <f t="shared" si="25"/>
        <v>0</v>
      </c>
      <c r="V50" s="340">
        <f t="shared" ref="V50:V65" si="26">IF($A6&lt;V$5,IF(V49&lt;&gt;0,V49+V6,V6),0)</f>
        <v>0</v>
      </c>
      <c r="W50" s="465">
        <f t="shared" ref="W50:W65" si="27">IF($A6&lt;W$5,IF(W49&lt;&gt;0,W49+W6,W6),0)</f>
        <v>0</v>
      </c>
      <c r="X50" s="340">
        <f t="shared" ref="X50:X65" si="28">IF($A6&lt;X$5,IF(X49&lt;&gt;0,X49+X6,X6),0)</f>
        <v>0</v>
      </c>
      <c r="Y50" s="340">
        <f t="shared" ref="Y50:Y65" si="29">IF($A6&lt;Y$5,IF(Y49&lt;&gt;0,Y49+Y6,Y6),0)</f>
        <v>0</v>
      </c>
      <c r="Z50" s="340">
        <f t="shared" ref="Z50:Z65" si="30">IF($A6&lt;Z$5,IF(Z49&lt;&gt;0,Z49+Z6,Z6),0)</f>
        <v>0</v>
      </c>
      <c r="AA50" s="340">
        <f t="shared" ref="AA50:AA65" si="31">IF($A6&lt;AA$5,IF(AA49&lt;&gt;0,AA49+AA6,AA6),0)</f>
        <v>0</v>
      </c>
      <c r="AB50" s="340">
        <f t="shared" ref="AB50:AB65" si="32">IF($A6&lt;AB$5,IF(AB49&lt;&gt;0,AB49+AB6,AB6),0)</f>
        <v>0</v>
      </c>
      <c r="AC50" s="340">
        <f t="shared" ref="AC50:AC65" si="33">IF($A6&lt;AC$5,IF(AC49&lt;&gt;0,AC49+AC6,AC6),0)</f>
        <v>0</v>
      </c>
      <c r="AD50" s="98">
        <f t="shared" ref="AD50:AD65" si="34">IF($A6&lt;AD$5,IF(AD49&lt;&gt;0,AD49+AD6,AD6),0)</f>
        <v>0</v>
      </c>
      <c r="AE50" s="465">
        <f t="shared" ref="AE50:AE65" si="35">IF($A6&lt;AE$5,IF(AE49&lt;&gt;0,AE49+AE6,AE6),0)</f>
        <v>1</v>
      </c>
      <c r="AF50" s="578">
        <f t="shared" ref="AF50:AF65" si="36">IF($A6&lt;AF$5,IF(AF49&lt;&gt;0,AF49+AF6,AF6),0)</f>
        <v>0</v>
      </c>
      <c r="AG50" s="98">
        <f t="shared" ref="AG50:AG65" si="37">IF($A6&lt;AG$5,IF(AG49&lt;&gt;0,AG49+AG6,AG6),0)</f>
        <v>0</v>
      </c>
      <c r="AH50" s="340">
        <f t="shared" ref="AH50:AH65" si="38">IF($A6&lt;AH$5,IF(AH49&lt;&gt;0,AH49+AH6,AH6),0)</f>
        <v>0</v>
      </c>
      <c r="AI50" s="340">
        <f t="shared" ref="AI50:AI65" si="39">IF($A6&lt;AI$5,IF(AI49&lt;&gt;0,AI49+AI6,AI6),0)</f>
        <v>0</v>
      </c>
      <c r="AJ50" s="340">
        <f t="shared" ref="AJ50:AJ65" si="40">IF($A6&lt;AJ$5,IF(AJ49&lt;&gt;0,AJ49+AJ6,AJ6),0)</f>
        <v>0</v>
      </c>
      <c r="AK50" s="465">
        <f t="shared" ref="AK50:AN65" si="41">IF($A6&lt;AK$5,IF(AK49&lt;&gt;0,AK49+AK6,AK6),0)</f>
        <v>0</v>
      </c>
      <c r="AL50" s="465">
        <f t="shared" si="41"/>
        <v>0</v>
      </c>
      <c r="AM50" s="465">
        <f t="shared" si="41"/>
        <v>0</v>
      </c>
      <c r="AN50" s="465">
        <f t="shared" si="41"/>
        <v>0</v>
      </c>
      <c r="AO50" s="98">
        <f t="shared" ref="AO50:AO65" si="42">IF($A6&lt;AO$5,IF(AO49&lt;&gt;0,AO49+AO6,AO6),0)</f>
        <v>0</v>
      </c>
      <c r="AP50" s="340">
        <f t="shared" ref="AP50:AP65" si="43">IF($A6&lt;AP$5,IF(AP49&lt;&gt;0,AP49+AP6,AP6),0)</f>
        <v>0</v>
      </c>
      <c r="AQ50" s="340">
        <f t="shared" ref="AQ50:AQ65" si="44">IF($A6&lt;AQ$5,IF(AQ49&lt;&gt;0,AQ49+AQ6,AQ6),0)</f>
        <v>0</v>
      </c>
      <c r="AR50" s="340">
        <f t="shared" ref="AR50:AR65" si="45">IF($A6&lt;AR$5,IF(AR49&lt;&gt;0,AR49+AR6,AR6),0)</f>
        <v>0</v>
      </c>
      <c r="AS50" s="340">
        <f t="shared" ref="AS50:AS65" si="46">IF($A6&lt;AS$5,IF(AS49&lt;&gt;0,AS49+AS6,AS6),0)</f>
        <v>0</v>
      </c>
      <c r="AT50" s="340">
        <f t="shared" ref="AT50:AT65" si="47">IF($A6&lt;AT$5,IF(AT49&lt;&gt;0,AT49+AT6,AT6),0)</f>
        <v>0</v>
      </c>
      <c r="AU50" s="340">
        <f t="shared" ref="AU50:AU65" si="48">IF($A6&lt;AU$5,IF(AU49&lt;&gt;0,AU49+AU6,AU6),0)</f>
        <v>0</v>
      </c>
      <c r="AV50" s="340">
        <f t="shared" ref="AV50:AV65" si="49">IF($A6&lt;AV$5,IF(AV49&lt;&gt;0,AV49+AV6,AV6),0)</f>
        <v>0</v>
      </c>
      <c r="AW50" s="340">
        <f t="shared" ref="AW50:AW65" si="50">IF($A6&lt;AW$5,IF(AW49&lt;&gt;0,AW49+AW6,AW6),0)</f>
        <v>0</v>
      </c>
      <c r="AX50" s="465">
        <f t="shared" ref="AX50:AX65" si="51">IF($A6&lt;AX$5,IF(AX49&lt;&gt;0,AX49+AX6,AX6),0)</f>
        <v>0</v>
      </c>
      <c r="AY50" s="98">
        <f t="shared" ref="AY50:AY65" si="52">IF($A6&lt;AY$5,IF(AY49&lt;&gt;0,AY49+AY6,AY6),0)</f>
        <v>0</v>
      </c>
      <c r="AZ50" s="340">
        <f t="shared" ref="AZ50:AZ65" si="53">IF($A6&lt;AZ$5,IF(AZ49&lt;&gt;0,AZ49+AZ6,AZ6),0)</f>
        <v>0</v>
      </c>
      <c r="BA50" s="98">
        <f t="shared" ref="BA50:BA65" si="54">IF($A6&lt;BA$5,IF(BA49&lt;&gt;0,BA49+BA6,BA6),0)</f>
        <v>0</v>
      </c>
      <c r="BB50" s="340">
        <f t="shared" ref="BB50:BB65" si="55">IF($A6&lt;BB$5,IF(BB49&lt;&gt;0,BB49+BB6,BB6),0)</f>
        <v>0</v>
      </c>
      <c r="BC50" s="465">
        <f t="shared" ref="BC50:BC65" si="56">IF($A6&lt;BC$5,IF(BC49&lt;&gt;0,BC49+BC6,BC6),0)</f>
        <v>0</v>
      </c>
      <c r="BD50" s="340">
        <f t="shared" ref="BD50:BD69" si="57">IF($A6&lt;BD$5,IF(BD49&lt;&gt;0,BD49+BD6,BD6),0)</f>
        <v>0</v>
      </c>
      <c r="BE50" s="578">
        <f t="shared" ref="BE50:BE65" si="58">IF($A6&lt;BE$5,IF(BE49&lt;&gt;0,BE49+BE6,BE6),0)</f>
        <v>0</v>
      </c>
      <c r="BF50" s="98">
        <f t="shared" ref="BF50:BF65" si="59">IF($A6&lt;BF$5,IF(BF49&lt;&gt;0,BF49+BF6,BF6),0)</f>
        <v>0</v>
      </c>
      <c r="BG50" s="465">
        <f t="shared" ref="BG50:BG65" si="60">IF($A6&lt;BG$5,IF(BG49&lt;&gt;0,BG49+BG6,BG6),0)</f>
        <v>0</v>
      </c>
    </row>
    <row r="51" spans="1:59" ht="11.1" hidden="1" customHeight="1" x14ac:dyDescent="0.25">
      <c r="A51" s="574">
        <v>3</v>
      </c>
      <c r="B51" s="98">
        <f t="shared" si="10"/>
        <v>0</v>
      </c>
      <c r="C51" s="340">
        <f t="shared" si="11"/>
        <v>0</v>
      </c>
      <c r="D51" s="340">
        <f t="shared" si="12"/>
        <v>0</v>
      </c>
      <c r="E51" s="340">
        <f t="shared" si="13"/>
        <v>0</v>
      </c>
      <c r="F51" s="340">
        <f t="shared" si="14"/>
        <v>0</v>
      </c>
      <c r="G51" s="465">
        <f t="shared" si="15"/>
        <v>0</v>
      </c>
      <c r="H51" s="98">
        <f t="shared" si="16"/>
        <v>1</v>
      </c>
      <c r="I51" s="340">
        <f t="shared" si="17"/>
        <v>0</v>
      </c>
      <c r="J51" s="340">
        <f t="shared" si="18"/>
        <v>0</v>
      </c>
      <c r="K51" s="340">
        <f t="shared" ref="K51:K65" si="61">IF($A7&lt;K$5,IF(K50&lt;&gt;0,K50+K7,K7),0)</f>
        <v>0</v>
      </c>
      <c r="L51" s="465">
        <f>IF($A7&lt;L$5,IF(L50&lt;&gt;0,L50+L7,L7),0)</f>
        <v>0</v>
      </c>
      <c r="M51" s="465">
        <f t="shared" ref="M51:M88" si="62">IF($A7&lt;M$5,IF(M50&lt;&gt;0,M50+M7,M7),0)</f>
        <v>0</v>
      </c>
      <c r="N51" s="98">
        <f t="shared" si="19"/>
        <v>0</v>
      </c>
      <c r="O51" s="340">
        <f t="shared" si="20"/>
        <v>0</v>
      </c>
      <c r="P51" s="340">
        <f t="shared" si="21"/>
        <v>0</v>
      </c>
      <c r="Q51" s="340">
        <f t="shared" si="22"/>
        <v>0</v>
      </c>
      <c r="R51" s="340">
        <f t="shared" si="23"/>
        <v>0</v>
      </c>
      <c r="S51" s="340">
        <f t="shared" si="24"/>
        <v>0</v>
      </c>
      <c r="T51" s="340">
        <f t="shared" si="25"/>
        <v>0</v>
      </c>
      <c r="U51" s="340">
        <f t="shared" si="25"/>
        <v>0</v>
      </c>
      <c r="V51" s="340">
        <f t="shared" si="26"/>
        <v>0</v>
      </c>
      <c r="W51" s="465">
        <f t="shared" si="27"/>
        <v>0</v>
      </c>
      <c r="X51" s="340">
        <f t="shared" si="28"/>
        <v>0</v>
      </c>
      <c r="Y51" s="340">
        <f t="shared" si="29"/>
        <v>0</v>
      </c>
      <c r="Z51" s="340">
        <f t="shared" si="30"/>
        <v>0</v>
      </c>
      <c r="AA51" s="340">
        <f t="shared" si="31"/>
        <v>0</v>
      </c>
      <c r="AB51" s="340">
        <f t="shared" si="32"/>
        <v>0</v>
      </c>
      <c r="AC51" s="340">
        <f t="shared" si="33"/>
        <v>0</v>
      </c>
      <c r="AD51" s="98">
        <f t="shared" si="34"/>
        <v>0</v>
      </c>
      <c r="AE51" s="465">
        <f t="shared" si="35"/>
        <v>0</v>
      </c>
      <c r="AF51" s="578">
        <f t="shared" si="36"/>
        <v>0</v>
      </c>
      <c r="AG51" s="98">
        <f t="shared" si="37"/>
        <v>0</v>
      </c>
      <c r="AH51" s="340">
        <f t="shared" si="38"/>
        <v>0</v>
      </c>
      <c r="AI51" s="340">
        <f t="shared" si="39"/>
        <v>0</v>
      </c>
      <c r="AJ51" s="340">
        <f t="shared" si="40"/>
        <v>0</v>
      </c>
      <c r="AK51" s="465">
        <f t="shared" si="41"/>
        <v>0</v>
      </c>
      <c r="AL51" s="465">
        <f t="shared" ref="AL51:AN51" si="63">IF($A7&lt;AL$5,IF(AL50&lt;&gt;0,AL50+AL7,AL7),0)</f>
        <v>0</v>
      </c>
      <c r="AM51" s="465">
        <f t="shared" si="63"/>
        <v>0</v>
      </c>
      <c r="AN51" s="465">
        <f t="shared" si="63"/>
        <v>0</v>
      </c>
      <c r="AO51" s="98">
        <f t="shared" si="42"/>
        <v>0</v>
      </c>
      <c r="AP51" s="340">
        <f t="shared" si="43"/>
        <v>0</v>
      </c>
      <c r="AQ51" s="340">
        <f t="shared" si="44"/>
        <v>0</v>
      </c>
      <c r="AR51" s="340">
        <f t="shared" si="45"/>
        <v>0</v>
      </c>
      <c r="AS51" s="340">
        <f t="shared" si="46"/>
        <v>0</v>
      </c>
      <c r="AT51" s="340">
        <f t="shared" si="47"/>
        <v>0</v>
      </c>
      <c r="AU51" s="340">
        <f t="shared" si="48"/>
        <v>0</v>
      </c>
      <c r="AV51" s="340">
        <f t="shared" si="49"/>
        <v>0</v>
      </c>
      <c r="AW51" s="340">
        <f t="shared" si="50"/>
        <v>0</v>
      </c>
      <c r="AX51" s="465">
        <f t="shared" si="51"/>
        <v>0</v>
      </c>
      <c r="AY51" s="98">
        <f t="shared" si="52"/>
        <v>0</v>
      </c>
      <c r="AZ51" s="340">
        <f t="shared" si="53"/>
        <v>0</v>
      </c>
      <c r="BA51" s="98">
        <f t="shared" si="54"/>
        <v>0</v>
      </c>
      <c r="BB51" s="340">
        <f t="shared" si="55"/>
        <v>0</v>
      </c>
      <c r="BC51" s="465">
        <f t="shared" si="56"/>
        <v>0</v>
      </c>
      <c r="BD51" s="340">
        <f t="shared" si="57"/>
        <v>0</v>
      </c>
      <c r="BE51" s="578">
        <f t="shared" si="58"/>
        <v>0</v>
      </c>
      <c r="BF51" s="98">
        <f t="shared" si="59"/>
        <v>0</v>
      </c>
      <c r="BG51" s="465">
        <f t="shared" si="60"/>
        <v>0</v>
      </c>
    </row>
    <row r="52" spans="1:59" ht="11.1" hidden="1" customHeight="1" x14ac:dyDescent="0.25">
      <c r="A52" s="574">
        <v>4</v>
      </c>
      <c r="B52" s="98">
        <f t="shared" si="10"/>
        <v>0</v>
      </c>
      <c r="C52" s="340">
        <f t="shared" si="11"/>
        <v>0</v>
      </c>
      <c r="D52" s="340">
        <f t="shared" si="12"/>
        <v>0</v>
      </c>
      <c r="E52" s="340">
        <f t="shared" si="13"/>
        <v>0</v>
      </c>
      <c r="F52" s="340">
        <f t="shared" si="14"/>
        <v>0</v>
      </c>
      <c r="G52" s="465">
        <f t="shared" si="15"/>
        <v>0</v>
      </c>
      <c r="H52" s="98">
        <f t="shared" si="16"/>
        <v>0</v>
      </c>
      <c r="I52" s="340">
        <f t="shared" si="17"/>
        <v>0</v>
      </c>
      <c r="J52" s="340">
        <f t="shared" si="18"/>
        <v>0</v>
      </c>
      <c r="K52" s="340">
        <f t="shared" si="61"/>
        <v>0</v>
      </c>
      <c r="L52" s="465">
        <f>IF($A8&lt;L$5,IF(L51&lt;&gt;0,L51+L8,L8),0)</f>
        <v>0</v>
      </c>
      <c r="M52" s="465">
        <f t="shared" si="62"/>
        <v>0</v>
      </c>
      <c r="N52" s="98">
        <f t="shared" si="19"/>
        <v>0</v>
      </c>
      <c r="O52" s="340">
        <f t="shared" si="20"/>
        <v>0</v>
      </c>
      <c r="P52" s="340">
        <f t="shared" si="21"/>
        <v>0</v>
      </c>
      <c r="Q52" s="340">
        <f t="shared" si="22"/>
        <v>0</v>
      </c>
      <c r="R52" s="340">
        <f t="shared" si="23"/>
        <v>0</v>
      </c>
      <c r="S52" s="340">
        <f t="shared" si="24"/>
        <v>0</v>
      </c>
      <c r="T52" s="340">
        <f t="shared" si="25"/>
        <v>0</v>
      </c>
      <c r="U52" s="340">
        <f t="shared" si="25"/>
        <v>0</v>
      </c>
      <c r="V52" s="340">
        <f t="shared" si="26"/>
        <v>0</v>
      </c>
      <c r="W52" s="465">
        <f t="shared" si="27"/>
        <v>0</v>
      </c>
      <c r="X52" s="340">
        <f t="shared" si="28"/>
        <v>0</v>
      </c>
      <c r="Y52" s="340">
        <f t="shared" si="29"/>
        <v>0</v>
      </c>
      <c r="Z52" s="340">
        <f t="shared" si="30"/>
        <v>0</v>
      </c>
      <c r="AA52" s="340">
        <f t="shared" si="31"/>
        <v>0</v>
      </c>
      <c r="AB52" s="340">
        <f t="shared" si="32"/>
        <v>0</v>
      </c>
      <c r="AC52" s="340">
        <f t="shared" si="33"/>
        <v>0</v>
      </c>
      <c r="AD52" s="98">
        <f t="shared" si="34"/>
        <v>0</v>
      </c>
      <c r="AE52" s="465">
        <f t="shared" si="35"/>
        <v>0</v>
      </c>
      <c r="AF52" s="578">
        <f t="shared" si="36"/>
        <v>0</v>
      </c>
      <c r="AG52" s="98">
        <f t="shared" si="37"/>
        <v>0</v>
      </c>
      <c r="AH52" s="340">
        <f t="shared" si="38"/>
        <v>0</v>
      </c>
      <c r="AI52" s="340">
        <f t="shared" si="39"/>
        <v>0</v>
      </c>
      <c r="AJ52" s="340">
        <f t="shared" si="40"/>
        <v>0</v>
      </c>
      <c r="AK52" s="465">
        <f t="shared" si="41"/>
        <v>0</v>
      </c>
      <c r="AL52" s="465">
        <f t="shared" ref="AL52:AN52" si="64">IF($A8&lt;AL$5,IF(AL51&lt;&gt;0,AL51+AL8,AL8),0)</f>
        <v>0</v>
      </c>
      <c r="AM52" s="465">
        <f t="shared" si="64"/>
        <v>0</v>
      </c>
      <c r="AN52" s="465">
        <f t="shared" si="64"/>
        <v>0</v>
      </c>
      <c r="AO52" s="98">
        <f t="shared" si="42"/>
        <v>0</v>
      </c>
      <c r="AP52" s="340">
        <f t="shared" si="43"/>
        <v>0</v>
      </c>
      <c r="AQ52" s="340">
        <f t="shared" si="44"/>
        <v>0</v>
      </c>
      <c r="AR52" s="340">
        <f t="shared" si="45"/>
        <v>0</v>
      </c>
      <c r="AS52" s="340">
        <f t="shared" si="46"/>
        <v>0</v>
      </c>
      <c r="AT52" s="340">
        <f t="shared" si="47"/>
        <v>0</v>
      </c>
      <c r="AU52" s="340">
        <f t="shared" si="48"/>
        <v>0</v>
      </c>
      <c r="AV52" s="340">
        <f t="shared" si="49"/>
        <v>0</v>
      </c>
      <c r="AW52" s="340">
        <f t="shared" si="50"/>
        <v>0</v>
      </c>
      <c r="AX52" s="465">
        <f t="shared" si="51"/>
        <v>0</v>
      </c>
      <c r="AY52" s="98">
        <f t="shared" si="52"/>
        <v>0</v>
      </c>
      <c r="AZ52" s="340">
        <f t="shared" si="53"/>
        <v>0</v>
      </c>
      <c r="BA52" s="98">
        <f t="shared" si="54"/>
        <v>0</v>
      </c>
      <c r="BB52" s="340">
        <f t="shared" si="55"/>
        <v>0</v>
      </c>
      <c r="BC52" s="465">
        <f t="shared" si="56"/>
        <v>0</v>
      </c>
      <c r="BD52" s="340">
        <f t="shared" si="57"/>
        <v>0</v>
      </c>
      <c r="BE52" s="578">
        <f t="shared" si="58"/>
        <v>0</v>
      </c>
      <c r="BF52" s="98">
        <f t="shared" si="59"/>
        <v>0</v>
      </c>
      <c r="BG52" s="465">
        <f t="shared" si="60"/>
        <v>0</v>
      </c>
    </row>
    <row r="53" spans="1:59" ht="11.1" hidden="1" customHeight="1" x14ac:dyDescent="0.25">
      <c r="A53" s="574">
        <v>5</v>
      </c>
      <c r="B53" s="98">
        <f t="shared" si="10"/>
        <v>0</v>
      </c>
      <c r="C53" s="340">
        <f t="shared" si="11"/>
        <v>0</v>
      </c>
      <c r="D53" s="340">
        <f t="shared" si="12"/>
        <v>0</v>
      </c>
      <c r="E53" s="340">
        <f t="shared" si="13"/>
        <v>0</v>
      </c>
      <c r="F53" s="340">
        <f t="shared" si="14"/>
        <v>0</v>
      </c>
      <c r="G53" s="465">
        <f t="shared" si="15"/>
        <v>0</v>
      </c>
      <c r="H53" s="98">
        <f t="shared" si="16"/>
        <v>0</v>
      </c>
      <c r="I53" s="340">
        <f t="shared" si="17"/>
        <v>0</v>
      </c>
      <c r="J53" s="340">
        <f t="shared" si="18"/>
        <v>0</v>
      </c>
      <c r="K53" s="340">
        <f t="shared" si="61"/>
        <v>0</v>
      </c>
      <c r="L53" s="465">
        <f t="shared" ref="L53:L65" si="65">IF($A9&lt;L$5,IF(L52&lt;&gt;0,L52+L9,L9),0)</f>
        <v>0</v>
      </c>
      <c r="M53" s="465">
        <f t="shared" si="62"/>
        <v>0</v>
      </c>
      <c r="N53" s="98">
        <f t="shared" si="19"/>
        <v>0</v>
      </c>
      <c r="O53" s="340">
        <f t="shared" si="20"/>
        <v>0</v>
      </c>
      <c r="P53" s="340">
        <f t="shared" si="21"/>
        <v>0</v>
      </c>
      <c r="Q53" s="340">
        <f t="shared" si="22"/>
        <v>0</v>
      </c>
      <c r="R53" s="340">
        <f t="shared" si="23"/>
        <v>0</v>
      </c>
      <c r="S53" s="340">
        <f t="shared" si="24"/>
        <v>0</v>
      </c>
      <c r="T53" s="340">
        <f t="shared" si="25"/>
        <v>0</v>
      </c>
      <c r="U53" s="340">
        <f t="shared" si="25"/>
        <v>0</v>
      </c>
      <c r="V53" s="340">
        <f t="shared" si="26"/>
        <v>0</v>
      </c>
      <c r="W53" s="465">
        <f t="shared" si="27"/>
        <v>0</v>
      </c>
      <c r="X53" s="340">
        <f t="shared" si="28"/>
        <v>0</v>
      </c>
      <c r="Y53" s="340">
        <f t="shared" si="29"/>
        <v>0</v>
      </c>
      <c r="Z53" s="340">
        <f t="shared" si="30"/>
        <v>0</v>
      </c>
      <c r="AA53" s="340">
        <f t="shared" si="31"/>
        <v>0</v>
      </c>
      <c r="AB53" s="340">
        <f t="shared" si="32"/>
        <v>0</v>
      </c>
      <c r="AC53" s="340">
        <f t="shared" si="33"/>
        <v>0</v>
      </c>
      <c r="AD53" s="98">
        <f t="shared" si="34"/>
        <v>0</v>
      </c>
      <c r="AE53" s="465">
        <f t="shared" si="35"/>
        <v>0</v>
      </c>
      <c r="AF53" s="578">
        <f t="shared" si="36"/>
        <v>0</v>
      </c>
      <c r="AG53" s="98">
        <f t="shared" si="37"/>
        <v>0</v>
      </c>
      <c r="AH53" s="340">
        <f t="shared" si="38"/>
        <v>0</v>
      </c>
      <c r="AI53" s="340">
        <f t="shared" si="39"/>
        <v>0</v>
      </c>
      <c r="AJ53" s="340">
        <f t="shared" si="40"/>
        <v>0</v>
      </c>
      <c r="AK53" s="465">
        <f t="shared" si="41"/>
        <v>0</v>
      </c>
      <c r="AL53" s="465">
        <f t="shared" ref="AL53:AN53" si="66">IF($A9&lt;AL$5,IF(AL52&lt;&gt;0,AL52+AL9,AL9),0)</f>
        <v>0</v>
      </c>
      <c r="AM53" s="465">
        <f t="shared" si="66"/>
        <v>0</v>
      </c>
      <c r="AN53" s="465">
        <f t="shared" si="66"/>
        <v>0</v>
      </c>
      <c r="AO53" s="98">
        <f t="shared" si="42"/>
        <v>0</v>
      </c>
      <c r="AP53" s="340">
        <f t="shared" si="43"/>
        <v>0</v>
      </c>
      <c r="AQ53" s="340">
        <f t="shared" si="44"/>
        <v>0</v>
      </c>
      <c r="AR53" s="340">
        <f t="shared" si="45"/>
        <v>0</v>
      </c>
      <c r="AS53" s="340">
        <f t="shared" si="46"/>
        <v>0</v>
      </c>
      <c r="AT53" s="340">
        <f t="shared" si="47"/>
        <v>0</v>
      </c>
      <c r="AU53" s="340">
        <f t="shared" si="48"/>
        <v>0</v>
      </c>
      <c r="AV53" s="340">
        <f t="shared" si="49"/>
        <v>0</v>
      </c>
      <c r="AW53" s="340">
        <f t="shared" si="50"/>
        <v>0</v>
      </c>
      <c r="AX53" s="465">
        <f t="shared" si="51"/>
        <v>0</v>
      </c>
      <c r="AY53" s="98">
        <f t="shared" si="52"/>
        <v>0</v>
      </c>
      <c r="AZ53" s="340">
        <f t="shared" si="53"/>
        <v>0</v>
      </c>
      <c r="BA53" s="98">
        <f t="shared" si="54"/>
        <v>0</v>
      </c>
      <c r="BB53" s="340">
        <f t="shared" si="55"/>
        <v>0</v>
      </c>
      <c r="BC53" s="465">
        <f t="shared" si="56"/>
        <v>0</v>
      </c>
      <c r="BD53" s="340">
        <f t="shared" si="57"/>
        <v>0</v>
      </c>
      <c r="BE53" s="578">
        <f t="shared" si="58"/>
        <v>0</v>
      </c>
      <c r="BF53" s="98">
        <f t="shared" si="59"/>
        <v>0</v>
      </c>
      <c r="BG53" s="465">
        <f t="shared" si="60"/>
        <v>0</v>
      </c>
    </row>
    <row r="54" spans="1:59" ht="11.1" hidden="1" customHeight="1" x14ac:dyDescent="0.25">
      <c r="A54" s="574">
        <v>6</v>
      </c>
      <c r="B54" s="98">
        <f t="shared" si="10"/>
        <v>0</v>
      </c>
      <c r="C54" s="340">
        <f t="shared" si="11"/>
        <v>0</v>
      </c>
      <c r="D54" s="340">
        <f t="shared" si="12"/>
        <v>0</v>
      </c>
      <c r="E54" s="340">
        <f t="shared" si="13"/>
        <v>0</v>
      </c>
      <c r="F54" s="340">
        <f t="shared" si="14"/>
        <v>0</v>
      </c>
      <c r="G54" s="465">
        <f t="shared" si="15"/>
        <v>0</v>
      </c>
      <c r="H54" s="98">
        <f t="shared" si="16"/>
        <v>0</v>
      </c>
      <c r="I54" s="340">
        <f t="shared" si="17"/>
        <v>0</v>
      </c>
      <c r="J54" s="340">
        <f t="shared" si="18"/>
        <v>0</v>
      </c>
      <c r="K54" s="340">
        <f t="shared" si="61"/>
        <v>0</v>
      </c>
      <c r="L54" s="465">
        <f t="shared" si="65"/>
        <v>0</v>
      </c>
      <c r="M54" s="465">
        <f t="shared" si="62"/>
        <v>0</v>
      </c>
      <c r="N54" s="98">
        <f t="shared" si="19"/>
        <v>0</v>
      </c>
      <c r="O54" s="340">
        <f t="shared" si="20"/>
        <v>0</v>
      </c>
      <c r="P54" s="340">
        <f t="shared" si="21"/>
        <v>0</v>
      </c>
      <c r="Q54" s="340">
        <f t="shared" si="22"/>
        <v>0</v>
      </c>
      <c r="R54" s="340">
        <f t="shared" si="23"/>
        <v>0</v>
      </c>
      <c r="S54" s="340">
        <f t="shared" si="24"/>
        <v>0</v>
      </c>
      <c r="T54" s="340">
        <f t="shared" si="25"/>
        <v>0</v>
      </c>
      <c r="U54" s="340">
        <f t="shared" si="25"/>
        <v>0</v>
      </c>
      <c r="V54" s="340">
        <f t="shared" si="26"/>
        <v>0</v>
      </c>
      <c r="W54" s="465">
        <f t="shared" si="27"/>
        <v>0</v>
      </c>
      <c r="X54" s="340">
        <f t="shared" si="28"/>
        <v>0</v>
      </c>
      <c r="Y54" s="340">
        <f t="shared" si="29"/>
        <v>0</v>
      </c>
      <c r="Z54" s="340">
        <f t="shared" si="30"/>
        <v>0</v>
      </c>
      <c r="AA54" s="340">
        <f t="shared" si="31"/>
        <v>0</v>
      </c>
      <c r="AB54" s="340">
        <f t="shared" si="32"/>
        <v>0</v>
      </c>
      <c r="AC54" s="340">
        <f t="shared" si="33"/>
        <v>0</v>
      </c>
      <c r="AD54" s="98">
        <f t="shared" si="34"/>
        <v>0</v>
      </c>
      <c r="AE54" s="465">
        <f t="shared" si="35"/>
        <v>0</v>
      </c>
      <c r="AF54" s="578">
        <f t="shared" si="36"/>
        <v>0</v>
      </c>
      <c r="AG54" s="98">
        <f t="shared" si="37"/>
        <v>0</v>
      </c>
      <c r="AH54" s="340">
        <f t="shared" si="38"/>
        <v>0</v>
      </c>
      <c r="AI54" s="340">
        <f t="shared" si="39"/>
        <v>0</v>
      </c>
      <c r="AJ54" s="340">
        <f t="shared" si="40"/>
        <v>0</v>
      </c>
      <c r="AK54" s="465">
        <f t="shared" si="41"/>
        <v>0</v>
      </c>
      <c r="AL54" s="465">
        <f t="shared" ref="AL54:AN54" si="67">IF($A10&lt;AL$5,IF(AL53&lt;&gt;0,AL53+AL10,AL10),0)</f>
        <v>0</v>
      </c>
      <c r="AM54" s="465">
        <f t="shared" si="67"/>
        <v>0</v>
      </c>
      <c r="AN54" s="465">
        <f t="shared" si="67"/>
        <v>0</v>
      </c>
      <c r="AO54" s="98">
        <f t="shared" si="42"/>
        <v>0</v>
      </c>
      <c r="AP54" s="340">
        <f t="shared" si="43"/>
        <v>0</v>
      </c>
      <c r="AQ54" s="340">
        <f t="shared" si="44"/>
        <v>0</v>
      </c>
      <c r="AR54" s="340">
        <f t="shared" si="45"/>
        <v>0</v>
      </c>
      <c r="AS54" s="340">
        <f t="shared" si="46"/>
        <v>0</v>
      </c>
      <c r="AT54" s="340">
        <f t="shared" si="47"/>
        <v>0</v>
      </c>
      <c r="AU54" s="340">
        <f t="shared" si="48"/>
        <v>0</v>
      </c>
      <c r="AV54" s="340">
        <f t="shared" si="49"/>
        <v>0</v>
      </c>
      <c r="AW54" s="340">
        <f t="shared" si="50"/>
        <v>0</v>
      </c>
      <c r="AX54" s="465">
        <f t="shared" si="51"/>
        <v>0</v>
      </c>
      <c r="AY54" s="98">
        <f t="shared" si="52"/>
        <v>0</v>
      </c>
      <c r="AZ54" s="340">
        <f t="shared" si="53"/>
        <v>0</v>
      </c>
      <c r="BA54" s="98">
        <f t="shared" si="54"/>
        <v>0</v>
      </c>
      <c r="BB54" s="340">
        <f t="shared" si="55"/>
        <v>0</v>
      </c>
      <c r="BC54" s="465">
        <f t="shared" si="56"/>
        <v>0</v>
      </c>
      <c r="BD54" s="340">
        <f t="shared" si="57"/>
        <v>0</v>
      </c>
      <c r="BE54" s="578">
        <f t="shared" si="58"/>
        <v>0</v>
      </c>
      <c r="BF54" s="98">
        <f t="shared" si="59"/>
        <v>0</v>
      </c>
      <c r="BG54" s="465">
        <f t="shared" si="60"/>
        <v>0</v>
      </c>
    </row>
    <row r="55" spans="1:59" ht="11.1" hidden="1" customHeight="1" x14ac:dyDescent="0.25">
      <c r="A55" s="574">
        <v>7</v>
      </c>
      <c r="B55" s="98">
        <f t="shared" si="10"/>
        <v>0</v>
      </c>
      <c r="C55" s="340">
        <f t="shared" si="11"/>
        <v>0</v>
      </c>
      <c r="D55" s="340">
        <f t="shared" si="12"/>
        <v>0</v>
      </c>
      <c r="E55" s="340">
        <f t="shared" si="13"/>
        <v>0</v>
      </c>
      <c r="F55" s="340">
        <f t="shared" si="14"/>
        <v>0</v>
      </c>
      <c r="G55" s="465">
        <f t="shared" si="15"/>
        <v>0</v>
      </c>
      <c r="H55" s="98">
        <f t="shared" si="16"/>
        <v>0</v>
      </c>
      <c r="I55" s="340">
        <f t="shared" si="17"/>
        <v>0</v>
      </c>
      <c r="J55" s="340">
        <f t="shared" si="18"/>
        <v>0</v>
      </c>
      <c r="K55" s="340">
        <f t="shared" si="61"/>
        <v>0</v>
      </c>
      <c r="L55" s="465">
        <f t="shared" si="65"/>
        <v>0</v>
      </c>
      <c r="M55" s="465">
        <f t="shared" si="62"/>
        <v>0</v>
      </c>
      <c r="N55" s="98">
        <f t="shared" si="19"/>
        <v>0</v>
      </c>
      <c r="O55" s="340">
        <f t="shared" si="20"/>
        <v>0</v>
      </c>
      <c r="P55" s="340">
        <f t="shared" si="21"/>
        <v>0</v>
      </c>
      <c r="Q55" s="340">
        <f t="shared" si="22"/>
        <v>0</v>
      </c>
      <c r="R55" s="340">
        <f t="shared" si="23"/>
        <v>0</v>
      </c>
      <c r="S55" s="340">
        <f t="shared" si="24"/>
        <v>0</v>
      </c>
      <c r="T55" s="340">
        <f t="shared" si="25"/>
        <v>0</v>
      </c>
      <c r="U55" s="340">
        <f t="shared" si="25"/>
        <v>0</v>
      </c>
      <c r="V55" s="340">
        <f t="shared" si="26"/>
        <v>0</v>
      </c>
      <c r="W55" s="465">
        <f t="shared" si="27"/>
        <v>0</v>
      </c>
      <c r="X55" s="340">
        <f t="shared" si="28"/>
        <v>0</v>
      </c>
      <c r="Y55" s="340">
        <f t="shared" si="29"/>
        <v>0</v>
      </c>
      <c r="Z55" s="340">
        <f t="shared" si="30"/>
        <v>0</v>
      </c>
      <c r="AA55" s="340">
        <f t="shared" si="31"/>
        <v>0</v>
      </c>
      <c r="AB55" s="340">
        <f t="shared" si="32"/>
        <v>0</v>
      </c>
      <c r="AC55" s="340">
        <f t="shared" si="33"/>
        <v>0</v>
      </c>
      <c r="AD55" s="98">
        <f t="shared" si="34"/>
        <v>0</v>
      </c>
      <c r="AE55" s="465">
        <f t="shared" si="35"/>
        <v>0</v>
      </c>
      <c r="AF55" s="578">
        <f t="shared" si="36"/>
        <v>0</v>
      </c>
      <c r="AG55" s="98">
        <f t="shared" si="37"/>
        <v>0</v>
      </c>
      <c r="AH55" s="340">
        <f t="shared" si="38"/>
        <v>0</v>
      </c>
      <c r="AI55" s="340">
        <f t="shared" si="39"/>
        <v>0</v>
      </c>
      <c r="AJ55" s="340">
        <f t="shared" si="40"/>
        <v>0</v>
      </c>
      <c r="AK55" s="465">
        <f t="shared" si="41"/>
        <v>0</v>
      </c>
      <c r="AL55" s="465">
        <f t="shared" ref="AL55:AN55" si="68">IF($A11&lt;AL$5,IF(AL54&lt;&gt;0,AL54+AL11,AL11),0)</f>
        <v>0</v>
      </c>
      <c r="AM55" s="465">
        <f t="shared" si="68"/>
        <v>0</v>
      </c>
      <c r="AN55" s="465">
        <f t="shared" si="68"/>
        <v>0</v>
      </c>
      <c r="AO55" s="98">
        <f t="shared" si="42"/>
        <v>0</v>
      </c>
      <c r="AP55" s="340">
        <f t="shared" si="43"/>
        <v>0</v>
      </c>
      <c r="AQ55" s="340">
        <f t="shared" si="44"/>
        <v>0</v>
      </c>
      <c r="AR55" s="340">
        <f t="shared" si="45"/>
        <v>0</v>
      </c>
      <c r="AS55" s="340">
        <f t="shared" si="46"/>
        <v>0</v>
      </c>
      <c r="AT55" s="340">
        <f t="shared" si="47"/>
        <v>0</v>
      </c>
      <c r="AU55" s="340">
        <f t="shared" si="48"/>
        <v>0</v>
      </c>
      <c r="AV55" s="340">
        <f t="shared" si="49"/>
        <v>0</v>
      </c>
      <c r="AW55" s="340">
        <f t="shared" si="50"/>
        <v>0</v>
      </c>
      <c r="AX55" s="465">
        <f t="shared" si="51"/>
        <v>0</v>
      </c>
      <c r="AY55" s="98">
        <f t="shared" si="52"/>
        <v>0</v>
      </c>
      <c r="AZ55" s="340">
        <f t="shared" si="53"/>
        <v>0</v>
      </c>
      <c r="BA55" s="98">
        <f t="shared" si="54"/>
        <v>0</v>
      </c>
      <c r="BB55" s="340">
        <f t="shared" si="55"/>
        <v>0</v>
      </c>
      <c r="BC55" s="465">
        <f t="shared" si="56"/>
        <v>0</v>
      </c>
      <c r="BD55" s="340">
        <f t="shared" si="57"/>
        <v>0</v>
      </c>
      <c r="BE55" s="578">
        <f t="shared" si="58"/>
        <v>0</v>
      </c>
      <c r="BF55" s="98">
        <f t="shared" si="59"/>
        <v>0</v>
      </c>
      <c r="BG55" s="465">
        <f t="shared" si="60"/>
        <v>0</v>
      </c>
    </row>
    <row r="56" spans="1:59" ht="11.1" hidden="1" customHeight="1" x14ac:dyDescent="0.25">
      <c r="A56" s="574">
        <v>8</v>
      </c>
      <c r="B56" s="98">
        <f t="shared" si="10"/>
        <v>0</v>
      </c>
      <c r="C56" s="340">
        <f t="shared" si="11"/>
        <v>0</v>
      </c>
      <c r="D56" s="340">
        <f t="shared" si="12"/>
        <v>0</v>
      </c>
      <c r="E56" s="340">
        <f t="shared" si="13"/>
        <v>0</v>
      </c>
      <c r="F56" s="340">
        <f t="shared" si="14"/>
        <v>0</v>
      </c>
      <c r="G56" s="465">
        <f t="shared" si="15"/>
        <v>0</v>
      </c>
      <c r="H56" s="98">
        <f t="shared" si="16"/>
        <v>0</v>
      </c>
      <c r="I56" s="340">
        <f t="shared" si="17"/>
        <v>0</v>
      </c>
      <c r="J56" s="340">
        <f t="shared" si="18"/>
        <v>0</v>
      </c>
      <c r="K56" s="340">
        <f t="shared" si="61"/>
        <v>0</v>
      </c>
      <c r="L56" s="465">
        <f t="shared" si="65"/>
        <v>0</v>
      </c>
      <c r="M56" s="465">
        <f t="shared" si="62"/>
        <v>0</v>
      </c>
      <c r="N56" s="98">
        <f t="shared" si="19"/>
        <v>0</v>
      </c>
      <c r="O56" s="340">
        <f t="shared" si="20"/>
        <v>0</v>
      </c>
      <c r="P56" s="340">
        <f t="shared" si="21"/>
        <v>0</v>
      </c>
      <c r="Q56" s="340">
        <f t="shared" si="22"/>
        <v>0</v>
      </c>
      <c r="R56" s="340">
        <f t="shared" si="23"/>
        <v>0</v>
      </c>
      <c r="S56" s="340">
        <f t="shared" si="24"/>
        <v>0</v>
      </c>
      <c r="T56" s="340">
        <f t="shared" si="25"/>
        <v>0</v>
      </c>
      <c r="U56" s="340">
        <f t="shared" si="25"/>
        <v>0</v>
      </c>
      <c r="V56" s="340">
        <f t="shared" si="26"/>
        <v>0</v>
      </c>
      <c r="W56" s="465">
        <f t="shared" si="27"/>
        <v>0</v>
      </c>
      <c r="X56" s="340">
        <f t="shared" si="28"/>
        <v>0</v>
      </c>
      <c r="Y56" s="340">
        <f t="shared" si="29"/>
        <v>0</v>
      </c>
      <c r="Z56" s="340">
        <f t="shared" si="30"/>
        <v>0</v>
      </c>
      <c r="AA56" s="340">
        <f t="shared" si="31"/>
        <v>0</v>
      </c>
      <c r="AB56" s="340">
        <f t="shared" si="32"/>
        <v>0</v>
      </c>
      <c r="AC56" s="340">
        <f t="shared" si="33"/>
        <v>0</v>
      </c>
      <c r="AD56" s="98">
        <f t="shared" si="34"/>
        <v>0</v>
      </c>
      <c r="AE56" s="465">
        <f t="shared" si="35"/>
        <v>0</v>
      </c>
      <c r="AF56" s="578">
        <f t="shared" si="36"/>
        <v>0</v>
      </c>
      <c r="AG56" s="98">
        <f t="shared" si="37"/>
        <v>0</v>
      </c>
      <c r="AH56" s="340">
        <f t="shared" si="38"/>
        <v>0</v>
      </c>
      <c r="AI56" s="340">
        <f t="shared" si="39"/>
        <v>0</v>
      </c>
      <c r="AJ56" s="340">
        <f t="shared" si="40"/>
        <v>0</v>
      </c>
      <c r="AK56" s="465">
        <f t="shared" si="41"/>
        <v>0</v>
      </c>
      <c r="AL56" s="465">
        <f t="shared" ref="AL56:AN56" si="69">IF($A12&lt;AL$5,IF(AL55&lt;&gt;0,AL55+AL12,AL12),0)</f>
        <v>0</v>
      </c>
      <c r="AM56" s="465">
        <f t="shared" si="69"/>
        <v>0</v>
      </c>
      <c r="AN56" s="465">
        <f t="shared" si="69"/>
        <v>0</v>
      </c>
      <c r="AO56" s="98">
        <f t="shared" si="42"/>
        <v>0</v>
      </c>
      <c r="AP56" s="340">
        <f t="shared" si="43"/>
        <v>0</v>
      </c>
      <c r="AQ56" s="340">
        <f t="shared" si="44"/>
        <v>0</v>
      </c>
      <c r="AR56" s="340">
        <f t="shared" si="45"/>
        <v>0</v>
      </c>
      <c r="AS56" s="340">
        <f t="shared" si="46"/>
        <v>0</v>
      </c>
      <c r="AT56" s="340">
        <f t="shared" si="47"/>
        <v>0</v>
      </c>
      <c r="AU56" s="340">
        <f t="shared" si="48"/>
        <v>0</v>
      </c>
      <c r="AV56" s="340">
        <f t="shared" si="49"/>
        <v>0</v>
      </c>
      <c r="AW56" s="340">
        <f t="shared" si="50"/>
        <v>0</v>
      </c>
      <c r="AX56" s="465">
        <f t="shared" si="51"/>
        <v>0</v>
      </c>
      <c r="AY56" s="98">
        <f t="shared" si="52"/>
        <v>0</v>
      </c>
      <c r="AZ56" s="340">
        <f t="shared" si="53"/>
        <v>0</v>
      </c>
      <c r="BA56" s="98">
        <f t="shared" si="54"/>
        <v>0</v>
      </c>
      <c r="BB56" s="340">
        <f t="shared" si="55"/>
        <v>0</v>
      </c>
      <c r="BC56" s="465">
        <f t="shared" si="56"/>
        <v>0</v>
      </c>
      <c r="BD56" s="340">
        <f t="shared" si="57"/>
        <v>0</v>
      </c>
      <c r="BE56" s="578">
        <f t="shared" si="58"/>
        <v>0</v>
      </c>
      <c r="BF56" s="98">
        <f t="shared" si="59"/>
        <v>0</v>
      </c>
      <c r="BG56" s="465">
        <f t="shared" si="60"/>
        <v>0</v>
      </c>
    </row>
    <row r="57" spans="1:59" ht="11.1" hidden="1" customHeight="1" x14ac:dyDescent="0.25">
      <c r="A57" s="574">
        <v>9</v>
      </c>
      <c r="B57" s="98">
        <f t="shared" si="10"/>
        <v>0</v>
      </c>
      <c r="C57" s="340">
        <f t="shared" si="11"/>
        <v>0</v>
      </c>
      <c r="D57" s="340">
        <f t="shared" si="12"/>
        <v>0</v>
      </c>
      <c r="E57" s="340">
        <f t="shared" si="13"/>
        <v>0</v>
      </c>
      <c r="F57" s="340">
        <f t="shared" si="14"/>
        <v>0</v>
      </c>
      <c r="G57" s="465">
        <f t="shared" si="15"/>
        <v>0</v>
      </c>
      <c r="H57" s="98">
        <f t="shared" si="16"/>
        <v>0</v>
      </c>
      <c r="I57" s="340">
        <f t="shared" si="17"/>
        <v>0</v>
      </c>
      <c r="J57" s="340">
        <f t="shared" si="18"/>
        <v>0</v>
      </c>
      <c r="K57" s="340">
        <f t="shared" si="61"/>
        <v>0</v>
      </c>
      <c r="L57" s="465">
        <f t="shared" si="65"/>
        <v>0</v>
      </c>
      <c r="M57" s="465">
        <f t="shared" si="62"/>
        <v>0</v>
      </c>
      <c r="N57" s="98">
        <f t="shared" si="19"/>
        <v>0</v>
      </c>
      <c r="O57" s="340">
        <f t="shared" si="20"/>
        <v>0</v>
      </c>
      <c r="P57" s="340">
        <f t="shared" si="21"/>
        <v>0</v>
      </c>
      <c r="Q57" s="340">
        <f t="shared" si="22"/>
        <v>0</v>
      </c>
      <c r="R57" s="340">
        <f t="shared" si="23"/>
        <v>0</v>
      </c>
      <c r="S57" s="340">
        <f t="shared" si="24"/>
        <v>0</v>
      </c>
      <c r="T57" s="340">
        <f t="shared" si="25"/>
        <v>0</v>
      </c>
      <c r="U57" s="340">
        <f t="shared" si="25"/>
        <v>0</v>
      </c>
      <c r="V57" s="340">
        <f t="shared" si="26"/>
        <v>0</v>
      </c>
      <c r="W57" s="465">
        <f t="shared" si="27"/>
        <v>0</v>
      </c>
      <c r="X57" s="340">
        <f t="shared" si="28"/>
        <v>0</v>
      </c>
      <c r="Y57" s="340">
        <f t="shared" si="29"/>
        <v>0</v>
      </c>
      <c r="Z57" s="340">
        <f t="shared" si="30"/>
        <v>0</v>
      </c>
      <c r="AA57" s="340">
        <f t="shared" si="31"/>
        <v>0</v>
      </c>
      <c r="AB57" s="340">
        <f t="shared" si="32"/>
        <v>0</v>
      </c>
      <c r="AC57" s="340">
        <f t="shared" si="33"/>
        <v>0</v>
      </c>
      <c r="AD57" s="98">
        <f t="shared" si="34"/>
        <v>0</v>
      </c>
      <c r="AE57" s="465">
        <f t="shared" si="35"/>
        <v>0</v>
      </c>
      <c r="AF57" s="578">
        <f t="shared" si="36"/>
        <v>0</v>
      </c>
      <c r="AG57" s="98">
        <f t="shared" si="37"/>
        <v>0</v>
      </c>
      <c r="AH57" s="340">
        <f t="shared" si="38"/>
        <v>0</v>
      </c>
      <c r="AI57" s="340">
        <f t="shared" si="39"/>
        <v>0</v>
      </c>
      <c r="AJ57" s="340">
        <f t="shared" si="40"/>
        <v>0</v>
      </c>
      <c r="AK57" s="465">
        <f t="shared" si="41"/>
        <v>0</v>
      </c>
      <c r="AL57" s="465">
        <f t="shared" ref="AL57:AN57" si="70">IF($A13&lt;AL$5,IF(AL56&lt;&gt;0,AL56+AL13,AL13),0)</f>
        <v>0</v>
      </c>
      <c r="AM57" s="465">
        <f t="shared" si="70"/>
        <v>0</v>
      </c>
      <c r="AN57" s="465">
        <f t="shared" si="70"/>
        <v>0</v>
      </c>
      <c r="AO57" s="98">
        <f t="shared" si="42"/>
        <v>0</v>
      </c>
      <c r="AP57" s="340">
        <f t="shared" si="43"/>
        <v>0</v>
      </c>
      <c r="AQ57" s="340">
        <f t="shared" si="44"/>
        <v>0</v>
      </c>
      <c r="AR57" s="340">
        <f t="shared" si="45"/>
        <v>0</v>
      </c>
      <c r="AS57" s="340">
        <f t="shared" si="46"/>
        <v>0</v>
      </c>
      <c r="AT57" s="340">
        <f t="shared" si="47"/>
        <v>0</v>
      </c>
      <c r="AU57" s="340">
        <f t="shared" si="48"/>
        <v>0</v>
      </c>
      <c r="AV57" s="340">
        <f t="shared" si="49"/>
        <v>0</v>
      </c>
      <c r="AW57" s="340">
        <f t="shared" si="50"/>
        <v>0</v>
      </c>
      <c r="AX57" s="465">
        <f t="shared" si="51"/>
        <v>0</v>
      </c>
      <c r="AY57" s="98">
        <f t="shared" si="52"/>
        <v>0</v>
      </c>
      <c r="AZ57" s="340">
        <f t="shared" si="53"/>
        <v>0</v>
      </c>
      <c r="BA57" s="98">
        <f t="shared" si="54"/>
        <v>0</v>
      </c>
      <c r="BB57" s="340">
        <f t="shared" si="55"/>
        <v>0</v>
      </c>
      <c r="BC57" s="465">
        <f t="shared" si="56"/>
        <v>0</v>
      </c>
      <c r="BD57" s="340">
        <f t="shared" si="57"/>
        <v>0</v>
      </c>
      <c r="BE57" s="578">
        <f t="shared" si="58"/>
        <v>0</v>
      </c>
      <c r="BF57" s="98">
        <f t="shared" si="59"/>
        <v>0</v>
      </c>
      <c r="BG57" s="465">
        <f t="shared" si="60"/>
        <v>0</v>
      </c>
    </row>
    <row r="58" spans="1:59" ht="11.1" hidden="1" customHeight="1" x14ac:dyDescent="0.25">
      <c r="A58" s="574">
        <v>10</v>
      </c>
      <c r="B58" s="98">
        <f t="shared" si="10"/>
        <v>0</v>
      </c>
      <c r="C58" s="340">
        <f t="shared" si="11"/>
        <v>0</v>
      </c>
      <c r="D58" s="340">
        <f t="shared" si="12"/>
        <v>0</v>
      </c>
      <c r="E58" s="340">
        <f t="shared" si="13"/>
        <v>0</v>
      </c>
      <c r="F58" s="340">
        <f t="shared" si="14"/>
        <v>0</v>
      </c>
      <c r="G58" s="465">
        <f t="shared" si="15"/>
        <v>0</v>
      </c>
      <c r="H58" s="98">
        <f t="shared" si="16"/>
        <v>0</v>
      </c>
      <c r="I58" s="340">
        <f t="shared" si="17"/>
        <v>0</v>
      </c>
      <c r="J58" s="340">
        <f t="shared" si="18"/>
        <v>0</v>
      </c>
      <c r="K58" s="340">
        <f t="shared" si="61"/>
        <v>0</v>
      </c>
      <c r="L58" s="465">
        <f t="shared" si="65"/>
        <v>0</v>
      </c>
      <c r="M58" s="465">
        <f t="shared" si="62"/>
        <v>0</v>
      </c>
      <c r="N58" s="98">
        <f t="shared" si="19"/>
        <v>0</v>
      </c>
      <c r="O58" s="340">
        <f t="shared" si="20"/>
        <v>0</v>
      </c>
      <c r="P58" s="340">
        <f t="shared" si="21"/>
        <v>0</v>
      </c>
      <c r="Q58" s="340">
        <f t="shared" si="22"/>
        <v>0</v>
      </c>
      <c r="R58" s="340">
        <f t="shared" si="23"/>
        <v>0</v>
      </c>
      <c r="S58" s="340">
        <f t="shared" si="24"/>
        <v>0</v>
      </c>
      <c r="T58" s="340">
        <f t="shared" si="25"/>
        <v>0</v>
      </c>
      <c r="U58" s="340">
        <f t="shared" si="25"/>
        <v>0</v>
      </c>
      <c r="V58" s="340">
        <f t="shared" si="26"/>
        <v>0</v>
      </c>
      <c r="W58" s="465">
        <f t="shared" si="27"/>
        <v>0</v>
      </c>
      <c r="X58" s="340">
        <f t="shared" si="28"/>
        <v>0</v>
      </c>
      <c r="Y58" s="340">
        <f t="shared" si="29"/>
        <v>0</v>
      </c>
      <c r="Z58" s="340">
        <f t="shared" si="30"/>
        <v>0</v>
      </c>
      <c r="AA58" s="340">
        <f t="shared" si="31"/>
        <v>0</v>
      </c>
      <c r="AB58" s="340">
        <f t="shared" si="32"/>
        <v>0</v>
      </c>
      <c r="AC58" s="340">
        <f t="shared" si="33"/>
        <v>0</v>
      </c>
      <c r="AD58" s="98">
        <f t="shared" si="34"/>
        <v>0</v>
      </c>
      <c r="AE58" s="465">
        <f t="shared" si="35"/>
        <v>0</v>
      </c>
      <c r="AF58" s="578">
        <f t="shared" si="36"/>
        <v>0</v>
      </c>
      <c r="AG58" s="98">
        <f t="shared" si="37"/>
        <v>0</v>
      </c>
      <c r="AH58" s="340">
        <f t="shared" si="38"/>
        <v>0</v>
      </c>
      <c r="AI58" s="340">
        <f t="shared" si="39"/>
        <v>0</v>
      </c>
      <c r="AJ58" s="340">
        <f t="shared" si="40"/>
        <v>0</v>
      </c>
      <c r="AK58" s="465">
        <f t="shared" si="41"/>
        <v>0</v>
      </c>
      <c r="AL58" s="465">
        <f t="shared" ref="AL58:AN58" si="71">IF($A14&lt;AL$5,IF(AL57&lt;&gt;0,AL57+AL14,AL14),0)</f>
        <v>0</v>
      </c>
      <c r="AM58" s="465">
        <f t="shared" si="71"/>
        <v>0</v>
      </c>
      <c r="AN58" s="465">
        <f t="shared" si="71"/>
        <v>0</v>
      </c>
      <c r="AO58" s="98">
        <f t="shared" si="42"/>
        <v>0</v>
      </c>
      <c r="AP58" s="340">
        <f t="shared" si="43"/>
        <v>0</v>
      </c>
      <c r="AQ58" s="340">
        <f t="shared" si="44"/>
        <v>0</v>
      </c>
      <c r="AR58" s="340">
        <f t="shared" si="45"/>
        <v>0</v>
      </c>
      <c r="AS58" s="340">
        <f t="shared" si="46"/>
        <v>0</v>
      </c>
      <c r="AT58" s="340">
        <f t="shared" si="47"/>
        <v>0</v>
      </c>
      <c r="AU58" s="340">
        <f t="shared" si="48"/>
        <v>0</v>
      </c>
      <c r="AV58" s="340">
        <f t="shared" si="49"/>
        <v>0</v>
      </c>
      <c r="AW58" s="340">
        <f t="shared" si="50"/>
        <v>0</v>
      </c>
      <c r="AX58" s="465">
        <f t="shared" si="51"/>
        <v>0</v>
      </c>
      <c r="AY58" s="98">
        <f t="shared" si="52"/>
        <v>0</v>
      </c>
      <c r="AZ58" s="340">
        <f t="shared" si="53"/>
        <v>0</v>
      </c>
      <c r="BA58" s="98">
        <f t="shared" si="54"/>
        <v>0</v>
      </c>
      <c r="BB58" s="340">
        <f t="shared" si="55"/>
        <v>0</v>
      </c>
      <c r="BC58" s="465">
        <f t="shared" si="56"/>
        <v>0</v>
      </c>
      <c r="BD58" s="340">
        <f t="shared" si="57"/>
        <v>0</v>
      </c>
      <c r="BE58" s="578">
        <f t="shared" si="58"/>
        <v>0</v>
      </c>
      <c r="BF58" s="98">
        <f t="shared" si="59"/>
        <v>0</v>
      </c>
      <c r="BG58" s="465">
        <f t="shared" si="60"/>
        <v>0</v>
      </c>
    </row>
    <row r="59" spans="1:59" ht="11.1" hidden="1" customHeight="1" x14ac:dyDescent="0.25">
      <c r="A59" s="574">
        <v>11</v>
      </c>
      <c r="B59" s="98">
        <f t="shared" si="10"/>
        <v>0</v>
      </c>
      <c r="C59" s="340">
        <f t="shared" si="11"/>
        <v>0</v>
      </c>
      <c r="D59" s="340">
        <f t="shared" si="12"/>
        <v>0</v>
      </c>
      <c r="E59" s="340">
        <f t="shared" si="13"/>
        <v>0</v>
      </c>
      <c r="F59" s="340">
        <f t="shared" si="14"/>
        <v>0</v>
      </c>
      <c r="G59" s="465">
        <f t="shared" si="15"/>
        <v>0</v>
      </c>
      <c r="H59" s="98">
        <f t="shared" si="16"/>
        <v>0</v>
      </c>
      <c r="I59" s="340">
        <f t="shared" si="17"/>
        <v>0</v>
      </c>
      <c r="J59" s="340">
        <f t="shared" si="18"/>
        <v>0</v>
      </c>
      <c r="K59" s="340">
        <f t="shared" si="61"/>
        <v>0</v>
      </c>
      <c r="L59" s="465">
        <f t="shared" si="65"/>
        <v>0</v>
      </c>
      <c r="M59" s="465">
        <f t="shared" si="62"/>
        <v>0</v>
      </c>
      <c r="N59" s="98">
        <f t="shared" si="19"/>
        <v>0</v>
      </c>
      <c r="O59" s="340">
        <f t="shared" si="20"/>
        <v>0</v>
      </c>
      <c r="P59" s="340">
        <f t="shared" si="21"/>
        <v>0</v>
      </c>
      <c r="Q59" s="340">
        <f t="shared" si="22"/>
        <v>0</v>
      </c>
      <c r="R59" s="340">
        <f t="shared" si="23"/>
        <v>0</v>
      </c>
      <c r="S59" s="340">
        <f t="shared" si="24"/>
        <v>0</v>
      </c>
      <c r="T59" s="340">
        <f t="shared" si="25"/>
        <v>0</v>
      </c>
      <c r="U59" s="340">
        <f t="shared" si="25"/>
        <v>0</v>
      </c>
      <c r="V59" s="340">
        <f t="shared" si="26"/>
        <v>0</v>
      </c>
      <c r="W59" s="465">
        <f t="shared" si="27"/>
        <v>0</v>
      </c>
      <c r="X59" s="340">
        <f t="shared" si="28"/>
        <v>0</v>
      </c>
      <c r="Y59" s="340">
        <f t="shared" si="29"/>
        <v>0</v>
      </c>
      <c r="Z59" s="340">
        <f t="shared" si="30"/>
        <v>0</v>
      </c>
      <c r="AA59" s="340">
        <f t="shared" si="31"/>
        <v>0</v>
      </c>
      <c r="AB59" s="340">
        <f t="shared" si="32"/>
        <v>0</v>
      </c>
      <c r="AC59" s="340">
        <f t="shared" si="33"/>
        <v>0</v>
      </c>
      <c r="AD59" s="98">
        <f t="shared" si="34"/>
        <v>0</v>
      </c>
      <c r="AE59" s="465">
        <f t="shared" si="35"/>
        <v>0</v>
      </c>
      <c r="AF59" s="578">
        <f t="shared" si="36"/>
        <v>0</v>
      </c>
      <c r="AG59" s="98">
        <f t="shared" si="37"/>
        <v>0</v>
      </c>
      <c r="AH59" s="340">
        <f t="shared" si="38"/>
        <v>0</v>
      </c>
      <c r="AI59" s="340">
        <f t="shared" si="39"/>
        <v>0</v>
      </c>
      <c r="AJ59" s="340">
        <f t="shared" si="40"/>
        <v>0</v>
      </c>
      <c r="AK59" s="465">
        <f t="shared" si="41"/>
        <v>0</v>
      </c>
      <c r="AL59" s="465">
        <f t="shared" ref="AL59:AN59" si="72">IF($A15&lt;AL$5,IF(AL58&lt;&gt;0,AL58+AL15,AL15),0)</f>
        <v>0</v>
      </c>
      <c r="AM59" s="465">
        <f t="shared" si="72"/>
        <v>0</v>
      </c>
      <c r="AN59" s="465">
        <f t="shared" si="72"/>
        <v>0</v>
      </c>
      <c r="AO59" s="98">
        <f t="shared" si="42"/>
        <v>0</v>
      </c>
      <c r="AP59" s="340">
        <f t="shared" si="43"/>
        <v>0</v>
      </c>
      <c r="AQ59" s="340">
        <f t="shared" si="44"/>
        <v>0</v>
      </c>
      <c r="AR59" s="340">
        <f t="shared" si="45"/>
        <v>0</v>
      </c>
      <c r="AS59" s="340">
        <f t="shared" si="46"/>
        <v>0</v>
      </c>
      <c r="AT59" s="340">
        <f t="shared" si="47"/>
        <v>0</v>
      </c>
      <c r="AU59" s="340">
        <f t="shared" si="48"/>
        <v>0</v>
      </c>
      <c r="AV59" s="340">
        <f t="shared" si="49"/>
        <v>0</v>
      </c>
      <c r="AW59" s="340">
        <f t="shared" si="50"/>
        <v>0</v>
      </c>
      <c r="AX59" s="465">
        <f t="shared" si="51"/>
        <v>0</v>
      </c>
      <c r="AY59" s="98">
        <f t="shared" si="52"/>
        <v>0</v>
      </c>
      <c r="AZ59" s="340">
        <f t="shared" si="53"/>
        <v>0</v>
      </c>
      <c r="BA59" s="98">
        <f t="shared" si="54"/>
        <v>0</v>
      </c>
      <c r="BB59" s="340">
        <f t="shared" si="55"/>
        <v>0</v>
      </c>
      <c r="BC59" s="465">
        <f t="shared" si="56"/>
        <v>0</v>
      </c>
      <c r="BD59" s="340">
        <f t="shared" si="57"/>
        <v>0</v>
      </c>
      <c r="BE59" s="578">
        <f t="shared" si="58"/>
        <v>0</v>
      </c>
      <c r="BF59" s="98">
        <f t="shared" si="59"/>
        <v>0</v>
      </c>
      <c r="BG59" s="465">
        <f t="shared" si="60"/>
        <v>0</v>
      </c>
    </row>
    <row r="60" spans="1:59" ht="11.1" hidden="1" customHeight="1" x14ac:dyDescent="0.25">
      <c r="A60" s="574">
        <v>12</v>
      </c>
      <c r="B60" s="98">
        <f t="shared" si="10"/>
        <v>0</v>
      </c>
      <c r="C60" s="340">
        <f t="shared" si="11"/>
        <v>0</v>
      </c>
      <c r="D60" s="340">
        <f t="shared" si="12"/>
        <v>0</v>
      </c>
      <c r="E60" s="340">
        <f t="shared" si="13"/>
        <v>0</v>
      </c>
      <c r="F60" s="340">
        <f t="shared" si="14"/>
        <v>0</v>
      </c>
      <c r="G60" s="465">
        <f t="shared" si="15"/>
        <v>0</v>
      </c>
      <c r="H60" s="98">
        <f t="shared" si="16"/>
        <v>0</v>
      </c>
      <c r="I60" s="340">
        <f t="shared" si="17"/>
        <v>0</v>
      </c>
      <c r="J60" s="340">
        <f t="shared" si="18"/>
        <v>0</v>
      </c>
      <c r="K60" s="340">
        <f t="shared" si="61"/>
        <v>0</v>
      </c>
      <c r="L60" s="465">
        <f t="shared" si="65"/>
        <v>0</v>
      </c>
      <c r="M60" s="465">
        <f t="shared" si="62"/>
        <v>0</v>
      </c>
      <c r="N60" s="98">
        <f t="shared" si="19"/>
        <v>0</v>
      </c>
      <c r="O60" s="340">
        <f t="shared" si="20"/>
        <v>0</v>
      </c>
      <c r="P60" s="340">
        <f t="shared" si="21"/>
        <v>0</v>
      </c>
      <c r="Q60" s="340">
        <f t="shared" si="22"/>
        <v>0</v>
      </c>
      <c r="R60" s="340">
        <f t="shared" si="23"/>
        <v>0</v>
      </c>
      <c r="S60" s="340">
        <f t="shared" si="24"/>
        <v>0</v>
      </c>
      <c r="T60" s="340">
        <f t="shared" si="25"/>
        <v>0</v>
      </c>
      <c r="U60" s="340">
        <f t="shared" si="25"/>
        <v>0</v>
      </c>
      <c r="V60" s="340">
        <f t="shared" si="26"/>
        <v>0</v>
      </c>
      <c r="W60" s="465">
        <f t="shared" si="27"/>
        <v>0</v>
      </c>
      <c r="X60" s="340">
        <f t="shared" si="28"/>
        <v>0</v>
      </c>
      <c r="Y60" s="340">
        <f t="shared" si="29"/>
        <v>0</v>
      </c>
      <c r="Z60" s="340">
        <f t="shared" si="30"/>
        <v>0</v>
      </c>
      <c r="AA60" s="340">
        <f t="shared" si="31"/>
        <v>0</v>
      </c>
      <c r="AB60" s="340">
        <f t="shared" si="32"/>
        <v>0</v>
      </c>
      <c r="AC60" s="340">
        <f t="shared" si="33"/>
        <v>0</v>
      </c>
      <c r="AD60" s="98">
        <f t="shared" si="34"/>
        <v>0</v>
      </c>
      <c r="AE60" s="465">
        <f>IF($A16&lt;AE$5,IF(AE59&lt;&gt;0,AE59+AE16,AE16),0)</f>
        <v>0</v>
      </c>
      <c r="AF60" s="578">
        <f t="shared" si="36"/>
        <v>0</v>
      </c>
      <c r="AG60" s="98">
        <f t="shared" si="37"/>
        <v>0</v>
      </c>
      <c r="AH60" s="340">
        <f t="shared" si="38"/>
        <v>0</v>
      </c>
      <c r="AI60" s="340">
        <f t="shared" si="39"/>
        <v>0</v>
      </c>
      <c r="AJ60" s="340">
        <f t="shared" si="40"/>
        <v>0</v>
      </c>
      <c r="AK60" s="465">
        <f t="shared" si="41"/>
        <v>0</v>
      </c>
      <c r="AL60" s="465">
        <f t="shared" ref="AL60:AN60" si="73">IF($A16&lt;AL$5,IF(AL59&lt;&gt;0,AL59+AL16,AL16),0)</f>
        <v>0</v>
      </c>
      <c r="AM60" s="465">
        <f t="shared" si="73"/>
        <v>0</v>
      </c>
      <c r="AN60" s="465">
        <f t="shared" si="73"/>
        <v>0</v>
      </c>
      <c r="AO60" s="98">
        <f t="shared" si="42"/>
        <v>0</v>
      </c>
      <c r="AP60" s="340">
        <f t="shared" si="43"/>
        <v>0</v>
      </c>
      <c r="AQ60" s="340">
        <f t="shared" si="44"/>
        <v>0</v>
      </c>
      <c r="AR60" s="340">
        <f t="shared" si="45"/>
        <v>0</v>
      </c>
      <c r="AS60" s="340">
        <f t="shared" si="46"/>
        <v>0</v>
      </c>
      <c r="AT60" s="340">
        <f t="shared" si="47"/>
        <v>0</v>
      </c>
      <c r="AU60" s="340">
        <f t="shared" si="48"/>
        <v>0</v>
      </c>
      <c r="AV60" s="340">
        <f t="shared" si="49"/>
        <v>0</v>
      </c>
      <c r="AW60" s="340">
        <f t="shared" si="50"/>
        <v>0</v>
      </c>
      <c r="AX60" s="465">
        <f t="shared" si="51"/>
        <v>0</v>
      </c>
      <c r="AY60" s="98">
        <f t="shared" si="52"/>
        <v>0</v>
      </c>
      <c r="AZ60" s="340">
        <f t="shared" si="53"/>
        <v>0</v>
      </c>
      <c r="BA60" s="98">
        <f t="shared" si="54"/>
        <v>0</v>
      </c>
      <c r="BB60" s="340">
        <f t="shared" si="55"/>
        <v>0</v>
      </c>
      <c r="BC60" s="465">
        <f t="shared" si="56"/>
        <v>0</v>
      </c>
      <c r="BD60" s="340">
        <f t="shared" si="57"/>
        <v>0</v>
      </c>
      <c r="BE60" s="578">
        <f t="shared" si="58"/>
        <v>0</v>
      </c>
      <c r="BF60" s="98">
        <f t="shared" si="59"/>
        <v>0</v>
      </c>
      <c r="BG60" s="465">
        <f t="shared" si="60"/>
        <v>0</v>
      </c>
    </row>
    <row r="61" spans="1:59" ht="11.1" hidden="1" customHeight="1" x14ac:dyDescent="0.25">
      <c r="A61" s="574">
        <v>13</v>
      </c>
      <c r="B61" s="98">
        <f t="shared" si="10"/>
        <v>0</v>
      </c>
      <c r="C61" s="340">
        <f t="shared" si="11"/>
        <v>0</v>
      </c>
      <c r="D61" s="340">
        <f t="shared" si="12"/>
        <v>0</v>
      </c>
      <c r="E61" s="340">
        <f t="shared" si="13"/>
        <v>0</v>
      </c>
      <c r="F61" s="340">
        <f t="shared" si="14"/>
        <v>0</v>
      </c>
      <c r="G61" s="465">
        <f t="shared" si="15"/>
        <v>0</v>
      </c>
      <c r="H61" s="98">
        <f t="shared" si="16"/>
        <v>0</v>
      </c>
      <c r="I61" s="340">
        <f t="shared" si="17"/>
        <v>0</v>
      </c>
      <c r="J61" s="340">
        <f t="shared" si="18"/>
        <v>0</v>
      </c>
      <c r="K61" s="340">
        <f t="shared" si="61"/>
        <v>0</v>
      </c>
      <c r="L61" s="465">
        <f t="shared" si="65"/>
        <v>0</v>
      </c>
      <c r="M61" s="465">
        <f t="shared" si="62"/>
        <v>0</v>
      </c>
      <c r="N61" s="98">
        <f t="shared" si="19"/>
        <v>0</v>
      </c>
      <c r="O61" s="340">
        <f t="shared" si="20"/>
        <v>0</v>
      </c>
      <c r="P61" s="340">
        <f t="shared" si="21"/>
        <v>0</v>
      </c>
      <c r="Q61" s="340">
        <f t="shared" si="22"/>
        <v>0</v>
      </c>
      <c r="R61" s="340">
        <f t="shared" si="23"/>
        <v>0</v>
      </c>
      <c r="S61" s="340">
        <f t="shared" si="24"/>
        <v>0</v>
      </c>
      <c r="T61" s="340">
        <f t="shared" si="25"/>
        <v>0</v>
      </c>
      <c r="U61" s="340">
        <f t="shared" si="25"/>
        <v>0</v>
      </c>
      <c r="V61" s="340">
        <f t="shared" si="26"/>
        <v>0</v>
      </c>
      <c r="W61" s="465">
        <f t="shared" si="27"/>
        <v>0</v>
      </c>
      <c r="X61" s="340">
        <f t="shared" si="28"/>
        <v>0</v>
      </c>
      <c r="Y61" s="340">
        <f t="shared" si="29"/>
        <v>0</v>
      </c>
      <c r="Z61" s="340">
        <f t="shared" si="30"/>
        <v>0</v>
      </c>
      <c r="AA61" s="340">
        <f t="shared" si="31"/>
        <v>0</v>
      </c>
      <c r="AB61" s="340">
        <f t="shared" si="32"/>
        <v>0</v>
      </c>
      <c r="AC61" s="340">
        <f t="shared" si="33"/>
        <v>0</v>
      </c>
      <c r="AD61" s="98">
        <f t="shared" si="34"/>
        <v>0</v>
      </c>
      <c r="AE61" s="465">
        <f t="shared" si="35"/>
        <v>0</v>
      </c>
      <c r="AF61" s="578">
        <f t="shared" si="36"/>
        <v>0</v>
      </c>
      <c r="AG61" s="98">
        <f t="shared" si="37"/>
        <v>0</v>
      </c>
      <c r="AH61" s="340">
        <f t="shared" si="38"/>
        <v>0</v>
      </c>
      <c r="AI61" s="340">
        <f t="shared" si="39"/>
        <v>0</v>
      </c>
      <c r="AJ61" s="340">
        <f t="shared" si="40"/>
        <v>0</v>
      </c>
      <c r="AK61" s="465">
        <f t="shared" si="41"/>
        <v>0</v>
      </c>
      <c r="AL61" s="465">
        <f t="shared" ref="AL61:AN61" si="74">IF($A17&lt;AL$5,IF(AL60&lt;&gt;0,AL60+AL17,AL17),0)</f>
        <v>0</v>
      </c>
      <c r="AM61" s="465">
        <f t="shared" si="74"/>
        <v>0</v>
      </c>
      <c r="AN61" s="465">
        <f t="shared" si="74"/>
        <v>0</v>
      </c>
      <c r="AO61" s="98">
        <f t="shared" si="42"/>
        <v>0</v>
      </c>
      <c r="AP61" s="340">
        <f t="shared" si="43"/>
        <v>0</v>
      </c>
      <c r="AQ61" s="340">
        <f t="shared" si="44"/>
        <v>0</v>
      </c>
      <c r="AR61" s="340">
        <f t="shared" si="45"/>
        <v>0</v>
      </c>
      <c r="AS61" s="340">
        <f t="shared" si="46"/>
        <v>0</v>
      </c>
      <c r="AT61" s="340">
        <f t="shared" si="47"/>
        <v>0</v>
      </c>
      <c r="AU61" s="340">
        <f t="shared" si="48"/>
        <v>0</v>
      </c>
      <c r="AV61" s="340">
        <f t="shared" si="49"/>
        <v>0</v>
      </c>
      <c r="AW61" s="340">
        <f t="shared" si="50"/>
        <v>0</v>
      </c>
      <c r="AX61" s="465">
        <f t="shared" si="51"/>
        <v>0</v>
      </c>
      <c r="AY61" s="98">
        <f t="shared" si="52"/>
        <v>0</v>
      </c>
      <c r="AZ61" s="340">
        <f t="shared" si="53"/>
        <v>0</v>
      </c>
      <c r="BA61" s="98">
        <f t="shared" si="54"/>
        <v>0</v>
      </c>
      <c r="BB61" s="340">
        <f t="shared" si="55"/>
        <v>0</v>
      </c>
      <c r="BC61" s="465">
        <f t="shared" si="56"/>
        <v>0</v>
      </c>
      <c r="BD61" s="340">
        <f t="shared" si="57"/>
        <v>0</v>
      </c>
      <c r="BE61" s="578">
        <f t="shared" si="58"/>
        <v>0</v>
      </c>
      <c r="BF61" s="98">
        <f t="shared" si="59"/>
        <v>0</v>
      </c>
      <c r="BG61" s="465">
        <f t="shared" si="60"/>
        <v>0</v>
      </c>
    </row>
    <row r="62" spans="1:59" ht="11.1" hidden="1" customHeight="1" x14ac:dyDescent="0.25">
      <c r="A62" s="574">
        <v>14</v>
      </c>
      <c r="B62" s="98">
        <f t="shared" si="10"/>
        <v>0</v>
      </c>
      <c r="C62" s="340">
        <f t="shared" si="11"/>
        <v>0</v>
      </c>
      <c r="D62" s="340">
        <f t="shared" si="12"/>
        <v>0</v>
      </c>
      <c r="E62" s="340">
        <f t="shared" si="13"/>
        <v>0</v>
      </c>
      <c r="F62" s="340">
        <f t="shared" si="14"/>
        <v>0</v>
      </c>
      <c r="G62" s="465">
        <f t="shared" si="15"/>
        <v>0</v>
      </c>
      <c r="H62" s="98">
        <f t="shared" si="16"/>
        <v>0</v>
      </c>
      <c r="I62" s="340">
        <f t="shared" si="17"/>
        <v>0</v>
      </c>
      <c r="J62" s="340">
        <f t="shared" si="18"/>
        <v>0</v>
      </c>
      <c r="K62" s="340">
        <f t="shared" si="61"/>
        <v>0</v>
      </c>
      <c r="L62" s="465">
        <f t="shared" si="65"/>
        <v>0</v>
      </c>
      <c r="M62" s="465">
        <f t="shared" si="62"/>
        <v>0</v>
      </c>
      <c r="N62" s="98">
        <f t="shared" si="19"/>
        <v>0</v>
      </c>
      <c r="O62" s="340">
        <f t="shared" si="20"/>
        <v>0</v>
      </c>
      <c r="P62" s="340">
        <f t="shared" si="21"/>
        <v>0</v>
      </c>
      <c r="Q62" s="340">
        <f t="shared" si="22"/>
        <v>0</v>
      </c>
      <c r="R62" s="340">
        <f t="shared" si="23"/>
        <v>0</v>
      </c>
      <c r="S62" s="340">
        <f t="shared" si="24"/>
        <v>0</v>
      </c>
      <c r="T62" s="340">
        <f t="shared" si="25"/>
        <v>0</v>
      </c>
      <c r="U62" s="340">
        <f t="shared" si="25"/>
        <v>0</v>
      </c>
      <c r="V62" s="340">
        <f t="shared" si="26"/>
        <v>0</v>
      </c>
      <c r="W62" s="465">
        <f t="shared" si="27"/>
        <v>0</v>
      </c>
      <c r="X62" s="340">
        <f t="shared" si="28"/>
        <v>0</v>
      </c>
      <c r="Y62" s="340">
        <f t="shared" si="29"/>
        <v>0</v>
      </c>
      <c r="Z62" s="340">
        <f t="shared" si="30"/>
        <v>0</v>
      </c>
      <c r="AA62" s="340">
        <f t="shared" si="31"/>
        <v>0</v>
      </c>
      <c r="AB62" s="340">
        <f t="shared" si="32"/>
        <v>0</v>
      </c>
      <c r="AC62" s="340">
        <f t="shared" si="33"/>
        <v>0</v>
      </c>
      <c r="AD62" s="98">
        <f t="shared" si="34"/>
        <v>0</v>
      </c>
      <c r="AE62" s="465">
        <f>IF($A18&lt;AE$5,IF(AE61&lt;&gt;0,AE61+AE18,AE18),0)</f>
        <v>0</v>
      </c>
      <c r="AF62" s="578">
        <f t="shared" si="36"/>
        <v>0</v>
      </c>
      <c r="AG62" s="98">
        <f t="shared" si="37"/>
        <v>0</v>
      </c>
      <c r="AH62" s="340">
        <f t="shared" si="38"/>
        <v>0</v>
      </c>
      <c r="AI62" s="340">
        <f t="shared" si="39"/>
        <v>0</v>
      </c>
      <c r="AJ62" s="340">
        <f t="shared" si="40"/>
        <v>0</v>
      </c>
      <c r="AK62" s="465">
        <f t="shared" si="41"/>
        <v>0</v>
      </c>
      <c r="AL62" s="465">
        <f t="shared" ref="AL62:AN62" si="75">IF($A18&lt;AL$5,IF(AL61&lt;&gt;0,AL61+AL18,AL18),0)</f>
        <v>0</v>
      </c>
      <c r="AM62" s="465">
        <f t="shared" si="75"/>
        <v>0</v>
      </c>
      <c r="AN62" s="465">
        <f t="shared" si="75"/>
        <v>0</v>
      </c>
      <c r="AO62" s="98">
        <f t="shared" si="42"/>
        <v>0</v>
      </c>
      <c r="AP62" s="340">
        <f t="shared" si="43"/>
        <v>0</v>
      </c>
      <c r="AQ62" s="340">
        <f t="shared" si="44"/>
        <v>0</v>
      </c>
      <c r="AR62" s="340">
        <f t="shared" si="45"/>
        <v>0</v>
      </c>
      <c r="AS62" s="340">
        <f t="shared" si="46"/>
        <v>0</v>
      </c>
      <c r="AT62" s="340">
        <f t="shared" si="47"/>
        <v>0</v>
      </c>
      <c r="AU62" s="340">
        <f t="shared" si="48"/>
        <v>0</v>
      </c>
      <c r="AV62" s="340">
        <f t="shared" si="49"/>
        <v>0</v>
      </c>
      <c r="AW62" s="340">
        <f t="shared" si="50"/>
        <v>0</v>
      </c>
      <c r="AX62" s="465">
        <f t="shared" si="51"/>
        <v>0</v>
      </c>
      <c r="AY62" s="98">
        <f t="shared" si="52"/>
        <v>0</v>
      </c>
      <c r="AZ62" s="340">
        <f t="shared" si="53"/>
        <v>0</v>
      </c>
      <c r="BA62" s="98">
        <f t="shared" si="54"/>
        <v>0</v>
      </c>
      <c r="BB62" s="340">
        <f t="shared" si="55"/>
        <v>0</v>
      </c>
      <c r="BC62" s="465">
        <f t="shared" si="56"/>
        <v>0</v>
      </c>
      <c r="BD62" s="340">
        <f t="shared" si="57"/>
        <v>0</v>
      </c>
      <c r="BE62" s="578">
        <f t="shared" si="58"/>
        <v>0</v>
      </c>
      <c r="BF62" s="98">
        <f t="shared" si="59"/>
        <v>0</v>
      </c>
      <c r="BG62" s="465">
        <f t="shared" si="60"/>
        <v>0</v>
      </c>
    </row>
    <row r="63" spans="1:59" ht="11.1" hidden="1" customHeight="1" x14ac:dyDescent="0.25">
      <c r="A63" s="574">
        <v>15</v>
      </c>
      <c r="B63" s="98">
        <f t="shared" si="10"/>
        <v>0</v>
      </c>
      <c r="C63" s="340">
        <f t="shared" si="11"/>
        <v>0</v>
      </c>
      <c r="D63" s="340">
        <f t="shared" si="12"/>
        <v>0</v>
      </c>
      <c r="E63" s="340">
        <f t="shared" si="13"/>
        <v>0</v>
      </c>
      <c r="F63" s="340">
        <f t="shared" si="14"/>
        <v>0</v>
      </c>
      <c r="G63" s="465">
        <f t="shared" si="15"/>
        <v>0</v>
      </c>
      <c r="H63" s="98">
        <f t="shared" si="16"/>
        <v>0</v>
      </c>
      <c r="I63" s="340">
        <f t="shared" si="17"/>
        <v>0</v>
      </c>
      <c r="J63" s="340">
        <f t="shared" si="18"/>
        <v>0</v>
      </c>
      <c r="K63" s="340">
        <f t="shared" si="61"/>
        <v>0</v>
      </c>
      <c r="L63" s="465">
        <f t="shared" si="65"/>
        <v>0</v>
      </c>
      <c r="M63" s="465">
        <f t="shared" si="62"/>
        <v>0</v>
      </c>
      <c r="N63" s="98">
        <f t="shared" si="19"/>
        <v>0</v>
      </c>
      <c r="O63" s="340">
        <f t="shared" si="20"/>
        <v>0</v>
      </c>
      <c r="P63" s="340">
        <f t="shared" si="21"/>
        <v>0</v>
      </c>
      <c r="Q63" s="340">
        <f t="shared" si="22"/>
        <v>0</v>
      </c>
      <c r="R63" s="340">
        <f t="shared" si="23"/>
        <v>0</v>
      </c>
      <c r="S63" s="340">
        <f t="shared" si="24"/>
        <v>0</v>
      </c>
      <c r="T63" s="340">
        <f t="shared" si="25"/>
        <v>0</v>
      </c>
      <c r="U63" s="340">
        <f t="shared" si="25"/>
        <v>0</v>
      </c>
      <c r="V63" s="340">
        <f t="shared" si="26"/>
        <v>0</v>
      </c>
      <c r="W63" s="465">
        <f t="shared" si="27"/>
        <v>0</v>
      </c>
      <c r="X63" s="340">
        <f t="shared" si="28"/>
        <v>0</v>
      </c>
      <c r="Y63" s="340">
        <f t="shared" si="29"/>
        <v>0</v>
      </c>
      <c r="Z63" s="340">
        <f t="shared" si="30"/>
        <v>0</v>
      </c>
      <c r="AA63" s="340">
        <f t="shared" si="31"/>
        <v>0</v>
      </c>
      <c r="AB63" s="340">
        <f t="shared" si="32"/>
        <v>0</v>
      </c>
      <c r="AC63" s="340">
        <f t="shared" si="33"/>
        <v>0</v>
      </c>
      <c r="AD63" s="98">
        <f t="shared" si="34"/>
        <v>0</v>
      </c>
      <c r="AE63" s="465">
        <f t="shared" si="35"/>
        <v>0</v>
      </c>
      <c r="AF63" s="578">
        <f t="shared" si="36"/>
        <v>0</v>
      </c>
      <c r="AG63" s="98">
        <f t="shared" si="37"/>
        <v>0</v>
      </c>
      <c r="AH63" s="340">
        <f t="shared" si="38"/>
        <v>0</v>
      </c>
      <c r="AI63" s="340">
        <f t="shared" si="39"/>
        <v>0</v>
      </c>
      <c r="AJ63" s="340">
        <f t="shared" si="40"/>
        <v>0</v>
      </c>
      <c r="AK63" s="465">
        <f t="shared" si="41"/>
        <v>0</v>
      </c>
      <c r="AL63" s="465">
        <f t="shared" ref="AL63:AN63" si="76">IF($A19&lt;AL$5,IF(AL62&lt;&gt;0,AL62+AL19,AL19),0)</f>
        <v>0</v>
      </c>
      <c r="AM63" s="465">
        <f t="shared" si="76"/>
        <v>0</v>
      </c>
      <c r="AN63" s="465">
        <f t="shared" si="76"/>
        <v>0</v>
      </c>
      <c r="AO63" s="98">
        <f t="shared" si="42"/>
        <v>0</v>
      </c>
      <c r="AP63" s="340">
        <f t="shared" si="43"/>
        <v>0</v>
      </c>
      <c r="AQ63" s="340">
        <f t="shared" si="44"/>
        <v>0</v>
      </c>
      <c r="AR63" s="340">
        <f t="shared" si="45"/>
        <v>0</v>
      </c>
      <c r="AS63" s="340">
        <f t="shared" si="46"/>
        <v>0</v>
      </c>
      <c r="AT63" s="340">
        <f t="shared" si="47"/>
        <v>0</v>
      </c>
      <c r="AU63" s="340">
        <f t="shared" si="48"/>
        <v>0</v>
      </c>
      <c r="AV63" s="340">
        <f t="shared" si="49"/>
        <v>0</v>
      </c>
      <c r="AW63" s="340">
        <f t="shared" si="50"/>
        <v>0</v>
      </c>
      <c r="AX63" s="465">
        <f t="shared" si="51"/>
        <v>0</v>
      </c>
      <c r="AY63" s="98">
        <f t="shared" si="52"/>
        <v>0</v>
      </c>
      <c r="AZ63" s="340">
        <f t="shared" si="53"/>
        <v>0</v>
      </c>
      <c r="BA63" s="98">
        <f t="shared" si="54"/>
        <v>0</v>
      </c>
      <c r="BB63" s="340">
        <f t="shared" si="55"/>
        <v>0</v>
      </c>
      <c r="BC63" s="465">
        <f t="shared" si="56"/>
        <v>0</v>
      </c>
      <c r="BD63" s="340">
        <f t="shared" si="57"/>
        <v>0</v>
      </c>
      <c r="BE63" s="578">
        <f t="shared" si="58"/>
        <v>0</v>
      </c>
      <c r="BF63" s="98">
        <f t="shared" si="59"/>
        <v>0</v>
      </c>
      <c r="BG63" s="465">
        <f t="shared" si="60"/>
        <v>0</v>
      </c>
    </row>
    <row r="64" spans="1:59" ht="11.1" hidden="1" customHeight="1" x14ac:dyDescent="0.25">
      <c r="A64" s="574">
        <v>16</v>
      </c>
      <c r="B64" s="98">
        <f t="shared" si="10"/>
        <v>0</v>
      </c>
      <c r="C64" s="340">
        <f t="shared" si="11"/>
        <v>0</v>
      </c>
      <c r="D64" s="340">
        <f t="shared" si="12"/>
        <v>0</v>
      </c>
      <c r="E64" s="340">
        <f t="shared" si="13"/>
        <v>0</v>
      </c>
      <c r="F64" s="340">
        <f t="shared" si="14"/>
        <v>0</v>
      </c>
      <c r="G64" s="465">
        <f t="shared" si="15"/>
        <v>0</v>
      </c>
      <c r="H64" s="98">
        <f t="shared" si="16"/>
        <v>0</v>
      </c>
      <c r="I64" s="340">
        <f t="shared" si="17"/>
        <v>0</v>
      </c>
      <c r="J64" s="340">
        <f t="shared" si="18"/>
        <v>0</v>
      </c>
      <c r="K64" s="340">
        <f t="shared" si="61"/>
        <v>0</v>
      </c>
      <c r="L64" s="465">
        <f t="shared" si="65"/>
        <v>0</v>
      </c>
      <c r="M64" s="465">
        <f t="shared" si="62"/>
        <v>0</v>
      </c>
      <c r="N64" s="98">
        <f t="shared" si="19"/>
        <v>0</v>
      </c>
      <c r="O64" s="340">
        <f t="shared" si="20"/>
        <v>0</v>
      </c>
      <c r="P64" s="340">
        <f t="shared" si="21"/>
        <v>0</v>
      </c>
      <c r="Q64" s="340">
        <f t="shared" si="22"/>
        <v>0</v>
      </c>
      <c r="R64" s="340">
        <f t="shared" si="23"/>
        <v>0</v>
      </c>
      <c r="S64" s="340">
        <f t="shared" si="24"/>
        <v>0</v>
      </c>
      <c r="T64" s="340">
        <f t="shared" si="25"/>
        <v>0</v>
      </c>
      <c r="U64" s="340">
        <f t="shared" si="25"/>
        <v>0</v>
      </c>
      <c r="V64" s="340">
        <f t="shared" si="26"/>
        <v>0</v>
      </c>
      <c r="W64" s="465">
        <f t="shared" si="27"/>
        <v>0</v>
      </c>
      <c r="X64" s="340">
        <f t="shared" si="28"/>
        <v>0</v>
      </c>
      <c r="Y64" s="340">
        <f t="shared" si="29"/>
        <v>0</v>
      </c>
      <c r="Z64" s="340">
        <f t="shared" si="30"/>
        <v>0</v>
      </c>
      <c r="AA64" s="340">
        <f t="shared" si="31"/>
        <v>0</v>
      </c>
      <c r="AB64" s="340">
        <f t="shared" si="32"/>
        <v>0</v>
      </c>
      <c r="AC64" s="340">
        <f t="shared" si="33"/>
        <v>0</v>
      </c>
      <c r="AD64" s="98">
        <f t="shared" si="34"/>
        <v>0</v>
      </c>
      <c r="AE64" s="465">
        <f t="shared" si="35"/>
        <v>0</v>
      </c>
      <c r="AF64" s="578">
        <f t="shared" si="36"/>
        <v>0</v>
      </c>
      <c r="AG64" s="98">
        <f t="shared" si="37"/>
        <v>0</v>
      </c>
      <c r="AH64" s="340">
        <f t="shared" si="38"/>
        <v>0</v>
      </c>
      <c r="AI64" s="340">
        <f t="shared" si="39"/>
        <v>0</v>
      </c>
      <c r="AJ64" s="340">
        <f t="shared" si="40"/>
        <v>0</v>
      </c>
      <c r="AK64" s="465">
        <f t="shared" si="41"/>
        <v>0</v>
      </c>
      <c r="AL64" s="465">
        <f t="shared" ref="AL64:AN64" si="77">IF($A20&lt;AL$5,IF(AL63&lt;&gt;0,AL63+AL20,AL20),0)</f>
        <v>0</v>
      </c>
      <c r="AM64" s="465">
        <f t="shared" si="77"/>
        <v>0</v>
      </c>
      <c r="AN64" s="465">
        <f t="shared" si="77"/>
        <v>0</v>
      </c>
      <c r="AO64" s="98">
        <f t="shared" si="42"/>
        <v>0</v>
      </c>
      <c r="AP64" s="340">
        <f t="shared" si="43"/>
        <v>0</v>
      </c>
      <c r="AQ64" s="340">
        <f t="shared" si="44"/>
        <v>0</v>
      </c>
      <c r="AR64" s="340">
        <f t="shared" si="45"/>
        <v>0</v>
      </c>
      <c r="AS64" s="340">
        <f t="shared" si="46"/>
        <v>0</v>
      </c>
      <c r="AT64" s="340">
        <f t="shared" si="47"/>
        <v>0</v>
      </c>
      <c r="AU64" s="340">
        <f t="shared" si="48"/>
        <v>0</v>
      </c>
      <c r="AV64" s="340">
        <f t="shared" si="49"/>
        <v>0</v>
      </c>
      <c r="AW64" s="340">
        <f t="shared" si="50"/>
        <v>0</v>
      </c>
      <c r="AX64" s="465">
        <f t="shared" si="51"/>
        <v>0</v>
      </c>
      <c r="AY64" s="98">
        <f t="shared" si="52"/>
        <v>0</v>
      </c>
      <c r="AZ64" s="340">
        <f t="shared" si="53"/>
        <v>0</v>
      </c>
      <c r="BA64" s="98">
        <f t="shared" si="54"/>
        <v>0</v>
      </c>
      <c r="BB64" s="340">
        <f t="shared" si="55"/>
        <v>0</v>
      </c>
      <c r="BC64" s="465">
        <f t="shared" si="56"/>
        <v>0</v>
      </c>
      <c r="BD64" s="340">
        <f t="shared" si="57"/>
        <v>0</v>
      </c>
      <c r="BE64" s="578">
        <f t="shared" si="58"/>
        <v>0</v>
      </c>
      <c r="BF64" s="98">
        <f t="shared" si="59"/>
        <v>0</v>
      </c>
      <c r="BG64" s="465">
        <f t="shared" si="60"/>
        <v>0</v>
      </c>
    </row>
    <row r="65" spans="1:59" ht="11.1" hidden="1" customHeight="1" x14ac:dyDescent="0.25">
      <c r="A65" s="574">
        <v>17</v>
      </c>
      <c r="B65" s="98">
        <f t="shared" si="10"/>
        <v>0</v>
      </c>
      <c r="C65" s="340">
        <f t="shared" si="11"/>
        <v>0</v>
      </c>
      <c r="D65" s="340">
        <f t="shared" si="12"/>
        <v>0</v>
      </c>
      <c r="E65" s="340">
        <f t="shared" si="13"/>
        <v>0</v>
      </c>
      <c r="F65" s="340">
        <f t="shared" si="14"/>
        <v>0</v>
      </c>
      <c r="G65" s="465">
        <f t="shared" si="15"/>
        <v>0</v>
      </c>
      <c r="H65" s="98">
        <f t="shared" si="16"/>
        <v>0</v>
      </c>
      <c r="I65" s="340">
        <f t="shared" si="17"/>
        <v>0</v>
      </c>
      <c r="J65" s="340">
        <f t="shared" si="18"/>
        <v>0</v>
      </c>
      <c r="K65" s="340">
        <f t="shared" si="61"/>
        <v>0</v>
      </c>
      <c r="L65" s="465">
        <f t="shared" si="65"/>
        <v>0</v>
      </c>
      <c r="M65" s="465">
        <f t="shared" si="62"/>
        <v>0</v>
      </c>
      <c r="N65" s="98">
        <f t="shared" si="19"/>
        <v>0</v>
      </c>
      <c r="O65" s="340">
        <f t="shared" si="20"/>
        <v>0</v>
      </c>
      <c r="P65" s="340">
        <f t="shared" si="21"/>
        <v>0</v>
      </c>
      <c r="Q65" s="340">
        <f t="shared" si="22"/>
        <v>0</v>
      </c>
      <c r="R65" s="340">
        <f t="shared" si="23"/>
        <v>0</v>
      </c>
      <c r="S65" s="340">
        <f t="shared" si="24"/>
        <v>0</v>
      </c>
      <c r="T65" s="340">
        <f t="shared" si="25"/>
        <v>0</v>
      </c>
      <c r="U65" s="340">
        <f t="shared" si="25"/>
        <v>0</v>
      </c>
      <c r="V65" s="340">
        <f t="shared" si="26"/>
        <v>0</v>
      </c>
      <c r="W65" s="465">
        <f t="shared" si="27"/>
        <v>0</v>
      </c>
      <c r="X65" s="340">
        <f t="shared" si="28"/>
        <v>0</v>
      </c>
      <c r="Y65" s="340">
        <f t="shared" si="29"/>
        <v>0</v>
      </c>
      <c r="Z65" s="340">
        <f t="shared" si="30"/>
        <v>0</v>
      </c>
      <c r="AA65" s="340">
        <f t="shared" si="31"/>
        <v>0</v>
      </c>
      <c r="AB65" s="340">
        <f t="shared" si="32"/>
        <v>0</v>
      </c>
      <c r="AC65" s="340">
        <f t="shared" si="33"/>
        <v>0</v>
      </c>
      <c r="AD65" s="98">
        <f t="shared" si="34"/>
        <v>0</v>
      </c>
      <c r="AE65" s="465">
        <f t="shared" si="35"/>
        <v>0</v>
      </c>
      <c r="AF65" s="578">
        <f t="shared" si="36"/>
        <v>0</v>
      </c>
      <c r="AG65" s="98">
        <f t="shared" si="37"/>
        <v>0</v>
      </c>
      <c r="AH65" s="340">
        <f t="shared" si="38"/>
        <v>0</v>
      </c>
      <c r="AI65" s="340">
        <f t="shared" si="39"/>
        <v>0</v>
      </c>
      <c r="AJ65" s="340">
        <f t="shared" si="40"/>
        <v>0</v>
      </c>
      <c r="AK65" s="465">
        <f t="shared" si="41"/>
        <v>0</v>
      </c>
      <c r="AL65" s="465">
        <f t="shared" ref="AL65:AN65" si="78">IF($A21&lt;AL$5,IF(AL64&lt;&gt;0,AL64+AL21,AL21),0)</f>
        <v>0</v>
      </c>
      <c r="AM65" s="465">
        <f t="shared" si="78"/>
        <v>0</v>
      </c>
      <c r="AN65" s="465">
        <f t="shared" si="78"/>
        <v>0</v>
      </c>
      <c r="AO65" s="98">
        <f t="shared" si="42"/>
        <v>0</v>
      </c>
      <c r="AP65" s="340">
        <f t="shared" si="43"/>
        <v>0</v>
      </c>
      <c r="AQ65" s="340">
        <f t="shared" si="44"/>
        <v>0</v>
      </c>
      <c r="AR65" s="340">
        <f t="shared" si="45"/>
        <v>0</v>
      </c>
      <c r="AS65" s="340">
        <f t="shared" si="46"/>
        <v>0</v>
      </c>
      <c r="AT65" s="340">
        <f t="shared" si="47"/>
        <v>0</v>
      </c>
      <c r="AU65" s="340">
        <f t="shared" si="48"/>
        <v>0</v>
      </c>
      <c r="AV65" s="340">
        <f t="shared" si="49"/>
        <v>0</v>
      </c>
      <c r="AW65" s="340">
        <f t="shared" si="50"/>
        <v>0</v>
      </c>
      <c r="AX65" s="465">
        <f t="shared" si="51"/>
        <v>0</v>
      </c>
      <c r="AY65" s="98">
        <f t="shared" si="52"/>
        <v>0</v>
      </c>
      <c r="AZ65" s="340">
        <f t="shared" si="53"/>
        <v>0</v>
      </c>
      <c r="BA65" s="98">
        <f t="shared" si="54"/>
        <v>0</v>
      </c>
      <c r="BB65" s="340">
        <f t="shared" si="55"/>
        <v>0</v>
      </c>
      <c r="BC65" s="465">
        <f t="shared" si="56"/>
        <v>0</v>
      </c>
      <c r="BD65" s="340">
        <f t="shared" si="57"/>
        <v>0</v>
      </c>
      <c r="BE65" s="578">
        <f t="shared" si="58"/>
        <v>0</v>
      </c>
      <c r="BF65" s="98">
        <f t="shared" si="59"/>
        <v>0</v>
      </c>
      <c r="BG65" s="465">
        <f t="shared" si="60"/>
        <v>0</v>
      </c>
    </row>
    <row r="66" spans="1:59" ht="11.1" hidden="1" customHeight="1" x14ac:dyDescent="0.25">
      <c r="A66" s="574">
        <v>18</v>
      </c>
      <c r="B66" s="98">
        <f t="shared" ref="B66:B88" si="79">IF($A22&lt;B$5,IF(B65&lt;&gt;0,B65+B22,B22),0)</f>
        <v>0</v>
      </c>
      <c r="C66" s="340">
        <f t="shared" ref="C66:C88" si="80">IF($A22&lt;C$5,IF(C65&lt;&gt;0,C65+C22,C22),0)</f>
        <v>0</v>
      </c>
      <c r="D66" s="340">
        <f t="shared" ref="D66:D88" si="81">IF($A22&lt;D$5,IF(D65&lt;&gt;0,D65+D22,D22),0)</f>
        <v>0</v>
      </c>
      <c r="E66" s="340">
        <f t="shared" ref="E66:E88" si="82">IF($A22&lt;E$5,IF(E65&lt;&gt;0,E65+E22,E22),0)</f>
        <v>0</v>
      </c>
      <c r="F66" s="340">
        <f t="shared" ref="F66:F88" si="83">IF($A22&lt;F$5,IF(F65&lt;&gt;0,F65+F22,F22),0)</f>
        <v>0</v>
      </c>
      <c r="G66" s="465">
        <f t="shared" ref="G66:G88" si="84">IF($A22&lt;G$5,IF(G65&lt;&gt;0,G65+G22,G22),0)</f>
        <v>0</v>
      </c>
      <c r="H66" s="98">
        <f t="shared" ref="H66:H88" si="85">IF($A22&lt;H$5,IF(H65&lt;&gt;0,H65+H22,H22),0)</f>
        <v>0</v>
      </c>
      <c r="I66" s="340">
        <f t="shared" ref="I66:I88" si="86">IF($A22&lt;I$5,IF(I65&lt;&gt;0,I65+I22,I22),0)</f>
        <v>0</v>
      </c>
      <c r="J66" s="340">
        <f t="shared" ref="J66:J88" si="87">IF($A22&lt;J$5,IF(J65&lt;&gt;0,J65+J22,J22),0)</f>
        <v>0</v>
      </c>
      <c r="K66" s="340">
        <f t="shared" ref="K66:K88" si="88">IF($A22&lt;K$5,IF(K65&lt;&gt;0,K65+K22,K22),0)</f>
        <v>0</v>
      </c>
      <c r="L66" s="465">
        <f t="shared" ref="L66:L88" si="89">IF($A22&lt;L$5,IF(L65&lt;&gt;0,L65+L22,L22),0)</f>
        <v>0</v>
      </c>
      <c r="M66" s="465">
        <f t="shared" si="62"/>
        <v>0</v>
      </c>
      <c r="N66" s="98">
        <f t="shared" ref="N66:N88" si="90">IF($A22&lt;N$5,IF(N65&lt;&gt;0,N65+N22,N22),0)</f>
        <v>0</v>
      </c>
      <c r="O66" s="340">
        <f t="shared" ref="O66:O88" si="91">IF($A22&lt;O$5,IF(O65&lt;&gt;0,O65+O22,O22),0)</f>
        <v>0</v>
      </c>
      <c r="P66" s="340">
        <f t="shared" ref="P66:P88" si="92">IF($A22&lt;P$5,IF(P65&lt;&gt;0,P65+P22,P22),0)</f>
        <v>0</v>
      </c>
      <c r="Q66" s="340">
        <f t="shared" ref="Q66:Q88" si="93">IF($A22&lt;Q$5,IF(Q65&lt;&gt;0,Q65+Q22,Q22),0)</f>
        <v>0</v>
      </c>
      <c r="R66" s="340">
        <f t="shared" ref="R66:R88" si="94">IF($A22&lt;R$5,IF(R65&lt;&gt;0,R65+R22,R22),0)</f>
        <v>0</v>
      </c>
      <c r="S66" s="340">
        <f t="shared" ref="S66:S88" si="95">IF($A22&lt;S$5,IF(S65&lt;&gt;0,S65+S22,S22),0)</f>
        <v>0</v>
      </c>
      <c r="T66" s="340">
        <f t="shared" ref="T66:U88" si="96">IF($A22&lt;T$5,IF(T65&lt;&gt;0,T65+T22,T22),0)</f>
        <v>0</v>
      </c>
      <c r="U66" s="340">
        <f t="shared" si="96"/>
        <v>0</v>
      </c>
      <c r="V66" s="340">
        <f t="shared" ref="V66:V88" si="97">IF($A22&lt;V$5,IF(V65&lt;&gt;0,V65+V22,V22),0)</f>
        <v>0</v>
      </c>
      <c r="W66" s="465">
        <f t="shared" ref="W66:W88" si="98">IF($A22&lt;W$5,IF(W65&lt;&gt;0,W65+W22,W22),0)</f>
        <v>0</v>
      </c>
      <c r="X66" s="340">
        <f t="shared" ref="X66:X88" si="99">IF($A22&lt;X$5,IF(X65&lt;&gt;0,X65+X22,X22),0)</f>
        <v>0</v>
      </c>
      <c r="Y66" s="340">
        <f t="shared" ref="Y66:Y88" si="100">IF($A22&lt;Y$5,IF(Y65&lt;&gt;0,Y65+Y22,Y22),0)</f>
        <v>0</v>
      </c>
      <c r="Z66" s="340">
        <f t="shared" ref="Z66:Z88" si="101">IF($A22&lt;Z$5,IF(Z65&lt;&gt;0,Z65+Z22,Z22),0)</f>
        <v>0</v>
      </c>
      <c r="AA66" s="340">
        <f t="shared" ref="AA66:AA88" si="102">IF($A22&lt;AA$5,IF(AA65&lt;&gt;0,AA65+AA22,AA22),0)</f>
        <v>0</v>
      </c>
      <c r="AB66" s="340">
        <f t="shared" ref="AB66:AB88" si="103">IF($A22&lt;AB$5,IF(AB65&lt;&gt;0,AB65+AB22,AB22),0)</f>
        <v>0</v>
      </c>
      <c r="AC66" s="340">
        <f t="shared" ref="AC66:AC88" si="104">IF($A22&lt;AC$5,IF(AC65&lt;&gt;0,AC65+AC22,AC22),0)</f>
        <v>0</v>
      </c>
      <c r="AD66" s="98">
        <f t="shared" ref="AD66:AD88" si="105">IF($A22&lt;AD$5,IF(AD65&lt;&gt;0,AD65+AD22,AD22),0)</f>
        <v>0</v>
      </c>
      <c r="AE66" s="465">
        <f t="shared" ref="AE66:AE73" si="106">IF($A22&lt;AE$5,IF(AE65&lt;&gt;0,AE65+AE22,AE22),0)</f>
        <v>0</v>
      </c>
      <c r="AF66" s="578">
        <f t="shared" ref="AF66:AF73" si="107">IF($A22&lt;AF$5,IF(AF65&lt;&gt;0,AF65+AF22,AF22),0)</f>
        <v>0</v>
      </c>
      <c r="AG66" s="98">
        <f t="shared" ref="AG66:AG88" si="108">IF($A22&lt;AG$5,IF(AG65&lt;&gt;0,AG65+AG22,AG22),0)</f>
        <v>0</v>
      </c>
      <c r="AH66" s="340">
        <f t="shared" ref="AH66:AH88" si="109">IF($A22&lt;AH$5,IF(AH65&lt;&gt;0,AH65+AH22,AH22),0)</f>
        <v>0</v>
      </c>
      <c r="AI66" s="340">
        <f t="shared" ref="AI66:AI88" si="110">IF($A22&lt;AI$5,IF(AI65&lt;&gt;0,AI65+AI22,AI22),0)</f>
        <v>0</v>
      </c>
      <c r="AJ66" s="340">
        <f t="shared" ref="AJ66:AJ88" si="111">IF($A22&lt;AJ$5,IF(AJ65&lt;&gt;0,AJ65+AJ22,AJ22),0)</f>
        <v>0</v>
      </c>
      <c r="AK66" s="465">
        <f t="shared" ref="AK66:AN88" si="112">IF($A22&lt;AK$5,IF(AK65&lt;&gt;0,AK65+AK22,AK22),0)</f>
        <v>0</v>
      </c>
      <c r="AL66" s="465">
        <f t="shared" si="112"/>
        <v>0</v>
      </c>
      <c r="AM66" s="465">
        <f t="shared" si="112"/>
        <v>0</v>
      </c>
      <c r="AN66" s="465">
        <f t="shared" si="112"/>
        <v>0</v>
      </c>
      <c r="AO66" s="98">
        <f t="shared" ref="AO66:AO88" si="113">IF($A22&lt;AO$5,IF(AO65&lt;&gt;0,AO65+AO22,AO22),0)</f>
        <v>0</v>
      </c>
      <c r="AP66" s="340">
        <f t="shared" ref="AP66:AP88" si="114">IF($A22&lt;AP$5,IF(AP65&lt;&gt;0,AP65+AP22,AP22),0)</f>
        <v>0</v>
      </c>
      <c r="AQ66" s="340">
        <f t="shared" ref="AQ66:AQ88" si="115">IF($A22&lt;AQ$5,IF(AQ65&lt;&gt;0,AQ65+AQ22,AQ22),0)</f>
        <v>0</v>
      </c>
      <c r="AR66" s="340">
        <f t="shared" ref="AR66:AR88" si="116">IF($A22&lt;AR$5,IF(AR65&lt;&gt;0,AR65+AR22,AR22),0)</f>
        <v>0</v>
      </c>
      <c r="AS66" s="340">
        <f t="shared" ref="AS66:AS88" si="117">IF($A22&lt;AS$5,IF(AS65&lt;&gt;0,AS65+AS22,AS22),0)</f>
        <v>0</v>
      </c>
      <c r="AT66" s="340">
        <f t="shared" ref="AT66:AT88" si="118">IF($A22&lt;AT$5,IF(AT65&lt;&gt;0,AT65+AT22,AT22),0)</f>
        <v>0</v>
      </c>
      <c r="AU66" s="340">
        <f t="shared" ref="AU66:AU88" si="119">IF($A22&lt;AU$5,IF(AU65&lt;&gt;0,AU65+AU22,AU22),0)</f>
        <v>0</v>
      </c>
      <c r="AV66" s="340">
        <f t="shared" ref="AV66:AV88" si="120">IF($A22&lt;AV$5,IF(AV65&lt;&gt;0,AV65+AV22,AV22),0)</f>
        <v>0</v>
      </c>
      <c r="AW66" s="340">
        <f t="shared" ref="AW66:AW88" si="121">IF($A22&lt;AW$5,IF(AW65&lt;&gt;0,AW65+AW22,AW22),0)</f>
        <v>0</v>
      </c>
      <c r="AX66" s="465">
        <f t="shared" ref="AX66:AX88" si="122">IF($A22&lt;AX$5,IF(AX65&lt;&gt;0,AX65+AX22,AX22),0)</f>
        <v>0</v>
      </c>
      <c r="AY66" s="98">
        <f t="shared" ref="AY66:BA88" si="123">IF($A22&lt;AY$5,IF(AY65&lt;&gt;0,AY65+AY22,AY22),0)</f>
        <v>0</v>
      </c>
      <c r="AZ66" s="340">
        <f t="shared" ref="AZ66:AZ88" si="124">IF($A22&lt;AZ$5,IF(AZ65&lt;&gt;0,AZ65+AZ22,AZ22),0)</f>
        <v>0</v>
      </c>
      <c r="BA66" s="98">
        <f t="shared" si="123"/>
        <v>0</v>
      </c>
      <c r="BB66" s="340">
        <f t="shared" ref="BB66:BC88" si="125">IF($A22&lt;BB$5,IF(BB65&lt;&gt;0,BB65+BB22,BB22),0)</f>
        <v>0</v>
      </c>
      <c r="BC66" s="465">
        <f t="shared" si="125"/>
        <v>0</v>
      </c>
      <c r="BD66" s="340">
        <f t="shared" si="57"/>
        <v>0</v>
      </c>
      <c r="BE66" s="578">
        <f t="shared" ref="BE66:BE88" si="126">IF($A22&lt;BE$5,IF(BE65&lt;&gt;0,BE65+BE22,BE22),0)</f>
        <v>0</v>
      </c>
      <c r="BF66" s="98">
        <f t="shared" ref="BF66:BF88" si="127">IF($A22&lt;BF$5,IF(BF65&lt;&gt;0,BF65+BF22,BF22),0)</f>
        <v>0</v>
      </c>
      <c r="BG66" s="465">
        <f t="shared" ref="BG66:BG88" si="128">IF($A22&lt;BG$5,IF(BG65&lt;&gt;0,BG65+BG22,BG22),0)</f>
        <v>0</v>
      </c>
    </row>
    <row r="67" spans="1:59" ht="11.1" hidden="1" customHeight="1" x14ac:dyDescent="0.25">
      <c r="A67" s="574">
        <v>19</v>
      </c>
      <c r="B67" s="98">
        <f t="shared" si="79"/>
        <v>0</v>
      </c>
      <c r="C67" s="340">
        <f t="shared" si="80"/>
        <v>0</v>
      </c>
      <c r="D67" s="340">
        <f t="shared" si="81"/>
        <v>0</v>
      </c>
      <c r="E67" s="340">
        <f t="shared" si="82"/>
        <v>0</v>
      </c>
      <c r="F67" s="340">
        <f t="shared" si="83"/>
        <v>0</v>
      </c>
      <c r="G67" s="465">
        <f t="shared" si="84"/>
        <v>0</v>
      </c>
      <c r="H67" s="98">
        <f t="shared" si="85"/>
        <v>0</v>
      </c>
      <c r="I67" s="340">
        <f t="shared" si="86"/>
        <v>0</v>
      </c>
      <c r="J67" s="340">
        <f t="shared" si="87"/>
        <v>0</v>
      </c>
      <c r="K67" s="340">
        <f t="shared" si="88"/>
        <v>0</v>
      </c>
      <c r="L67" s="465">
        <f t="shared" si="89"/>
        <v>0</v>
      </c>
      <c r="M67" s="465">
        <f t="shared" si="62"/>
        <v>0</v>
      </c>
      <c r="N67" s="98">
        <f t="shared" si="90"/>
        <v>0</v>
      </c>
      <c r="O67" s="340">
        <f t="shared" si="91"/>
        <v>0</v>
      </c>
      <c r="P67" s="340">
        <f t="shared" si="92"/>
        <v>0</v>
      </c>
      <c r="Q67" s="340">
        <f t="shared" si="93"/>
        <v>0</v>
      </c>
      <c r="R67" s="340">
        <f t="shared" si="94"/>
        <v>0</v>
      </c>
      <c r="S67" s="340">
        <f t="shared" si="95"/>
        <v>0</v>
      </c>
      <c r="T67" s="340">
        <f t="shared" si="96"/>
        <v>0</v>
      </c>
      <c r="U67" s="340">
        <f t="shared" si="96"/>
        <v>0</v>
      </c>
      <c r="V67" s="340">
        <f t="shared" si="97"/>
        <v>0</v>
      </c>
      <c r="W67" s="465">
        <f t="shared" si="98"/>
        <v>0</v>
      </c>
      <c r="X67" s="340">
        <f t="shared" si="99"/>
        <v>0</v>
      </c>
      <c r="Y67" s="340">
        <f t="shared" si="100"/>
        <v>0</v>
      </c>
      <c r="Z67" s="340">
        <f t="shared" si="101"/>
        <v>0</v>
      </c>
      <c r="AA67" s="340">
        <f t="shared" si="102"/>
        <v>0</v>
      </c>
      <c r="AB67" s="340">
        <f t="shared" si="103"/>
        <v>0</v>
      </c>
      <c r="AC67" s="340">
        <f t="shared" si="104"/>
        <v>0</v>
      </c>
      <c r="AD67" s="98">
        <f t="shared" si="105"/>
        <v>0</v>
      </c>
      <c r="AE67" s="465">
        <f t="shared" si="106"/>
        <v>0</v>
      </c>
      <c r="AF67" s="578">
        <f t="shared" si="107"/>
        <v>0</v>
      </c>
      <c r="AG67" s="98">
        <f t="shared" si="108"/>
        <v>0</v>
      </c>
      <c r="AH67" s="340">
        <f t="shared" si="109"/>
        <v>0</v>
      </c>
      <c r="AI67" s="340">
        <f t="shared" si="110"/>
        <v>0</v>
      </c>
      <c r="AJ67" s="340">
        <f t="shared" si="111"/>
        <v>0</v>
      </c>
      <c r="AK67" s="465">
        <f t="shared" si="112"/>
        <v>0</v>
      </c>
      <c r="AL67" s="465">
        <f t="shared" si="112"/>
        <v>0</v>
      </c>
      <c r="AM67" s="465">
        <f t="shared" si="112"/>
        <v>0</v>
      </c>
      <c r="AN67" s="465">
        <f t="shared" si="112"/>
        <v>0</v>
      </c>
      <c r="AO67" s="98">
        <f t="shared" si="113"/>
        <v>0</v>
      </c>
      <c r="AP67" s="340">
        <f t="shared" si="114"/>
        <v>0</v>
      </c>
      <c r="AQ67" s="340">
        <f t="shared" si="115"/>
        <v>0</v>
      </c>
      <c r="AR67" s="340">
        <f t="shared" si="116"/>
        <v>0</v>
      </c>
      <c r="AS67" s="340">
        <f t="shared" si="117"/>
        <v>0</v>
      </c>
      <c r="AT67" s="340">
        <f t="shared" si="118"/>
        <v>0</v>
      </c>
      <c r="AU67" s="340">
        <f t="shared" si="119"/>
        <v>0</v>
      </c>
      <c r="AV67" s="340">
        <f t="shared" si="120"/>
        <v>0</v>
      </c>
      <c r="AW67" s="340">
        <f t="shared" si="121"/>
        <v>0</v>
      </c>
      <c r="AX67" s="465">
        <f t="shared" si="122"/>
        <v>0</v>
      </c>
      <c r="AY67" s="98">
        <f t="shared" si="123"/>
        <v>0</v>
      </c>
      <c r="AZ67" s="340">
        <f t="shared" si="124"/>
        <v>0</v>
      </c>
      <c r="BA67" s="98">
        <f t="shared" si="123"/>
        <v>0</v>
      </c>
      <c r="BB67" s="340">
        <f t="shared" si="125"/>
        <v>0</v>
      </c>
      <c r="BC67" s="465">
        <f t="shared" si="125"/>
        <v>0</v>
      </c>
      <c r="BD67" s="340">
        <f t="shared" si="57"/>
        <v>0</v>
      </c>
      <c r="BE67" s="578">
        <f t="shared" si="126"/>
        <v>0</v>
      </c>
      <c r="BF67" s="98">
        <f t="shared" si="127"/>
        <v>0</v>
      </c>
      <c r="BG67" s="465">
        <f t="shared" si="128"/>
        <v>0</v>
      </c>
    </row>
    <row r="68" spans="1:59" ht="11.1" hidden="1" customHeight="1" x14ac:dyDescent="0.25">
      <c r="A68" s="574">
        <v>20</v>
      </c>
      <c r="B68" s="98">
        <f t="shared" si="79"/>
        <v>0</v>
      </c>
      <c r="C68" s="340">
        <f t="shared" si="80"/>
        <v>0</v>
      </c>
      <c r="D68" s="340">
        <f t="shared" si="81"/>
        <v>0</v>
      </c>
      <c r="E68" s="340">
        <f t="shared" si="82"/>
        <v>0</v>
      </c>
      <c r="F68" s="340">
        <f t="shared" si="83"/>
        <v>0</v>
      </c>
      <c r="G68" s="465">
        <f t="shared" si="84"/>
        <v>0</v>
      </c>
      <c r="H68" s="98">
        <f t="shared" si="85"/>
        <v>0</v>
      </c>
      <c r="I68" s="340">
        <f t="shared" si="86"/>
        <v>0</v>
      </c>
      <c r="J68" s="340">
        <f t="shared" si="87"/>
        <v>0</v>
      </c>
      <c r="K68" s="340">
        <f t="shared" si="88"/>
        <v>0</v>
      </c>
      <c r="L68" s="465">
        <f t="shared" si="89"/>
        <v>0</v>
      </c>
      <c r="M68" s="465">
        <f t="shared" si="62"/>
        <v>0</v>
      </c>
      <c r="N68" s="98">
        <f t="shared" si="90"/>
        <v>0</v>
      </c>
      <c r="O68" s="340">
        <f t="shared" si="91"/>
        <v>0</v>
      </c>
      <c r="P68" s="340">
        <f t="shared" si="92"/>
        <v>0</v>
      </c>
      <c r="Q68" s="340">
        <f t="shared" si="93"/>
        <v>0</v>
      </c>
      <c r="R68" s="340">
        <f t="shared" si="94"/>
        <v>0</v>
      </c>
      <c r="S68" s="340">
        <f t="shared" si="95"/>
        <v>0</v>
      </c>
      <c r="T68" s="340">
        <f t="shared" si="96"/>
        <v>0</v>
      </c>
      <c r="U68" s="340">
        <f t="shared" si="96"/>
        <v>0</v>
      </c>
      <c r="V68" s="340">
        <f t="shared" si="97"/>
        <v>0</v>
      </c>
      <c r="W68" s="465">
        <f t="shared" si="98"/>
        <v>0</v>
      </c>
      <c r="X68" s="340">
        <f t="shared" si="99"/>
        <v>0</v>
      </c>
      <c r="Y68" s="340">
        <f t="shared" si="100"/>
        <v>0</v>
      </c>
      <c r="Z68" s="340">
        <f t="shared" si="101"/>
        <v>0</v>
      </c>
      <c r="AA68" s="340">
        <f t="shared" si="102"/>
        <v>0</v>
      </c>
      <c r="AB68" s="340">
        <f t="shared" si="103"/>
        <v>0</v>
      </c>
      <c r="AC68" s="340">
        <f t="shared" si="104"/>
        <v>0</v>
      </c>
      <c r="AD68" s="98">
        <f t="shared" si="105"/>
        <v>0</v>
      </c>
      <c r="AE68" s="465">
        <f t="shared" si="106"/>
        <v>0</v>
      </c>
      <c r="AF68" s="578">
        <f t="shared" si="107"/>
        <v>0</v>
      </c>
      <c r="AG68" s="98">
        <f t="shared" si="108"/>
        <v>0</v>
      </c>
      <c r="AH68" s="340">
        <f t="shared" si="109"/>
        <v>0</v>
      </c>
      <c r="AI68" s="340">
        <f t="shared" si="110"/>
        <v>0</v>
      </c>
      <c r="AJ68" s="340">
        <f t="shared" si="111"/>
        <v>0</v>
      </c>
      <c r="AK68" s="465">
        <f t="shared" si="112"/>
        <v>0</v>
      </c>
      <c r="AL68" s="465">
        <f t="shared" si="112"/>
        <v>0</v>
      </c>
      <c r="AM68" s="465">
        <f t="shared" si="112"/>
        <v>0</v>
      </c>
      <c r="AN68" s="465">
        <f t="shared" si="112"/>
        <v>0</v>
      </c>
      <c r="AO68" s="98">
        <f t="shared" si="113"/>
        <v>0</v>
      </c>
      <c r="AP68" s="340">
        <f t="shared" si="114"/>
        <v>0</v>
      </c>
      <c r="AQ68" s="340">
        <f t="shared" si="115"/>
        <v>0</v>
      </c>
      <c r="AR68" s="340">
        <f t="shared" si="116"/>
        <v>0</v>
      </c>
      <c r="AS68" s="340">
        <f t="shared" si="117"/>
        <v>0</v>
      </c>
      <c r="AT68" s="340">
        <f t="shared" si="118"/>
        <v>0</v>
      </c>
      <c r="AU68" s="340">
        <f t="shared" si="119"/>
        <v>0</v>
      </c>
      <c r="AV68" s="340">
        <f t="shared" si="120"/>
        <v>0</v>
      </c>
      <c r="AW68" s="340">
        <f t="shared" si="121"/>
        <v>0</v>
      </c>
      <c r="AX68" s="465">
        <f t="shared" si="122"/>
        <v>0</v>
      </c>
      <c r="AY68" s="98">
        <f t="shared" si="123"/>
        <v>0</v>
      </c>
      <c r="AZ68" s="340">
        <f t="shared" si="124"/>
        <v>0</v>
      </c>
      <c r="BA68" s="98">
        <f t="shared" si="123"/>
        <v>0</v>
      </c>
      <c r="BB68" s="340">
        <f t="shared" si="125"/>
        <v>0</v>
      </c>
      <c r="BC68" s="465">
        <f t="shared" si="125"/>
        <v>0</v>
      </c>
      <c r="BD68" s="340">
        <f t="shared" si="57"/>
        <v>0</v>
      </c>
      <c r="BE68" s="578">
        <f t="shared" si="126"/>
        <v>0</v>
      </c>
      <c r="BF68" s="98">
        <f t="shared" si="127"/>
        <v>0</v>
      </c>
      <c r="BG68" s="465">
        <f t="shared" si="128"/>
        <v>0</v>
      </c>
    </row>
    <row r="69" spans="1:59" ht="11.1" hidden="1" customHeight="1" x14ac:dyDescent="0.25">
      <c r="A69" s="574">
        <v>21</v>
      </c>
      <c r="B69" s="98">
        <f t="shared" si="79"/>
        <v>0</v>
      </c>
      <c r="C69" s="340">
        <f t="shared" si="80"/>
        <v>0</v>
      </c>
      <c r="D69" s="340">
        <f t="shared" si="81"/>
        <v>0</v>
      </c>
      <c r="E69" s="340">
        <f t="shared" si="82"/>
        <v>0</v>
      </c>
      <c r="F69" s="340">
        <f t="shared" si="83"/>
        <v>0</v>
      </c>
      <c r="G69" s="465">
        <f t="shared" si="84"/>
        <v>0</v>
      </c>
      <c r="H69" s="98">
        <f t="shared" si="85"/>
        <v>0</v>
      </c>
      <c r="I69" s="340">
        <f t="shared" si="86"/>
        <v>0</v>
      </c>
      <c r="J69" s="340">
        <f t="shared" si="87"/>
        <v>0</v>
      </c>
      <c r="K69" s="340">
        <f t="shared" si="88"/>
        <v>0</v>
      </c>
      <c r="L69" s="465">
        <f t="shared" si="89"/>
        <v>0</v>
      </c>
      <c r="M69" s="465">
        <f t="shared" si="62"/>
        <v>0</v>
      </c>
      <c r="N69" s="98">
        <f t="shared" si="90"/>
        <v>0</v>
      </c>
      <c r="O69" s="340">
        <f t="shared" si="91"/>
        <v>0</v>
      </c>
      <c r="P69" s="340">
        <f t="shared" si="92"/>
        <v>0</v>
      </c>
      <c r="Q69" s="340">
        <f t="shared" si="93"/>
        <v>0</v>
      </c>
      <c r="R69" s="340">
        <f t="shared" si="94"/>
        <v>0</v>
      </c>
      <c r="S69" s="340">
        <f t="shared" si="95"/>
        <v>0</v>
      </c>
      <c r="T69" s="340">
        <f t="shared" si="96"/>
        <v>0</v>
      </c>
      <c r="U69" s="340">
        <f t="shared" si="96"/>
        <v>0</v>
      </c>
      <c r="V69" s="340">
        <f t="shared" si="97"/>
        <v>0</v>
      </c>
      <c r="W69" s="465">
        <f t="shared" si="98"/>
        <v>0</v>
      </c>
      <c r="X69" s="340">
        <f t="shared" si="99"/>
        <v>0</v>
      </c>
      <c r="Y69" s="340">
        <f t="shared" si="100"/>
        <v>0</v>
      </c>
      <c r="Z69" s="340">
        <f t="shared" si="101"/>
        <v>0</v>
      </c>
      <c r="AA69" s="340">
        <f t="shared" si="102"/>
        <v>0</v>
      </c>
      <c r="AB69" s="340">
        <f t="shared" si="103"/>
        <v>0</v>
      </c>
      <c r="AC69" s="340">
        <f t="shared" si="104"/>
        <v>0</v>
      </c>
      <c r="AD69" s="98">
        <f t="shared" si="105"/>
        <v>0</v>
      </c>
      <c r="AE69" s="465">
        <f t="shared" si="106"/>
        <v>0</v>
      </c>
      <c r="AF69" s="578">
        <f t="shared" si="107"/>
        <v>0</v>
      </c>
      <c r="AG69" s="98">
        <f t="shared" si="108"/>
        <v>0</v>
      </c>
      <c r="AH69" s="340">
        <f t="shared" si="109"/>
        <v>0</v>
      </c>
      <c r="AI69" s="340">
        <f t="shared" si="110"/>
        <v>0</v>
      </c>
      <c r="AJ69" s="340">
        <f t="shared" si="111"/>
        <v>0</v>
      </c>
      <c r="AK69" s="465">
        <f t="shared" si="112"/>
        <v>0</v>
      </c>
      <c r="AL69" s="465">
        <f t="shared" si="112"/>
        <v>0</v>
      </c>
      <c r="AM69" s="465">
        <f t="shared" si="112"/>
        <v>0</v>
      </c>
      <c r="AN69" s="465">
        <f t="shared" si="112"/>
        <v>0</v>
      </c>
      <c r="AO69" s="98">
        <f t="shared" si="113"/>
        <v>0</v>
      </c>
      <c r="AP69" s="340">
        <f t="shared" si="114"/>
        <v>0</v>
      </c>
      <c r="AQ69" s="340">
        <f t="shared" si="115"/>
        <v>0</v>
      </c>
      <c r="AR69" s="340">
        <f t="shared" si="116"/>
        <v>0</v>
      </c>
      <c r="AS69" s="340">
        <f t="shared" si="117"/>
        <v>0</v>
      </c>
      <c r="AT69" s="340">
        <f t="shared" si="118"/>
        <v>0</v>
      </c>
      <c r="AU69" s="340">
        <f t="shared" si="119"/>
        <v>0</v>
      </c>
      <c r="AV69" s="340">
        <f t="shared" si="120"/>
        <v>0</v>
      </c>
      <c r="AW69" s="340">
        <f t="shared" si="121"/>
        <v>0</v>
      </c>
      <c r="AX69" s="465">
        <f t="shared" si="122"/>
        <v>0</v>
      </c>
      <c r="AY69" s="98">
        <f t="shared" si="123"/>
        <v>0</v>
      </c>
      <c r="AZ69" s="340">
        <f t="shared" si="124"/>
        <v>0</v>
      </c>
      <c r="BA69" s="98">
        <f t="shared" si="123"/>
        <v>0</v>
      </c>
      <c r="BB69" s="340">
        <f t="shared" si="125"/>
        <v>0</v>
      </c>
      <c r="BC69" s="465">
        <f t="shared" si="125"/>
        <v>0</v>
      </c>
      <c r="BD69" s="340">
        <f t="shared" si="57"/>
        <v>0</v>
      </c>
      <c r="BE69" s="578">
        <f t="shared" si="126"/>
        <v>0</v>
      </c>
      <c r="BF69" s="98">
        <f t="shared" si="127"/>
        <v>0</v>
      </c>
      <c r="BG69" s="465">
        <f t="shared" si="128"/>
        <v>0</v>
      </c>
    </row>
    <row r="70" spans="1:59" ht="11.1" hidden="1" customHeight="1" x14ac:dyDescent="0.25">
      <c r="A70" s="574">
        <v>22</v>
      </c>
      <c r="B70" s="98">
        <f t="shared" si="79"/>
        <v>0</v>
      </c>
      <c r="C70" s="340">
        <f t="shared" si="80"/>
        <v>0</v>
      </c>
      <c r="D70" s="340">
        <f t="shared" si="81"/>
        <v>0</v>
      </c>
      <c r="E70" s="340">
        <f t="shared" si="82"/>
        <v>0</v>
      </c>
      <c r="F70" s="340">
        <f t="shared" si="83"/>
        <v>0</v>
      </c>
      <c r="G70" s="465">
        <f t="shared" si="84"/>
        <v>0</v>
      </c>
      <c r="H70" s="98">
        <f t="shared" si="85"/>
        <v>0</v>
      </c>
      <c r="I70" s="340">
        <f t="shared" si="86"/>
        <v>0</v>
      </c>
      <c r="J70" s="340">
        <f t="shared" si="87"/>
        <v>0</v>
      </c>
      <c r="K70" s="340">
        <f t="shared" si="88"/>
        <v>0</v>
      </c>
      <c r="L70" s="465">
        <f t="shared" si="89"/>
        <v>0</v>
      </c>
      <c r="M70" s="465">
        <f t="shared" si="62"/>
        <v>0</v>
      </c>
      <c r="N70" s="98">
        <f t="shared" si="90"/>
        <v>0</v>
      </c>
      <c r="O70" s="340">
        <f t="shared" si="91"/>
        <v>0</v>
      </c>
      <c r="P70" s="340">
        <f t="shared" si="92"/>
        <v>0</v>
      </c>
      <c r="Q70" s="340">
        <f t="shared" si="93"/>
        <v>0</v>
      </c>
      <c r="R70" s="340">
        <f t="shared" si="94"/>
        <v>0</v>
      </c>
      <c r="S70" s="340">
        <f t="shared" si="95"/>
        <v>0</v>
      </c>
      <c r="T70" s="340">
        <f t="shared" si="96"/>
        <v>0</v>
      </c>
      <c r="U70" s="340">
        <f t="shared" si="96"/>
        <v>0</v>
      </c>
      <c r="V70" s="340">
        <f t="shared" si="97"/>
        <v>0</v>
      </c>
      <c r="W70" s="465">
        <f t="shared" si="98"/>
        <v>0</v>
      </c>
      <c r="X70" s="340">
        <f t="shared" si="99"/>
        <v>0</v>
      </c>
      <c r="Y70" s="340">
        <f t="shared" si="100"/>
        <v>0</v>
      </c>
      <c r="Z70" s="340">
        <f t="shared" si="101"/>
        <v>0</v>
      </c>
      <c r="AA70" s="340">
        <f t="shared" si="102"/>
        <v>0</v>
      </c>
      <c r="AB70" s="340">
        <f t="shared" si="103"/>
        <v>0</v>
      </c>
      <c r="AC70" s="340">
        <f t="shared" si="104"/>
        <v>0</v>
      </c>
      <c r="AD70" s="98">
        <f t="shared" si="105"/>
        <v>0</v>
      </c>
      <c r="AE70" s="465">
        <f t="shared" si="106"/>
        <v>0</v>
      </c>
      <c r="AF70" s="578">
        <f t="shared" si="107"/>
        <v>0</v>
      </c>
      <c r="AG70" s="98">
        <f t="shared" si="108"/>
        <v>0</v>
      </c>
      <c r="AH70" s="340">
        <f t="shared" si="109"/>
        <v>0</v>
      </c>
      <c r="AI70" s="340">
        <f t="shared" si="110"/>
        <v>0</v>
      </c>
      <c r="AJ70" s="340">
        <f t="shared" si="111"/>
        <v>0</v>
      </c>
      <c r="AK70" s="465">
        <f t="shared" si="112"/>
        <v>0</v>
      </c>
      <c r="AL70" s="465">
        <f t="shared" si="112"/>
        <v>0</v>
      </c>
      <c r="AM70" s="465">
        <f t="shared" si="112"/>
        <v>0</v>
      </c>
      <c r="AN70" s="465">
        <f t="shared" si="112"/>
        <v>0</v>
      </c>
      <c r="AO70" s="98">
        <f t="shared" si="113"/>
        <v>0</v>
      </c>
      <c r="AP70" s="340">
        <f t="shared" si="114"/>
        <v>0</v>
      </c>
      <c r="AQ70" s="340">
        <f t="shared" si="115"/>
        <v>0</v>
      </c>
      <c r="AR70" s="340">
        <f t="shared" si="116"/>
        <v>0</v>
      </c>
      <c r="AS70" s="340">
        <f t="shared" si="117"/>
        <v>0</v>
      </c>
      <c r="AT70" s="340">
        <f t="shared" si="118"/>
        <v>0</v>
      </c>
      <c r="AU70" s="340">
        <f t="shared" si="119"/>
        <v>0</v>
      </c>
      <c r="AV70" s="340">
        <f t="shared" si="120"/>
        <v>0</v>
      </c>
      <c r="AW70" s="340">
        <f t="shared" si="121"/>
        <v>0</v>
      </c>
      <c r="AX70" s="465">
        <f t="shared" si="122"/>
        <v>0</v>
      </c>
      <c r="AY70" s="98">
        <f t="shared" si="123"/>
        <v>0</v>
      </c>
      <c r="AZ70" s="340">
        <f t="shared" si="124"/>
        <v>0</v>
      </c>
      <c r="BA70" s="98">
        <f t="shared" si="123"/>
        <v>0</v>
      </c>
      <c r="BB70" s="340">
        <f t="shared" si="125"/>
        <v>0</v>
      </c>
      <c r="BC70" s="465">
        <f t="shared" si="125"/>
        <v>0</v>
      </c>
      <c r="BD70" s="340">
        <f t="shared" ref="BD70:BD88" si="129">IF($A26&lt;BD$5,IF(BD69&lt;&gt;0,BD69+BD26,BD26),0)</f>
        <v>0</v>
      </c>
      <c r="BE70" s="578">
        <f t="shared" si="126"/>
        <v>0</v>
      </c>
      <c r="BF70" s="98">
        <f t="shared" si="127"/>
        <v>0</v>
      </c>
      <c r="BG70" s="465">
        <f t="shared" si="128"/>
        <v>0</v>
      </c>
    </row>
    <row r="71" spans="1:59" ht="11.1" hidden="1" customHeight="1" x14ac:dyDescent="0.25">
      <c r="A71" s="574">
        <v>23</v>
      </c>
      <c r="B71" s="98">
        <f t="shared" si="79"/>
        <v>0</v>
      </c>
      <c r="C71" s="340">
        <f t="shared" si="80"/>
        <v>0</v>
      </c>
      <c r="D71" s="340">
        <f t="shared" si="81"/>
        <v>0</v>
      </c>
      <c r="E71" s="340">
        <f t="shared" si="82"/>
        <v>0</v>
      </c>
      <c r="F71" s="340">
        <f t="shared" si="83"/>
        <v>0</v>
      </c>
      <c r="G71" s="465">
        <f t="shared" si="84"/>
        <v>0</v>
      </c>
      <c r="H71" s="98">
        <f t="shared" si="85"/>
        <v>0</v>
      </c>
      <c r="I71" s="340">
        <f t="shared" si="86"/>
        <v>0</v>
      </c>
      <c r="J71" s="340">
        <f t="shared" si="87"/>
        <v>0</v>
      </c>
      <c r="K71" s="340">
        <f t="shared" si="88"/>
        <v>0</v>
      </c>
      <c r="L71" s="465">
        <f t="shared" si="89"/>
        <v>0</v>
      </c>
      <c r="M71" s="465">
        <f t="shared" si="62"/>
        <v>0</v>
      </c>
      <c r="N71" s="98">
        <f t="shared" si="90"/>
        <v>0</v>
      </c>
      <c r="O71" s="340">
        <f t="shared" si="91"/>
        <v>0</v>
      </c>
      <c r="P71" s="340">
        <f t="shared" si="92"/>
        <v>0</v>
      </c>
      <c r="Q71" s="340">
        <f t="shared" si="93"/>
        <v>0</v>
      </c>
      <c r="R71" s="340">
        <f t="shared" si="94"/>
        <v>0</v>
      </c>
      <c r="S71" s="340">
        <f t="shared" si="95"/>
        <v>0</v>
      </c>
      <c r="T71" s="340">
        <f t="shared" si="96"/>
        <v>0</v>
      </c>
      <c r="U71" s="340">
        <f t="shared" si="96"/>
        <v>0</v>
      </c>
      <c r="V71" s="340">
        <f t="shared" si="97"/>
        <v>0</v>
      </c>
      <c r="W71" s="465">
        <f t="shared" si="98"/>
        <v>0</v>
      </c>
      <c r="X71" s="340">
        <f t="shared" si="99"/>
        <v>0</v>
      </c>
      <c r="Y71" s="340">
        <f t="shared" si="100"/>
        <v>0</v>
      </c>
      <c r="Z71" s="340">
        <f t="shared" si="101"/>
        <v>0</v>
      </c>
      <c r="AA71" s="340">
        <f t="shared" si="102"/>
        <v>0</v>
      </c>
      <c r="AB71" s="340">
        <f t="shared" si="103"/>
        <v>0</v>
      </c>
      <c r="AC71" s="340">
        <f t="shared" si="104"/>
        <v>0</v>
      </c>
      <c r="AD71" s="98">
        <f t="shared" si="105"/>
        <v>0</v>
      </c>
      <c r="AE71" s="465">
        <f t="shared" si="106"/>
        <v>0</v>
      </c>
      <c r="AF71" s="578">
        <f t="shared" si="107"/>
        <v>0</v>
      </c>
      <c r="AG71" s="98">
        <f t="shared" si="108"/>
        <v>0</v>
      </c>
      <c r="AH71" s="340">
        <f t="shared" si="109"/>
        <v>0</v>
      </c>
      <c r="AI71" s="340">
        <f t="shared" si="110"/>
        <v>0</v>
      </c>
      <c r="AJ71" s="340">
        <f t="shared" si="111"/>
        <v>0</v>
      </c>
      <c r="AK71" s="465">
        <f t="shared" si="112"/>
        <v>0</v>
      </c>
      <c r="AL71" s="465">
        <f t="shared" si="112"/>
        <v>0</v>
      </c>
      <c r="AM71" s="465">
        <f t="shared" si="112"/>
        <v>0</v>
      </c>
      <c r="AN71" s="465">
        <f t="shared" si="112"/>
        <v>0</v>
      </c>
      <c r="AO71" s="98">
        <f t="shared" si="113"/>
        <v>0</v>
      </c>
      <c r="AP71" s="340">
        <f t="shared" si="114"/>
        <v>0</v>
      </c>
      <c r="AQ71" s="340">
        <f t="shared" si="115"/>
        <v>0</v>
      </c>
      <c r="AR71" s="340">
        <f t="shared" si="116"/>
        <v>0</v>
      </c>
      <c r="AS71" s="340">
        <f t="shared" si="117"/>
        <v>0</v>
      </c>
      <c r="AT71" s="340">
        <f t="shared" si="118"/>
        <v>0</v>
      </c>
      <c r="AU71" s="340">
        <f t="shared" si="119"/>
        <v>0</v>
      </c>
      <c r="AV71" s="340">
        <f t="shared" si="120"/>
        <v>0</v>
      </c>
      <c r="AW71" s="340">
        <f t="shared" si="121"/>
        <v>0</v>
      </c>
      <c r="AX71" s="465">
        <f t="shared" si="122"/>
        <v>0</v>
      </c>
      <c r="AY71" s="98">
        <f t="shared" si="123"/>
        <v>0</v>
      </c>
      <c r="AZ71" s="340">
        <f t="shared" si="124"/>
        <v>0</v>
      </c>
      <c r="BA71" s="98">
        <f t="shared" si="123"/>
        <v>0</v>
      </c>
      <c r="BB71" s="340">
        <f t="shared" si="125"/>
        <v>0</v>
      </c>
      <c r="BC71" s="465">
        <f t="shared" si="125"/>
        <v>0</v>
      </c>
      <c r="BD71" s="340">
        <f t="shared" si="129"/>
        <v>0</v>
      </c>
      <c r="BE71" s="578">
        <f t="shared" si="126"/>
        <v>0</v>
      </c>
      <c r="BF71" s="98">
        <f t="shared" si="127"/>
        <v>0</v>
      </c>
      <c r="BG71" s="465">
        <f t="shared" si="128"/>
        <v>0</v>
      </c>
    </row>
    <row r="72" spans="1:59" ht="11.1" hidden="1" customHeight="1" x14ac:dyDescent="0.25">
      <c r="A72" s="574">
        <v>24</v>
      </c>
      <c r="B72" s="98">
        <f t="shared" si="79"/>
        <v>0</v>
      </c>
      <c r="C72" s="340">
        <f t="shared" si="80"/>
        <v>0</v>
      </c>
      <c r="D72" s="340">
        <f t="shared" si="81"/>
        <v>0</v>
      </c>
      <c r="E72" s="340">
        <f t="shared" si="82"/>
        <v>0</v>
      </c>
      <c r="F72" s="340">
        <f t="shared" si="83"/>
        <v>0</v>
      </c>
      <c r="G72" s="465">
        <f t="shared" si="84"/>
        <v>0</v>
      </c>
      <c r="H72" s="98">
        <f t="shared" si="85"/>
        <v>0</v>
      </c>
      <c r="I72" s="340">
        <f t="shared" si="86"/>
        <v>0</v>
      </c>
      <c r="J72" s="340">
        <f t="shared" si="87"/>
        <v>0</v>
      </c>
      <c r="K72" s="340">
        <f t="shared" si="88"/>
        <v>0</v>
      </c>
      <c r="L72" s="465">
        <f t="shared" si="89"/>
        <v>0</v>
      </c>
      <c r="M72" s="465">
        <f t="shared" si="62"/>
        <v>0</v>
      </c>
      <c r="N72" s="98">
        <f t="shared" si="90"/>
        <v>0</v>
      </c>
      <c r="O72" s="340">
        <f t="shared" si="91"/>
        <v>0</v>
      </c>
      <c r="P72" s="340">
        <f t="shared" si="92"/>
        <v>0</v>
      </c>
      <c r="Q72" s="340">
        <f t="shared" si="93"/>
        <v>0</v>
      </c>
      <c r="R72" s="340">
        <f t="shared" si="94"/>
        <v>0</v>
      </c>
      <c r="S72" s="340">
        <f t="shared" si="95"/>
        <v>0</v>
      </c>
      <c r="T72" s="340">
        <f t="shared" si="96"/>
        <v>0</v>
      </c>
      <c r="U72" s="340">
        <f t="shared" si="96"/>
        <v>0</v>
      </c>
      <c r="V72" s="340">
        <f t="shared" si="97"/>
        <v>0</v>
      </c>
      <c r="W72" s="465">
        <f t="shared" si="98"/>
        <v>0</v>
      </c>
      <c r="X72" s="340">
        <f t="shared" si="99"/>
        <v>0</v>
      </c>
      <c r="Y72" s="340">
        <f t="shared" si="100"/>
        <v>0</v>
      </c>
      <c r="Z72" s="340">
        <f t="shared" si="101"/>
        <v>0</v>
      </c>
      <c r="AA72" s="340">
        <f t="shared" si="102"/>
        <v>0</v>
      </c>
      <c r="AB72" s="340">
        <f t="shared" si="103"/>
        <v>0</v>
      </c>
      <c r="AC72" s="340">
        <f t="shared" si="104"/>
        <v>0</v>
      </c>
      <c r="AD72" s="98">
        <f t="shared" si="105"/>
        <v>0</v>
      </c>
      <c r="AE72" s="465">
        <f t="shared" si="106"/>
        <v>0</v>
      </c>
      <c r="AF72" s="578">
        <f t="shared" si="107"/>
        <v>0</v>
      </c>
      <c r="AG72" s="98">
        <f t="shared" si="108"/>
        <v>0</v>
      </c>
      <c r="AH72" s="340">
        <f t="shared" si="109"/>
        <v>0</v>
      </c>
      <c r="AI72" s="340">
        <f t="shared" si="110"/>
        <v>0</v>
      </c>
      <c r="AJ72" s="340">
        <f t="shared" si="111"/>
        <v>0</v>
      </c>
      <c r="AK72" s="465">
        <f t="shared" si="112"/>
        <v>0</v>
      </c>
      <c r="AL72" s="465">
        <f t="shared" si="112"/>
        <v>0</v>
      </c>
      <c r="AM72" s="465">
        <f t="shared" si="112"/>
        <v>0</v>
      </c>
      <c r="AN72" s="465">
        <f t="shared" si="112"/>
        <v>0</v>
      </c>
      <c r="AO72" s="98">
        <f t="shared" si="113"/>
        <v>0</v>
      </c>
      <c r="AP72" s="340">
        <f t="shared" si="114"/>
        <v>0</v>
      </c>
      <c r="AQ72" s="340">
        <f t="shared" si="115"/>
        <v>0</v>
      </c>
      <c r="AR72" s="340">
        <f t="shared" si="116"/>
        <v>0</v>
      </c>
      <c r="AS72" s="340">
        <f t="shared" si="117"/>
        <v>0</v>
      </c>
      <c r="AT72" s="340">
        <f t="shared" si="118"/>
        <v>0</v>
      </c>
      <c r="AU72" s="340">
        <f t="shared" si="119"/>
        <v>0</v>
      </c>
      <c r="AV72" s="340">
        <f t="shared" si="120"/>
        <v>0</v>
      </c>
      <c r="AW72" s="340">
        <f t="shared" si="121"/>
        <v>0</v>
      </c>
      <c r="AX72" s="465">
        <f t="shared" si="122"/>
        <v>0</v>
      </c>
      <c r="AY72" s="98">
        <f t="shared" si="123"/>
        <v>0</v>
      </c>
      <c r="AZ72" s="340">
        <f t="shared" si="124"/>
        <v>0</v>
      </c>
      <c r="BA72" s="98">
        <f t="shared" si="123"/>
        <v>0</v>
      </c>
      <c r="BB72" s="340">
        <f t="shared" si="125"/>
        <v>0</v>
      </c>
      <c r="BC72" s="465">
        <f t="shared" si="125"/>
        <v>0</v>
      </c>
      <c r="BD72" s="340">
        <f t="shared" si="129"/>
        <v>0</v>
      </c>
      <c r="BE72" s="578">
        <f t="shared" si="126"/>
        <v>0</v>
      </c>
      <c r="BF72" s="98">
        <f t="shared" si="127"/>
        <v>0</v>
      </c>
      <c r="BG72" s="465">
        <f t="shared" si="128"/>
        <v>0</v>
      </c>
    </row>
    <row r="73" spans="1:59" ht="11.1" hidden="1" customHeight="1" x14ac:dyDescent="0.25">
      <c r="A73" s="574">
        <v>25</v>
      </c>
      <c r="B73" s="98">
        <f t="shared" si="79"/>
        <v>0</v>
      </c>
      <c r="C73" s="340">
        <f t="shared" si="80"/>
        <v>0</v>
      </c>
      <c r="D73" s="340">
        <f t="shared" si="81"/>
        <v>0</v>
      </c>
      <c r="E73" s="340">
        <f t="shared" si="82"/>
        <v>0</v>
      </c>
      <c r="F73" s="340">
        <f t="shared" si="83"/>
        <v>0</v>
      </c>
      <c r="G73" s="465">
        <f t="shared" si="84"/>
        <v>0</v>
      </c>
      <c r="H73" s="98">
        <f t="shared" si="85"/>
        <v>0</v>
      </c>
      <c r="I73" s="340">
        <f t="shared" si="86"/>
        <v>0</v>
      </c>
      <c r="J73" s="340">
        <f t="shared" si="87"/>
        <v>0</v>
      </c>
      <c r="K73" s="340">
        <f t="shared" si="88"/>
        <v>0</v>
      </c>
      <c r="L73" s="465">
        <f t="shared" si="89"/>
        <v>0</v>
      </c>
      <c r="M73" s="465">
        <f t="shared" si="62"/>
        <v>0</v>
      </c>
      <c r="N73" s="98">
        <f t="shared" si="90"/>
        <v>0</v>
      </c>
      <c r="O73" s="340">
        <f t="shared" si="91"/>
        <v>0</v>
      </c>
      <c r="P73" s="340">
        <f t="shared" si="92"/>
        <v>0</v>
      </c>
      <c r="Q73" s="340">
        <f t="shared" si="93"/>
        <v>0</v>
      </c>
      <c r="R73" s="340">
        <f t="shared" si="94"/>
        <v>0</v>
      </c>
      <c r="S73" s="340">
        <f t="shared" si="95"/>
        <v>0</v>
      </c>
      <c r="T73" s="340">
        <f t="shared" si="96"/>
        <v>0</v>
      </c>
      <c r="U73" s="340">
        <f t="shared" si="96"/>
        <v>0</v>
      </c>
      <c r="V73" s="340">
        <f t="shared" si="97"/>
        <v>0</v>
      </c>
      <c r="W73" s="465">
        <f t="shared" si="98"/>
        <v>0</v>
      </c>
      <c r="X73" s="340">
        <f t="shared" si="99"/>
        <v>0</v>
      </c>
      <c r="Y73" s="340">
        <f t="shared" si="100"/>
        <v>0</v>
      </c>
      <c r="Z73" s="340">
        <f t="shared" si="101"/>
        <v>0</v>
      </c>
      <c r="AA73" s="340">
        <f t="shared" si="102"/>
        <v>0</v>
      </c>
      <c r="AB73" s="340">
        <f t="shared" si="103"/>
        <v>0</v>
      </c>
      <c r="AC73" s="340">
        <f t="shared" si="104"/>
        <v>0</v>
      </c>
      <c r="AD73" s="98">
        <f t="shared" si="105"/>
        <v>0</v>
      </c>
      <c r="AE73" s="465">
        <f t="shared" si="106"/>
        <v>0</v>
      </c>
      <c r="AF73" s="578">
        <f t="shared" si="107"/>
        <v>0</v>
      </c>
      <c r="AG73" s="98">
        <f t="shared" si="108"/>
        <v>0</v>
      </c>
      <c r="AH73" s="340">
        <f t="shared" si="109"/>
        <v>0</v>
      </c>
      <c r="AI73" s="340">
        <f t="shared" si="110"/>
        <v>0</v>
      </c>
      <c r="AJ73" s="340">
        <f t="shared" si="111"/>
        <v>0</v>
      </c>
      <c r="AK73" s="465">
        <f t="shared" si="112"/>
        <v>0</v>
      </c>
      <c r="AL73" s="465">
        <f t="shared" si="112"/>
        <v>0</v>
      </c>
      <c r="AM73" s="465">
        <f t="shared" si="112"/>
        <v>0</v>
      </c>
      <c r="AN73" s="465">
        <f t="shared" si="112"/>
        <v>0</v>
      </c>
      <c r="AO73" s="98">
        <f t="shared" si="113"/>
        <v>0</v>
      </c>
      <c r="AP73" s="340">
        <f t="shared" si="114"/>
        <v>0</v>
      </c>
      <c r="AQ73" s="340">
        <f t="shared" si="115"/>
        <v>0</v>
      </c>
      <c r="AR73" s="340">
        <f t="shared" si="116"/>
        <v>0</v>
      </c>
      <c r="AS73" s="340">
        <f t="shared" si="117"/>
        <v>0</v>
      </c>
      <c r="AT73" s="340">
        <f t="shared" si="118"/>
        <v>0</v>
      </c>
      <c r="AU73" s="340">
        <f t="shared" si="119"/>
        <v>0</v>
      </c>
      <c r="AV73" s="340">
        <f t="shared" si="120"/>
        <v>0</v>
      </c>
      <c r="AW73" s="340">
        <f t="shared" si="121"/>
        <v>0</v>
      </c>
      <c r="AX73" s="465">
        <f t="shared" si="122"/>
        <v>0</v>
      </c>
      <c r="AY73" s="98">
        <f t="shared" si="123"/>
        <v>0</v>
      </c>
      <c r="AZ73" s="340">
        <f t="shared" si="124"/>
        <v>0</v>
      </c>
      <c r="BA73" s="98">
        <f t="shared" si="123"/>
        <v>0</v>
      </c>
      <c r="BB73" s="340">
        <f t="shared" si="125"/>
        <v>0</v>
      </c>
      <c r="BC73" s="465">
        <f t="shared" si="125"/>
        <v>0</v>
      </c>
      <c r="BD73" s="340">
        <f t="shared" si="129"/>
        <v>0</v>
      </c>
      <c r="BE73" s="578">
        <f t="shared" si="126"/>
        <v>0</v>
      </c>
      <c r="BF73" s="98">
        <f t="shared" si="127"/>
        <v>0</v>
      </c>
      <c r="BG73" s="465">
        <f t="shared" si="128"/>
        <v>0</v>
      </c>
    </row>
    <row r="74" spans="1:59" ht="11.1" hidden="1" customHeight="1" x14ac:dyDescent="0.25">
      <c r="A74" s="574">
        <v>26</v>
      </c>
      <c r="B74" s="98">
        <f t="shared" si="79"/>
        <v>0</v>
      </c>
      <c r="C74" s="340">
        <f t="shared" si="80"/>
        <v>0</v>
      </c>
      <c r="D74" s="340">
        <f t="shared" si="81"/>
        <v>0</v>
      </c>
      <c r="E74" s="340">
        <f t="shared" si="82"/>
        <v>0</v>
      </c>
      <c r="F74" s="340">
        <f t="shared" si="83"/>
        <v>0</v>
      </c>
      <c r="G74" s="465">
        <f t="shared" si="84"/>
        <v>0</v>
      </c>
      <c r="H74" s="98">
        <f t="shared" si="85"/>
        <v>0</v>
      </c>
      <c r="I74" s="340">
        <f t="shared" si="86"/>
        <v>0</v>
      </c>
      <c r="J74" s="340">
        <f t="shared" si="87"/>
        <v>0</v>
      </c>
      <c r="K74" s="340">
        <f t="shared" si="88"/>
        <v>0</v>
      </c>
      <c r="L74" s="465">
        <f t="shared" si="89"/>
        <v>0</v>
      </c>
      <c r="M74" s="465">
        <f t="shared" si="62"/>
        <v>0</v>
      </c>
      <c r="N74" s="98">
        <f t="shared" si="90"/>
        <v>0</v>
      </c>
      <c r="O74" s="340">
        <f t="shared" si="91"/>
        <v>0</v>
      </c>
      <c r="P74" s="340">
        <f t="shared" si="92"/>
        <v>0</v>
      </c>
      <c r="Q74" s="340">
        <f t="shared" si="93"/>
        <v>0</v>
      </c>
      <c r="R74" s="340">
        <f t="shared" si="94"/>
        <v>0</v>
      </c>
      <c r="S74" s="340">
        <f t="shared" si="95"/>
        <v>0</v>
      </c>
      <c r="T74" s="340">
        <f t="shared" si="96"/>
        <v>0</v>
      </c>
      <c r="U74" s="340">
        <f t="shared" si="96"/>
        <v>0</v>
      </c>
      <c r="V74" s="340">
        <f t="shared" si="97"/>
        <v>0</v>
      </c>
      <c r="W74" s="465">
        <f t="shared" si="98"/>
        <v>0</v>
      </c>
      <c r="X74" s="340">
        <f t="shared" si="99"/>
        <v>0</v>
      </c>
      <c r="Y74" s="340">
        <f t="shared" si="100"/>
        <v>0</v>
      </c>
      <c r="Z74" s="340">
        <f t="shared" si="101"/>
        <v>0</v>
      </c>
      <c r="AA74" s="340">
        <f t="shared" si="102"/>
        <v>0</v>
      </c>
      <c r="AB74" s="340">
        <f t="shared" si="103"/>
        <v>0</v>
      </c>
      <c r="AC74" s="340">
        <f t="shared" si="104"/>
        <v>0</v>
      </c>
      <c r="AD74" s="98">
        <f t="shared" si="105"/>
        <v>0</v>
      </c>
      <c r="AE74" s="465">
        <f t="shared" ref="AE74:AE88" si="130">IF($A30&lt;AE$5,IF(AE73&lt;&gt;0,AE73+AE30,AE30),0)</f>
        <v>0</v>
      </c>
      <c r="AF74" s="578">
        <f t="shared" ref="AF74:AF88" si="131">IF($A30&lt;AF$5,IF(AF73&lt;&gt;0,AF73+AF30,AF30),0)</f>
        <v>0</v>
      </c>
      <c r="AG74" s="98">
        <f t="shared" si="108"/>
        <v>0</v>
      </c>
      <c r="AH74" s="340">
        <f>IF($A30&lt;AH$5,IF(AH73&lt;&gt;0,AH73+AH30,AH30),0)</f>
        <v>0</v>
      </c>
      <c r="AI74" s="340">
        <f t="shared" si="110"/>
        <v>0</v>
      </c>
      <c r="AJ74" s="340">
        <f t="shared" si="111"/>
        <v>0</v>
      </c>
      <c r="AK74" s="465">
        <f t="shared" si="112"/>
        <v>0</v>
      </c>
      <c r="AL74" s="465">
        <f t="shared" si="112"/>
        <v>0</v>
      </c>
      <c r="AM74" s="465">
        <f t="shared" si="112"/>
        <v>0</v>
      </c>
      <c r="AN74" s="465">
        <f t="shared" si="112"/>
        <v>0</v>
      </c>
      <c r="AO74" s="98">
        <f t="shared" si="113"/>
        <v>0</v>
      </c>
      <c r="AP74" s="340">
        <f t="shared" si="114"/>
        <v>0</v>
      </c>
      <c r="AQ74" s="340">
        <f t="shared" si="115"/>
        <v>0</v>
      </c>
      <c r="AR74" s="340">
        <f t="shared" si="116"/>
        <v>0</v>
      </c>
      <c r="AS74" s="340">
        <f t="shared" si="117"/>
        <v>0</v>
      </c>
      <c r="AT74" s="340">
        <f t="shared" si="118"/>
        <v>0</v>
      </c>
      <c r="AU74" s="340">
        <f t="shared" si="119"/>
        <v>0</v>
      </c>
      <c r="AV74" s="340">
        <f t="shared" si="120"/>
        <v>0</v>
      </c>
      <c r="AW74" s="340">
        <f t="shared" si="121"/>
        <v>0</v>
      </c>
      <c r="AX74" s="465">
        <f t="shared" si="122"/>
        <v>0</v>
      </c>
      <c r="AY74" s="98">
        <f t="shared" si="123"/>
        <v>0</v>
      </c>
      <c r="AZ74" s="340">
        <f t="shared" si="124"/>
        <v>0</v>
      </c>
      <c r="BA74" s="98">
        <f t="shared" si="123"/>
        <v>0</v>
      </c>
      <c r="BB74" s="340">
        <f t="shared" si="125"/>
        <v>0</v>
      </c>
      <c r="BC74" s="465">
        <f t="shared" si="125"/>
        <v>0</v>
      </c>
      <c r="BD74" s="340">
        <f t="shared" si="129"/>
        <v>0</v>
      </c>
      <c r="BE74" s="578">
        <f t="shared" si="126"/>
        <v>0</v>
      </c>
      <c r="BF74" s="98">
        <f t="shared" si="127"/>
        <v>0</v>
      </c>
      <c r="BG74" s="465">
        <f t="shared" si="128"/>
        <v>0</v>
      </c>
    </row>
    <row r="75" spans="1:59" ht="11.1" hidden="1" customHeight="1" x14ac:dyDescent="0.25">
      <c r="A75" s="574">
        <v>27</v>
      </c>
      <c r="B75" s="98">
        <f t="shared" si="79"/>
        <v>0</v>
      </c>
      <c r="C75" s="340">
        <f t="shared" si="80"/>
        <v>0</v>
      </c>
      <c r="D75" s="340">
        <f t="shared" si="81"/>
        <v>0</v>
      </c>
      <c r="E75" s="340">
        <f t="shared" si="82"/>
        <v>0</v>
      </c>
      <c r="F75" s="340">
        <f t="shared" si="83"/>
        <v>0</v>
      </c>
      <c r="G75" s="465">
        <f t="shared" si="84"/>
        <v>0</v>
      </c>
      <c r="H75" s="98">
        <f t="shared" si="85"/>
        <v>0</v>
      </c>
      <c r="I75" s="340">
        <f t="shared" si="86"/>
        <v>0</v>
      </c>
      <c r="J75" s="340">
        <f t="shared" si="87"/>
        <v>0</v>
      </c>
      <c r="K75" s="340">
        <f t="shared" si="88"/>
        <v>0</v>
      </c>
      <c r="L75" s="465">
        <f t="shared" si="89"/>
        <v>0</v>
      </c>
      <c r="M75" s="465">
        <f t="shared" si="62"/>
        <v>0</v>
      </c>
      <c r="N75" s="98">
        <f t="shared" si="90"/>
        <v>0</v>
      </c>
      <c r="O75" s="340">
        <f t="shared" si="91"/>
        <v>0</v>
      </c>
      <c r="P75" s="340">
        <f t="shared" si="92"/>
        <v>0</v>
      </c>
      <c r="Q75" s="340">
        <f t="shared" si="93"/>
        <v>0</v>
      </c>
      <c r="R75" s="340">
        <f t="shared" si="94"/>
        <v>0</v>
      </c>
      <c r="S75" s="340">
        <f t="shared" si="95"/>
        <v>0</v>
      </c>
      <c r="T75" s="340">
        <f t="shared" si="96"/>
        <v>0</v>
      </c>
      <c r="U75" s="340">
        <f t="shared" si="96"/>
        <v>0</v>
      </c>
      <c r="V75" s="340">
        <f t="shared" si="97"/>
        <v>0</v>
      </c>
      <c r="W75" s="465">
        <f t="shared" si="98"/>
        <v>0</v>
      </c>
      <c r="X75" s="340">
        <f t="shared" si="99"/>
        <v>0</v>
      </c>
      <c r="Y75" s="340">
        <f t="shared" si="100"/>
        <v>0</v>
      </c>
      <c r="Z75" s="340">
        <f t="shared" si="101"/>
        <v>0</v>
      </c>
      <c r="AA75" s="340">
        <f t="shared" si="102"/>
        <v>0</v>
      </c>
      <c r="AB75" s="340">
        <f t="shared" si="103"/>
        <v>0</v>
      </c>
      <c r="AC75" s="340">
        <f t="shared" si="104"/>
        <v>0</v>
      </c>
      <c r="AD75" s="98">
        <f t="shared" si="105"/>
        <v>0</v>
      </c>
      <c r="AE75" s="465">
        <f t="shared" si="130"/>
        <v>0</v>
      </c>
      <c r="AF75" s="578">
        <f t="shared" si="131"/>
        <v>0</v>
      </c>
      <c r="AG75" s="98">
        <f t="shared" si="108"/>
        <v>0</v>
      </c>
      <c r="AH75" s="340">
        <f>IF($A31&lt;AH$5,IF(AH74&lt;&gt;0,AH74+AH31,AH31),0)</f>
        <v>0</v>
      </c>
      <c r="AI75" s="340">
        <f t="shared" si="110"/>
        <v>0</v>
      </c>
      <c r="AJ75" s="340">
        <f t="shared" si="111"/>
        <v>0</v>
      </c>
      <c r="AK75" s="465">
        <f t="shared" si="112"/>
        <v>0</v>
      </c>
      <c r="AL75" s="465">
        <f t="shared" si="112"/>
        <v>0</v>
      </c>
      <c r="AM75" s="465">
        <f t="shared" si="112"/>
        <v>0</v>
      </c>
      <c r="AN75" s="465">
        <f t="shared" si="112"/>
        <v>0</v>
      </c>
      <c r="AO75" s="98">
        <f t="shared" si="113"/>
        <v>0</v>
      </c>
      <c r="AP75" s="340">
        <f t="shared" si="114"/>
        <v>0</v>
      </c>
      <c r="AQ75" s="340">
        <f t="shared" si="115"/>
        <v>0</v>
      </c>
      <c r="AR75" s="340">
        <f t="shared" si="116"/>
        <v>0</v>
      </c>
      <c r="AS75" s="340">
        <f t="shared" si="117"/>
        <v>0</v>
      </c>
      <c r="AT75" s="340">
        <f t="shared" si="118"/>
        <v>0</v>
      </c>
      <c r="AU75" s="340">
        <f t="shared" si="119"/>
        <v>0</v>
      </c>
      <c r="AV75" s="340">
        <f t="shared" si="120"/>
        <v>0</v>
      </c>
      <c r="AW75" s="340">
        <f t="shared" si="121"/>
        <v>0</v>
      </c>
      <c r="AX75" s="465">
        <f t="shared" si="122"/>
        <v>0</v>
      </c>
      <c r="AY75" s="98">
        <f t="shared" si="123"/>
        <v>0</v>
      </c>
      <c r="AZ75" s="340">
        <f t="shared" si="124"/>
        <v>0</v>
      </c>
      <c r="BA75" s="98">
        <f t="shared" si="123"/>
        <v>0</v>
      </c>
      <c r="BB75" s="340">
        <f t="shared" si="125"/>
        <v>0</v>
      </c>
      <c r="BC75" s="465">
        <f t="shared" si="125"/>
        <v>0</v>
      </c>
      <c r="BD75" s="340">
        <f t="shared" si="129"/>
        <v>0</v>
      </c>
      <c r="BE75" s="578">
        <f t="shared" si="126"/>
        <v>0</v>
      </c>
      <c r="BF75" s="98">
        <f t="shared" si="127"/>
        <v>0</v>
      </c>
      <c r="BG75" s="465">
        <f t="shared" si="128"/>
        <v>0</v>
      </c>
    </row>
    <row r="76" spans="1:59" ht="11.1" hidden="1" customHeight="1" x14ac:dyDescent="0.25">
      <c r="A76" s="574">
        <v>28</v>
      </c>
      <c r="B76" s="98">
        <f t="shared" si="79"/>
        <v>0</v>
      </c>
      <c r="C76" s="340">
        <f t="shared" si="80"/>
        <v>0</v>
      </c>
      <c r="D76" s="340">
        <f t="shared" si="81"/>
        <v>0</v>
      </c>
      <c r="E76" s="340">
        <f t="shared" si="82"/>
        <v>0</v>
      </c>
      <c r="F76" s="340">
        <f t="shared" si="83"/>
        <v>0</v>
      </c>
      <c r="G76" s="465">
        <f t="shared" si="84"/>
        <v>0</v>
      </c>
      <c r="H76" s="98">
        <f t="shared" si="85"/>
        <v>0</v>
      </c>
      <c r="I76" s="340">
        <f t="shared" si="86"/>
        <v>0</v>
      </c>
      <c r="J76" s="340">
        <f t="shared" si="87"/>
        <v>0</v>
      </c>
      <c r="K76" s="340">
        <f t="shared" si="88"/>
        <v>0</v>
      </c>
      <c r="L76" s="465">
        <f t="shared" si="89"/>
        <v>0</v>
      </c>
      <c r="M76" s="465">
        <f t="shared" si="62"/>
        <v>0</v>
      </c>
      <c r="N76" s="98">
        <f t="shared" si="90"/>
        <v>0</v>
      </c>
      <c r="O76" s="340">
        <f t="shared" si="91"/>
        <v>0</v>
      </c>
      <c r="P76" s="340">
        <f t="shared" si="92"/>
        <v>0</v>
      </c>
      <c r="Q76" s="340">
        <f t="shared" si="93"/>
        <v>0</v>
      </c>
      <c r="R76" s="340">
        <f t="shared" si="94"/>
        <v>0</v>
      </c>
      <c r="S76" s="340">
        <f t="shared" si="95"/>
        <v>0</v>
      </c>
      <c r="T76" s="340">
        <f t="shared" si="96"/>
        <v>0</v>
      </c>
      <c r="U76" s="340">
        <f t="shared" si="96"/>
        <v>0</v>
      </c>
      <c r="V76" s="340">
        <f t="shared" si="97"/>
        <v>0</v>
      </c>
      <c r="W76" s="465">
        <f t="shared" si="98"/>
        <v>0</v>
      </c>
      <c r="X76" s="340">
        <f t="shared" si="99"/>
        <v>0</v>
      </c>
      <c r="Y76" s="340">
        <f t="shared" si="100"/>
        <v>0</v>
      </c>
      <c r="Z76" s="340">
        <f t="shared" si="101"/>
        <v>0</v>
      </c>
      <c r="AA76" s="340">
        <f t="shared" si="102"/>
        <v>0</v>
      </c>
      <c r="AB76" s="340">
        <f t="shared" si="103"/>
        <v>0</v>
      </c>
      <c r="AC76" s="340">
        <f t="shared" si="104"/>
        <v>0</v>
      </c>
      <c r="AD76" s="98">
        <f t="shared" si="105"/>
        <v>0</v>
      </c>
      <c r="AE76" s="465">
        <f t="shared" si="130"/>
        <v>0</v>
      </c>
      <c r="AF76" s="578">
        <f t="shared" si="131"/>
        <v>0</v>
      </c>
      <c r="AG76" s="98">
        <f t="shared" si="108"/>
        <v>0</v>
      </c>
      <c r="AH76" s="340">
        <f t="shared" si="109"/>
        <v>0</v>
      </c>
      <c r="AI76" s="340">
        <f t="shared" si="110"/>
        <v>0</v>
      </c>
      <c r="AJ76" s="340">
        <f t="shared" si="111"/>
        <v>0</v>
      </c>
      <c r="AK76" s="465">
        <f t="shared" si="112"/>
        <v>0</v>
      </c>
      <c r="AL76" s="465">
        <f t="shared" si="112"/>
        <v>0</v>
      </c>
      <c r="AM76" s="465">
        <f t="shared" si="112"/>
        <v>0</v>
      </c>
      <c r="AN76" s="465">
        <f t="shared" si="112"/>
        <v>0</v>
      </c>
      <c r="AO76" s="98">
        <f t="shared" si="113"/>
        <v>0</v>
      </c>
      <c r="AP76" s="340">
        <f t="shared" si="114"/>
        <v>0</v>
      </c>
      <c r="AQ76" s="340">
        <f t="shared" si="115"/>
        <v>0</v>
      </c>
      <c r="AR76" s="340">
        <f t="shared" si="116"/>
        <v>0</v>
      </c>
      <c r="AS76" s="340">
        <f t="shared" si="117"/>
        <v>0</v>
      </c>
      <c r="AT76" s="340">
        <f t="shared" si="118"/>
        <v>0</v>
      </c>
      <c r="AU76" s="340">
        <f t="shared" si="119"/>
        <v>0</v>
      </c>
      <c r="AV76" s="340">
        <f t="shared" si="120"/>
        <v>0</v>
      </c>
      <c r="AW76" s="340">
        <f t="shared" si="121"/>
        <v>0</v>
      </c>
      <c r="AX76" s="465">
        <f t="shared" si="122"/>
        <v>0</v>
      </c>
      <c r="AY76" s="98">
        <f t="shared" si="123"/>
        <v>0</v>
      </c>
      <c r="AZ76" s="340">
        <f t="shared" si="124"/>
        <v>0</v>
      </c>
      <c r="BA76" s="98">
        <f t="shared" si="123"/>
        <v>0</v>
      </c>
      <c r="BB76" s="340">
        <f t="shared" si="125"/>
        <v>0</v>
      </c>
      <c r="BC76" s="465">
        <f t="shared" si="125"/>
        <v>0</v>
      </c>
      <c r="BD76" s="340">
        <f t="shared" si="129"/>
        <v>0</v>
      </c>
      <c r="BE76" s="578">
        <f t="shared" si="126"/>
        <v>0</v>
      </c>
      <c r="BF76" s="98">
        <f t="shared" si="127"/>
        <v>0</v>
      </c>
      <c r="BG76" s="465">
        <f t="shared" si="128"/>
        <v>0</v>
      </c>
    </row>
    <row r="77" spans="1:59" ht="11.1" hidden="1" customHeight="1" x14ac:dyDescent="0.25">
      <c r="A77" s="574">
        <v>29</v>
      </c>
      <c r="B77" s="98">
        <f t="shared" si="79"/>
        <v>0</v>
      </c>
      <c r="C77" s="340">
        <f t="shared" si="80"/>
        <v>0</v>
      </c>
      <c r="D77" s="340">
        <f t="shared" si="81"/>
        <v>0</v>
      </c>
      <c r="E77" s="340">
        <f t="shared" si="82"/>
        <v>0</v>
      </c>
      <c r="F77" s="340">
        <f t="shared" si="83"/>
        <v>0</v>
      </c>
      <c r="G77" s="465">
        <f t="shared" si="84"/>
        <v>0</v>
      </c>
      <c r="H77" s="98">
        <f t="shared" si="85"/>
        <v>0</v>
      </c>
      <c r="I77" s="340">
        <f t="shared" si="86"/>
        <v>0</v>
      </c>
      <c r="J77" s="340">
        <f t="shared" si="87"/>
        <v>0</v>
      </c>
      <c r="K77" s="340">
        <f t="shared" si="88"/>
        <v>0</v>
      </c>
      <c r="L77" s="465">
        <f t="shared" si="89"/>
        <v>0</v>
      </c>
      <c r="M77" s="465">
        <f t="shared" si="62"/>
        <v>0</v>
      </c>
      <c r="N77" s="98">
        <f t="shared" si="90"/>
        <v>0</v>
      </c>
      <c r="O77" s="340">
        <f t="shared" si="91"/>
        <v>0</v>
      </c>
      <c r="P77" s="340">
        <f t="shared" si="92"/>
        <v>0</v>
      </c>
      <c r="Q77" s="340">
        <f t="shared" si="93"/>
        <v>0</v>
      </c>
      <c r="R77" s="340">
        <f t="shared" si="94"/>
        <v>0</v>
      </c>
      <c r="S77" s="340">
        <f t="shared" si="95"/>
        <v>0</v>
      </c>
      <c r="T77" s="340">
        <f t="shared" si="96"/>
        <v>0</v>
      </c>
      <c r="U77" s="340">
        <f t="shared" si="96"/>
        <v>0</v>
      </c>
      <c r="V77" s="340">
        <f t="shared" si="97"/>
        <v>0</v>
      </c>
      <c r="W77" s="465">
        <f t="shared" si="98"/>
        <v>0</v>
      </c>
      <c r="X77" s="340">
        <f t="shared" si="99"/>
        <v>0</v>
      </c>
      <c r="Y77" s="340">
        <f t="shared" si="100"/>
        <v>0</v>
      </c>
      <c r="Z77" s="340">
        <f t="shared" si="101"/>
        <v>0</v>
      </c>
      <c r="AA77" s="340">
        <f t="shared" si="102"/>
        <v>0</v>
      </c>
      <c r="AB77" s="340">
        <f t="shared" si="103"/>
        <v>0</v>
      </c>
      <c r="AC77" s="340">
        <f t="shared" si="104"/>
        <v>0</v>
      </c>
      <c r="AD77" s="98">
        <f t="shared" si="105"/>
        <v>0</v>
      </c>
      <c r="AE77" s="465">
        <f t="shared" si="130"/>
        <v>0</v>
      </c>
      <c r="AF77" s="578">
        <f t="shared" si="131"/>
        <v>0</v>
      </c>
      <c r="AG77" s="98">
        <f t="shared" si="108"/>
        <v>0</v>
      </c>
      <c r="AH77" s="340">
        <f t="shared" si="109"/>
        <v>0</v>
      </c>
      <c r="AI77" s="340">
        <f t="shared" si="110"/>
        <v>0</v>
      </c>
      <c r="AJ77" s="340">
        <f t="shared" si="111"/>
        <v>0</v>
      </c>
      <c r="AK77" s="465">
        <f t="shared" si="112"/>
        <v>0</v>
      </c>
      <c r="AL77" s="465">
        <f t="shared" si="112"/>
        <v>0</v>
      </c>
      <c r="AM77" s="465">
        <f t="shared" si="112"/>
        <v>0</v>
      </c>
      <c r="AN77" s="465">
        <f t="shared" si="112"/>
        <v>0</v>
      </c>
      <c r="AO77" s="98">
        <f t="shared" si="113"/>
        <v>0</v>
      </c>
      <c r="AP77" s="340">
        <f t="shared" si="114"/>
        <v>0</v>
      </c>
      <c r="AQ77" s="340">
        <f t="shared" si="115"/>
        <v>0</v>
      </c>
      <c r="AR77" s="340">
        <f t="shared" si="116"/>
        <v>0</v>
      </c>
      <c r="AS77" s="340">
        <f t="shared" si="117"/>
        <v>0</v>
      </c>
      <c r="AT77" s="340">
        <f t="shared" si="118"/>
        <v>0</v>
      </c>
      <c r="AU77" s="340">
        <f t="shared" si="119"/>
        <v>0</v>
      </c>
      <c r="AV77" s="340">
        <f t="shared" si="120"/>
        <v>0</v>
      </c>
      <c r="AW77" s="340">
        <f t="shared" si="121"/>
        <v>0</v>
      </c>
      <c r="AX77" s="465">
        <f t="shared" si="122"/>
        <v>0</v>
      </c>
      <c r="AY77" s="98">
        <f t="shared" si="123"/>
        <v>0</v>
      </c>
      <c r="AZ77" s="340">
        <f t="shared" si="124"/>
        <v>0</v>
      </c>
      <c r="BA77" s="98">
        <f t="shared" si="123"/>
        <v>0</v>
      </c>
      <c r="BB77" s="340">
        <f t="shared" si="125"/>
        <v>0</v>
      </c>
      <c r="BC77" s="465">
        <f t="shared" si="125"/>
        <v>0</v>
      </c>
      <c r="BD77" s="340">
        <f t="shared" si="129"/>
        <v>0</v>
      </c>
      <c r="BE77" s="578">
        <f t="shared" si="126"/>
        <v>0</v>
      </c>
      <c r="BF77" s="98">
        <f t="shared" si="127"/>
        <v>0</v>
      </c>
      <c r="BG77" s="465">
        <f t="shared" si="128"/>
        <v>0</v>
      </c>
    </row>
    <row r="78" spans="1:59" ht="11.1" hidden="1" customHeight="1" x14ac:dyDescent="0.25">
      <c r="A78" s="574">
        <v>30</v>
      </c>
      <c r="B78" s="98">
        <f t="shared" si="79"/>
        <v>0</v>
      </c>
      <c r="C78" s="340">
        <f t="shared" si="80"/>
        <v>0</v>
      </c>
      <c r="D78" s="340">
        <f t="shared" si="81"/>
        <v>0</v>
      </c>
      <c r="E78" s="340">
        <f t="shared" si="82"/>
        <v>0</v>
      </c>
      <c r="F78" s="340">
        <f t="shared" si="83"/>
        <v>0</v>
      </c>
      <c r="G78" s="465">
        <f t="shared" si="84"/>
        <v>0</v>
      </c>
      <c r="H78" s="98">
        <f t="shared" si="85"/>
        <v>0</v>
      </c>
      <c r="I78" s="340">
        <f t="shared" si="86"/>
        <v>0</v>
      </c>
      <c r="J78" s="340">
        <f t="shared" si="87"/>
        <v>0</v>
      </c>
      <c r="K78" s="340">
        <f t="shared" si="88"/>
        <v>0</v>
      </c>
      <c r="L78" s="465">
        <f t="shared" si="89"/>
        <v>0</v>
      </c>
      <c r="M78" s="465">
        <f t="shared" si="62"/>
        <v>0</v>
      </c>
      <c r="N78" s="98">
        <f t="shared" si="90"/>
        <v>0</v>
      </c>
      <c r="O78" s="340">
        <f t="shared" si="91"/>
        <v>0</v>
      </c>
      <c r="P78" s="340">
        <f t="shared" si="92"/>
        <v>0</v>
      </c>
      <c r="Q78" s="340">
        <f t="shared" si="93"/>
        <v>0</v>
      </c>
      <c r="R78" s="340">
        <f t="shared" si="94"/>
        <v>0</v>
      </c>
      <c r="S78" s="340">
        <f t="shared" si="95"/>
        <v>0</v>
      </c>
      <c r="T78" s="340">
        <f t="shared" si="96"/>
        <v>0</v>
      </c>
      <c r="U78" s="340">
        <f t="shared" si="96"/>
        <v>0</v>
      </c>
      <c r="V78" s="340">
        <f t="shared" si="97"/>
        <v>0</v>
      </c>
      <c r="W78" s="465">
        <f t="shared" si="98"/>
        <v>0</v>
      </c>
      <c r="X78" s="340">
        <f t="shared" si="99"/>
        <v>0</v>
      </c>
      <c r="Y78" s="340">
        <f t="shared" si="100"/>
        <v>0</v>
      </c>
      <c r="Z78" s="340">
        <f t="shared" si="101"/>
        <v>0</v>
      </c>
      <c r="AA78" s="340">
        <f t="shared" si="102"/>
        <v>0</v>
      </c>
      <c r="AB78" s="340">
        <f t="shared" si="103"/>
        <v>0</v>
      </c>
      <c r="AC78" s="340">
        <f t="shared" si="104"/>
        <v>0</v>
      </c>
      <c r="AD78" s="98">
        <f t="shared" si="105"/>
        <v>0</v>
      </c>
      <c r="AE78" s="465">
        <f t="shared" si="130"/>
        <v>0</v>
      </c>
      <c r="AF78" s="578">
        <f t="shared" si="131"/>
        <v>0</v>
      </c>
      <c r="AG78" s="98">
        <f t="shared" si="108"/>
        <v>0</v>
      </c>
      <c r="AH78" s="340">
        <f t="shared" si="109"/>
        <v>0</v>
      </c>
      <c r="AI78" s="340">
        <f t="shared" si="110"/>
        <v>0</v>
      </c>
      <c r="AJ78" s="340">
        <f t="shared" si="111"/>
        <v>0</v>
      </c>
      <c r="AK78" s="465">
        <f t="shared" si="112"/>
        <v>0</v>
      </c>
      <c r="AL78" s="465">
        <f t="shared" si="112"/>
        <v>0</v>
      </c>
      <c r="AM78" s="465">
        <f t="shared" si="112"/>
        <v>0</v>
      </c>
      <c r="AN78" s="465">
        <f t="shared" si="112"/>
        <v>0</v>
      </c>
      <c r="AO78" s="98">
        <f t="shared" si="113"/>
        <v>0</v>
      </c>
      <c r="AP78" s="340">
        <f t="shared" si="114"/>
        <v>0</v>
      </c>
      <c r="AQ78" s="340">
        <f t="shared" si="115"/>
        <v>0</v>
      </c>
      <c r="AR78" s="340">
        <f t="shared" si="116"/>
        <v>0</v>
      </c>
      <c r="AS78" s="340">
        <f t="shared" si="117"/>
        <v>0</v>
      </c>
      <c r="AT78" s="340">
        <f t="shared" si="118"/>
        <v>0</v>
      </c>
      <c r="AU78" s="340">
        <f t="shared" si="119"/>
        <v>0</v>
      </c>
      <c r="AV78" s="340">
        <f t="shared" si="120"/>
        <v>0</v>
      </c>
      <c r="AW78" s="340">
        <f t="shared" si="121"/>
        <v>0</v>
      </c>
      <c r="AX78" s="465">
        <f t="shared" si="122"/>
        <v>0</v>
      </c>
      <c r="AY78" s="98">
        <f t="shared" si="123"/>
        <v>0</v>
      </c>
      <c r="AZ78" s="340">
        <f t="shared" si="124"/>
        <v>0</v>
      </c>
      <c r="BA78" s="98">
        <f t="shared" si="123"/>
        <v>0</v>
      </c>
      <c r="BB78" s="340">
        <f t="shared" si="125"/>
        <v>0</v>
      </c>
      <c r="BC78" s="465">
        <f t="shared" si="125"/>
        <v>0</v>
      </c>
      <c r="BD78" s="340">
        <f t="shared" si="129"/>
        <v>0</v>
      </c>
      <c r="BE78" s="578">
        <f t="shared" si="126"/>
        <v>0</v>
      </c>
      <c r="BF78" s="98">
        <f t="shared" si="127"/>
        <v>0</v>
      </c>
      <c r="BG78" s="465">
        <f t="shared" si="128"/>
        <v>0</v>
      </c>
    </row>
    <row r="79" spans="1:59" ht="11.1" hidden="1" customHeight="1" x14ac:dyDescent="0.25">
      <c r="A79" s="574">
        <v>31</v>
      </c>
      <c r="B79" s="98">
        <f t="shared" si="79"/>
        <v>0</v>
      </c>
      <c r="C79" s="340">
        <f t="shared" si="80"/>
        <v>0</v>
      </c>
      <c r="D79" s="340">
        <f t="shared" si="81"/>
        <v>0</v>
      </c>
      <c r="E79" s="340">
        <f t="shared" si="82"/>
        <v>0</v>
      </c>
      <c r="F79" s="340">
        <f t="shared" si="83"/>
        <v>0</v>
      </c>
      <c r="G79" s="465">
        <f t="shared" si="84"/>
        <v>0</v>
      </c>
      <c r="H79" s="98">
        <f t="shared" si="85"/>
        <v>0</v>
      </c>
      <c r="I79" s="340">
        <f t="shared" si="86"/>
        <v>0</v>
      </c>
      <c r="J79" s="340">
        <f t="shared" si="87"/>
        <v>0</v>
      </c>
      <c r="K79" s="340">
        <f t="shared" si="88"/>
        <v>0</v>
      </c>
      <c r="L79" s="465">
        <f t="shared" si="89"/>
        <v>0</v>
      </c>
      <c r="M79" s="465">
        <f t="shared" si="62"/>
        <v>0</v>
      </c>
      <c r="N79" s="98">
        <f t="shared" si="90"/>
        <v>0</v>
      </c>
      <c r="O79" s="340">
        <f t="shared" si="91"/>
        <v>0</v>
      </c>
      <c r="P79" s="340">
        <f t="shared" si="92"/>
        <v>0</v>
      </c>
      <c r="Q79" s="340">
        <f t="shared" si="93"/>
        <v>0</v>
      </c>
      <c r="R79" s="340">
        <f t="shared" si="94"/>
        <v>0</v>
      </c>
      <c r="S79" s="340">
        <f t="shared" si="95"/>
        <v>0</v>
      </c>
      <c r="T79" s="340">
        <f t="shared" si="96"/>
        <v>0</v>
      </c>
      <c r="U79" s="340">
        <f t="shared" si="96"/>
        <v>0</v>
      </c>
      <c r="V79" s="340">
        <f t="shared" si="97"/>
        <v>0</v>
      </c>
      <c r="W79" s="465">
        <f t="shared" si="98"/>
        <v>0</v>
      </c>
      <c r="X79" s="340">
        <f t="shared" si="99"/>
        <v>0</v>
      </c>
      <c r="Y79" s="340">
        <f t="shared" si="100"/>
        <v>0</v>
      </c>
      <c r="Z79" s="340">
        <f t="shared" si="101"/>
        <v>0</v>
      </c>
      <c r="AA79" s="340">
        <f t="shared" si="102"/>
        <v>0</v>
      </c>
      <c r="AB79" s="340">
        <f t="shared" si="103"/>
        <v>0</v>
      </c>
      <c r="AC79" s="340">
        <f t="shared" si="104"/>
        <v>0</v>
      </c>
      <c r="AD79" s="98">
        <f t="shared" si="105"/>
        <v>0</v>
      </c>
      <c r="AE79" s="465">
        <f t="shared" si="130"/>
        <v>0</v>
      </c>
      <c r="AF79" s="578">
        <f t="shared" si="131"/>
        <v>0</v>
      </c>
      <c r="AG79" s="98">
        <f t="shared" si="108"/>
        <v>0</v>
      </c>
      <c r="AH79" s="340">
        <f t="shared" si="109"/>
        <v>0</v>
      </c>
      <c r="AI79" s="340">
        <f t="shared" si="110"/>
        <v>0</v>
      </c>
      <c r="AJ79" s="340">
        <f t="shared" si="111"/>
        <v>0</v>
      </c>
      <c r="AK79" s="465">
        <f t="shared" si="112"/>
        <v>0</v>
      </c>
      <c r="AL79" s="465">
        <f t="shared" si="112"/>
        <v>0</v>
      </c>
      <c r="AM79" s="465">
        <f t="shared" si="112"/>
        <v>0</v>
      </c>
      <c r="AN79" s="465">
        <f t="shared" si="112"/>
        <v>0</v>
      </c>
      <c r="AO79" s="98">
        <f t="shared" si="113"/>
        <v>0</v>
      </c>
      <c r="AP79" s="340">
        <f t="shared" si="114"/>
        <v>0</v>
      </c>
      <c r="AQ79" s="340">
        <f t="shared" si="115"/>
        <v>0</v>
      </c>
      <c r="AR79" s="340">
        <f t="shared" si="116"/>
        <v>0</v>
      </c>
      <c r="AS79" s="340">
        <f t="shared" si="117"/>
        <v>0</v>
      </c>
      <c r="AT79" s="340">
        <f t="shared" si="118"/>
        <v>0</v>
      </c>
      <c r="AU79" s="340">
        <f t="shared" si="119"/>
        <v>0</v>
      </c>
      <c r="AV79" s="340">
        <f t="shared" si="120"/>
        <v>0</v>
      </c>
      <c r="AW79" s="340">
        <f t="shared" si="121"/>
        <v>0</v>
      </c>
      <c r="AX79" s="465">
        <f t="shared" si="122"/>
        <v>0</v>
      </c>
      <c r="AY79" s="98">
        <f t="shared" si="123"/>
        <v>0</v>
      </c>
      <c r="AZ79" s="340">
        <f t="shared" si="124"/>
        <v>0</v>
      </c>
      <c r="BA79" s="98">
        <f t="shared" si="123"/>
        <v>0</v>
      </c>
      <c r="BB79" s="340">
        <f t="shared" si="125"/>
        <v>0</v>
      </c>
      <c r="BC79" s="465">
        <f t="shared" si="125"/>
        <v>0</v>
      </c>
      <c r="BD79" s="340">
        <f t="shared" si="129"/>
        <v>0</v>
      </c>
      <c r="BE79" s="578">
        <f t="shared" si="126"/>
        <v>0</v>
      </c>
      <c r="BF79" s="98">
        <f t="shared" si="127"/>
        <v>0</v>
      </c>
      <c r="BG79" s="465">
        <f t="shared" si="128"/>
        <v>0</v>
      </c>
    </row>
    <row r="80" spans="1:59" ht="11.1" hidden="1" customHeight="1" x14ac:dyDescent="0.25">
      <c r="A80" s="574">
        <v>32</v>
      </c>
      <c r="B80" s="98">
        <f t="shared" si="79"/>
        <v>0</v>
      </c>
      <c r="C80" s="340">
        <f t="shared" si="80"/>
        <v>0</v>
      </c>
      <c r="D80" s="340">
        <f t="shared" si="81"/>
        <v>0</v>
      </c>
      <c r="E80" s="340">
        <f t="shared" si="82"/>
        <v>0</v>
      </c>
      <c r="F80" s="340">
        <f t="shared" si="83"/>
        <v>0</v>
      </c>
      <c r="G80" s="465">
        <f t="shared" si="84"/>
        <v>0</v>
      </c>
      <c r="H80" s="98">
        <f t="shared" si="85"/>
        <v>0</v>
      </c>
      <c r="I80" s="340">
        <f t="shared" si="86"/>
        <v>0</v>
      </c>
      <c r="J80" s="340">
        <f t="shared" si="87"/>
        <v>0</v>
      </c>
      <c r="K80" s="340">
        <f t="shared" si="88"/>
        <v>0</v>
      </c>
      <c r="L80" s="465">
        <f t="shared" si="89"/>
        <v>0</v>
      </c>
      <c r="M80" s="465">
        <f t="shared" si="62"/>
        <v>0</v>
      </c>
      <c r="N80" s="98">
        <f t="shared" si="90"/>
        <v>0</v>
      </c>
      <c r="O80" s="340">
        <f t="shared" si="91"/>
        <v>0</v>
      </c>
      <c r="P80" s="340">
        <f t="shared" si="92"/>
        <v>0</v>
      </c>
      <c r="Q80" s="340">
        <f t="shared" si="93"/>
        <v>0</v>
      </c>
      <c r="R80" s="340">
        <f t="shared" si="94"/>
        <v>0</v>
      </c>
      <c r="S80" s="340">
        <f t="shared" si="95"/>
        <v>0</v>
      </c>
      <c r="T80" s="340">
        <f t="shared" si="96"/>
        <v>0</v>
      </c>
      <c r="U80" s="340">
        <f t="shared" si="96"/>
        <v>0</v>
      </c>
      <c r="V80" s="340">
        <f t="shared" si="97"/>
        <v>0</v>
      </c>
      <c r="W80" s="465">
        <f t="shared" si="98"/>
        <v>0</v>
      </c>
      <c r="X80" s="340">
        <f t="shared" si="99"/>
        <v>0</v>
      </c>
      <c r="Y80" s="340">
        <f t="shared" si="100"/>
        <v>0</v>
      </c>
      <c r="Z80" s="340">
        <f t="shared" si="101"/>
        <v>0</v>
      </c>
      <c r="AA80" s="340">
        <f t="shared" si="102"/>
        <v>0</v>
      </c>
      <c r="AB80" s="340">
        <f t="shared" si="103"/>
        <v>0</v>
      </c>
      <c r="AC80" s="340">
        <f t="shared" si="104"/>
        <v>0</v>
      </c>
      <c r="AD80" s="98">
        <f t="shared" si="105"/>
        <v>0</v>
      </c>
      <c r="AE80" s="465">
        <f t="shared" si="130"/>
        <v>0</v>
      </c>
      <c r="AF80" s="578">
        <f t="shared" si="131"/>
        <v>0</v>
      </c>
      <c r="AG80" s="98">
        <f t="shared" si="108"/>
        <v>0</v>
      </c>
      <c r="AH80" s="340">
        <f t="shared" si="109"/>
        <v>0</v>
      </c>
      <c r="AI80" s="340">
        <f t="shared" si="110"/>
        <v>0</v>
      </c>
      <c r="AJ80" s="340">
        <f t="shared" si="111"/>
        <v>0</v>
      </c>
      <c r="AK80" s="465">
        <f t="shared" si="112"/>
        <v>0</v>
      </c>
      <c r="AL80" s="465">
        <f t="shared" si="112"/>
        <v>0</v>
      </c>
      <c r="AM80" s="465">
        <f t="shared" si="112"/>
        <v>0</v>
      </c>
      <c r="AN80" s="465">
        <f t="shared" si="112"/>
        <v>0</v>
      </c>
      <c r="AO80" s="98">
        <f t="shared" si="113"/>
        <v>0</v>
      </c>
      <c r="AP80" s="340">
        <f t="shared" si="114"/>
        <v>0</v>
      </c>
      <c r="AQ80" s="340">
        <f t="shared" si="115"/>
        <v>0</v>
      </c>
      <c r="AR80" s="340">
        <f t="shared" si="116"/>
        <v>0</v>
      </c>
      <c r="AS80" s="340">
        <f t="shared" si="117"/>
        <v>0</v>
      </c>
      <c r="AT80" s="340">
        <f t="shared" si="118"/>
        <v>0</v>
      </c>
      <c r="AU80" s="340">
        <f t="shared" si="119"/>
        <v>0</v>
      </c>
      <c r="AV80" s="340">
        <f t="shared" si="120"/>
        <v>0</v>
      </c>
      <c r="AW80" s="340">
        <f t="shared" si="121"/>
        <v>0</v>
      </c>
      <c r="AX80" s="465">
        <f t="shared" si="122"/>
        <v>0</v>
      </c>
      <c r="AY80" s="98">
        <f t="shared" si="123"/>
        <v>0</v>
      </c>
      <c r="AZ80" s="340">
        <f t="shared" si="124"/>
        <v>0</v>
      </c>
      <c r="BA80" s="98">
        <f t="shared" si="123"/>
        <v>0</v>
      </c>
      <c r="BB80" s="340">
        <f t="shared" si="125"/>
        <v>0</v>
      </c>
      <c r="BC80" s="465">
        <f t="shared" si="125"/>
        <v>0</v>
      </c>
      <c r="BD80" s="340">
        <f t="shared" si="129"/>
        <v>0</v>
      </c>
      <c r="BE80" s="578">
        <f t="shared" si="126"/>
        <v>0</v>
      </c>
      <c r="BF80" s="98">
        <f t="shared" si="127"/>
        <v>0</v>
      </c>
      <c r="BG80" s="465">
        <f t="shared" si="128"/>
        <v>0</v>
      </c>
    </row>
    <row r="81" spans="1:59" ht="11.1" hidden="1" customHeight="1" x14ac:dyDescent="0.25">
      <c r="A81" s="574">
        <v>33</v>
      </c>
      <c r="B81" s="98">
        <f t="shared" si="79"/>
        <v>0</v>
      </c>
      <c r="C81" s="340">
        <f t="shared" si="80"/>
        <v>0</v>
      </c>
      <c r="D81" s="340">
        <f t="shared" si="81"/>
        <v>0</v>
      </c>
      <c r="E81" s="340">
        <f t="shared" si="82"/>
        <v>0</v>
      </c>
      <c r="F81" s="340">
        <f t="shared" si="83"/>
        <v>0</v>
      </c>
      <c r="G81" s="465">
        <f t="shared" si="84"/>
        <v>0</v>
      </c>
      <c r="H81" s="98">
        <f t="shared" si="85"/>
        <v>0</v>
      </c>
      <c r="I81" s="340">
        <f t="shared" si="86"/>
        <v>0</v>
      </c>
      <c r="J81" s="340">
        <f t="shared" si="87"/>
        <v>0</v>
      </c>
      <c r="K81" s="340">
        <f t="shared" si="88"/>
        <v>0</v>
      </c>
      <c r="L81" s="465">
        <f t="shared" si="89"/>
        <v>0</v>
      </c>
      <c r="M81" s="465">
        <f t="shared" si="62"/>
        <v>0</v>
      </c>
      <c r="N81" s="98">
        <f t="shared" si="90"/>
        <v>0</v>
      </c>
      <c r="O81" s="340">
        <f t="shared" si="91"/>
        <v>0</v>
      </c>
      <c r="P81" s="340">
        <f t="shared" si="92"/>
        <v>0</v>
      </c>
      <c r="Q81" s="340">
        <f t="shared" si="93"/>
        <v>0</v>
      </c>
      <c r="R81" s="340">
        <f t="shared" si="94"/>
        <v>0</v>
      </c>
      <c r="S81" s="340">
        <f t="shared" si="95"/>
        <v>0</v>
      </c>
      <c r="T81" s="340">
        <f t="shared" si="96"/>
        <v>0</v>
      </c>
      <c r="U81" s="340">
        <f t="shared" si="96"/>
        <v>0</v>
      </c>
      <c r="V81" s="340">
        <f t="shared" si="97"/>
        <v>0</v>
      </c>
      <c r="W81" s="465">
        <f t="shared" si="98"/>
        <v>0</v>
      </c>
      <c r="X81" s="340">
        <f t="shared" si="99"/>
        <v>0</v>
      </c>
      <c r="Y81" s="340">
        <f t="shared" si="100"/>
        <v>0</v>
      </c>
      <c r="Z81" s="340">
        <f t="shared" si="101"/>
        <v>0</v>
      </c>
      <c r="AA81" s="340">
        <f t="shared" si="102"/>
        <v>0</v>
      </c>
      <c r="AB81" s="340">
        <f t="shared" si="103"/>
        <v>0</v>
      </c>
      <c r="AC81" s="340">
        <f t="shared" si="104"/>
        <v>0</v>
      </c>
      <c r="AD81" s="98">
        <f t="shared" si="105"/>
        <v>0</v>
      </c>
      <c r="AE81" s="465">
        <f t="shared" si="130"/>
        <v>0</v>
      </c>
      <c r="AF81" s="578">
        <f t="shared" si="131"/>
        <v>0</v>
      </c>
      <c r="AG81" s="98">
        <f t="shared" si="108"/>
        <v>0</v>
      </c>
      <c r="AH81" s="340">
        <f t="shared" si="109"/>
        <v>0</v>
      </c>
      <c r="AI81" s="340">
        <f t="shared" si="110"/>
        <v>0</v>
      </c>
      <c r="AJ81" s="340">
        <f t="shared" si="111"/>
        <v>0</v>
      </c>
      <c r="AK81" s="465">
        <f t="shared" si="112"/>
        <v>0</v>
      </c>
      <c r="AL81" s="465">
        <f t="shared" si="112"/>
        <v>0</v>
      </c>
      <c r="AM81" s="465">
        <f t="shared" si="112"/>
        <v>0</v>
      </c>
      <c r="AN81" s="465">
        <f t="shared" si="112"/>
        <v>0</v>
      </c>
      <c r="AO81" s="98">
        <f t="shared" si="113"/>
        <v>0</v>
      </c>
      <c r="AP81" s="340">
        <f t="shared" si="114"/>
        <v>0</v>
      </c>
      <c r="AQ81" s="340">
        <f t="shared" si="115"/>
        <v>0</v>
      </c>
      <c r="AR81" s="340">
        <f t="shared" si="116"/>
        <v>0</v>
      </c>
      <c r="AS81" s="340">
        <f t="shared" si="117"/>
        <v>0</v>
      </c>
      <c r="AT81" s="340">
        <f t="shared" si="118"/>
        <v>0</v>
      </c>
      <c r="AU81" s="340">
        <f t="shared" si="119"/>
        <v>0</v>
      </c>
      <c r="AV81" s="340">
        <f t="shared" si="120"/>
        <v>0</v>
      </c>
      <c r="AW81" s="340">
        <f t="shared" si="121"/>
        <v>0</v>
      </c>
      <c r="AX81" s="465">
        <f t="shared" si="122"/>
        <v>0</v>
      </c>
      <c r="AY81" s="98">
        <f t="shared" si="123"/>
        <v>0</v>
      </c>
      <c r="AZ81" s="340">
        <f t="shared" si="124"/>
        <v>0</v>
      </c>
      <c r="BA81" s="98">
        <f t="shared" si="123"/>
        <v>0</v>
      </c>
      <c r="BB81" s="340">
        <f t="shared" si="125"/>
        <v>0</v>
      </c>
      <c r="BC81" s="465">
        <f t="shared" si="125"/>
        <v>0</v>
      </c>
      <c r="BD81" s="340">
        <f t="shared" si="129"/>
        <v>0</v>
      </c>
      <c r="BE81" s="578">
        <f t="shared" si="126"/>
        <v>0</v>
      </c>
      <c r="BF81" s="98">
        <f t="shared" si="127"/>
        <v>0</v>
      </c>
      <c r="BG81" s="465">
        <f t="shared" si="128"/>
        <v>0</v>
      </c>
    </row>
    <row r="82" spans="1:59" ht="11.1" hidden="1" customHeight="1" x14ac:dyDescent="0.25">
      <c r="A82" s="574">
        <v>34</v>
      </c>
      <c r="B82" s="98">
        <f t="shared" si="79"/>
        <v>0</v>
      </c>
      <c r="C82" s="340">
        <f t="shared" si="80"/>
        <v>0</v>
      </c>
      <c r="D82" s="340">
        <f t="shared" si="81"/>
        <v>0</v>
      </c>
      <c r="E82" s="340">
        <f t="shared" si="82"/>
        <v>0</v>
      </c>
      <c r="F82" s="340">
        <f t="shared" si="83"/>
        <v>0</v>
      </c>
      <c r="G82" s="465">
        <f t="shared" si="84"/>
        <v>0</v>
      </c>
      <c r="H82" s="98">
        <f t="shared" si="85"/>
        <v>0</v>
      </c>
      <c r="I82" s="340">
        <f t="shared" si="86"/>
        <v>0</v>
      </c>
      <c r="J82" s="340">
        <f t="shared" si="87"/>
        <v>0</v>
      </c>
      <c r="K82" s="340">
        <f t="shared" si="88"/>
        <v>0</v>
      </c>
      <c r="L82" s="465">
        <f t="shared" si="89"/>
        <v>0</v>
      </c>
      <c r="M82" s="465">
        <f t="shared" si="62"/>
        <v>0</v>
      </c>
      <c r="N82" s="98">
        <f t="shared" si="90"/>
        <v>0</v>
      </c>
      <c r="O82" s="340">
        <f t="shared" si="91"/>
        <v>0</v>
      </c>
      <c r="P82" s="340">
        <f t="shared" si="92"/>
        <v>0</v>
      </c>
      <c r="Q82" s="340">
        <f t="shared" si="93"/>
        <v>0</v>
      </c>
      <c r="R82" s="340">
        <f t="shared" si="94"/>
        <v>0</v>
      </c>
      <c r="S82" s="340">
        <f t="shared" si="95"/>
        <v>0</v>
      </c>
      <c r="T82" s="340">
        <f t="shared" si="96"/>
        <v>0</v>
      </c>
      <c r="U82" s="340">
        <f t="shared" si="96"/>
        <v>0</v>
      </c>
      <c r="V82" s="340">
        <f t="shared" si="97"/>
        <v>0</v>
      </c>
      <c r="W82" s="465">
        <f t="shared" si="98"/>
        <v>0</v>
      </c>
      <c r="X82" s="340">
        <f t="shared" si="99"/>
        <v>0</v>
      </c>
      <c r="Y82" s="340">
        <f t="shared" si="100"/>
        <v>0</v>
      </c>
      <c r="Z82" s="340">
        <f t="shared" si="101"/>
        <v>0</v>
      </c>
      <c r="AA82" s="340">
        <f t="shared" si="102"/>
        <v>0</v>
      </c>
      <c r="AB82" s="340">
        <f t="shared" si="103"/>
        <v>0</v>
      </c>
      <c r="AC82" s="340">
        <f t="shared" si="104"/>
        <v>0</v>
      </c>
      <c r="AD82" s="98">
        <f t="shared" si="105"/>
        <v>0</v>
      </c>
      <c r="AE82" s="465">
        <f t="shared" si="130"/>
        <v>0</v>
      </c>
      <c r="AF82" s="578">
        <f t="shared" si="131"/>
        <v>0</v>
      </c>
      <c r="AG82" s="98">
        <f t="shared" si="108"/>
        <v>0</v>
      </c>
      <c r="AH82" s="340">
        <f>IF($A38&lt;AH$5,IF(AH81&lt;&gt;0,AH81+AH38,AH38),0)</f>
        <v>0</v>
      </c>
      <c r="AI82" s="340">
        <f t="shared" si="110"/>
        <v>0</v>
      </c>
      <c r="AJ82" s="340">
        <f t="shared" si="111"/>
        <v>0</v>
      </c>
      <c r="AK82" s="465">
        <f t="shared" si="112"/>
        <v>0</v>
      </c>
      <c r="AL82" s="465">
        <f t="shared" si="112"/>
        <v>0</v>
      </c>
      <c r="AM82" s="465">
        <f t="shared" si="112"/>
        <v>0</v>
      </c>
      <c r="AN82" s="465">
        <f t="shared" si="112"/>
        <v>0</v>
      </c>
      <c r="AO82" s="98">
        <f t="shared" si="113"/>
        <v>0</v>
      </c>
      <c r="AP82" s="340">
        <f t="shared" si="114"/>
        <v>0</v>
      </c>
      <c r="AQ82" s="340">
        <f t="shared" si="115"/>
        <v>0</v>
      </c>
      <c r="AR82" s="340">
        <f t="shared" si="116"/>
        <v>0</v>
      </c>
      <c r="AS82" s="340">
        <f t="shared" si="117"/>
        <v>0</v>
      </c>
      <c r="AT82" s="340">
        <f t="shared" si="118"/>
        <v>0</v>
      </c>
      <c r="AU82" s="340">
        <f t="shared" si="119"/>
        <v>0</v>
      </c>
      <c r="AV82" s="340">
        <f t="shared" si="120"/>
        <v>0</v>
      </c>
      <c r="AW82" s="340">
        <f t="shared" si="121"/>
        <v>0</v>
      </c>
      <c r="AX82" s="465">
        <f t="shared" si="122"/>
        <v>0</v>
      </c>
      <c r="AY82" s="98">
        <f t="shared" si="123"/>
        <v>0</v>
      </c>
      <c r="AZ82" s="340">
        <f t="shared" si="124"/>
        <v>0</v>
      </c>
      <c r="BA82" s="98">
        <f t="shared" si="123"/>
        <v>0</v>
      </c>
      <c r="BB82" s="340">
        <f t="shared" si="125"/>
        <v>0</v>
      </c>
      <c r="BC82" s="465">
        <f t="shared" si="125"/>
        <v>0</v>
      </c>
      <c r="BD82" s="340">
        <f t="shared" si="129"/>
        <v>0</v>
      </c>
      <c r="BE82" s="578">
        <f t="shared" si="126"/>
        <v>0</v>
      </c>
      <c r="BF82" s="98">
        <f t="shared" si="127"/>
        <v>0</v>
      </c>
      <c r="BG82" s="465">
        <f t="shared" si="128"/>
        <v>0</v>
      </c>
    </row>
    <row r="83" spans="1:59" ht="11.1" hidden="1" customHeight="1" x14ac:dyDescent="0.25">
      <c r="A83" s="574">
        <v>35</v>
      </c>
      <c r="B83" s="98">
        <f t="shared" si="79"/>
        <v>0</v>
      </c>
      <c r="C83" s="340">
        <f t="shared" si="80"/>
        <v>0</v>
      </c>
      <c r="D83" s="340">
        <f t="shared" si="81"/>
        <v>0</v>
      </c>
      <c r="E83" s="340">
        <f t="shared" si="82"/>
        <v>0</v>
      </c>
      <c r="F83" s="340">
        <f t="shared" si="83"/>
        <v>0</v>
      </c>
      <c r="G83" s="465">
        <f t="shared" si="84"/>
        <v>0</v>
      </c>
      <c r="H83" s="98">
        <f t="shared" si="85"/>
        <v>0</v>
      </c>
      <c r="I83" s="340">
        <f t="shared" si="86"/>
        <v>0</v>
      </c>
      <c r="J83" s="340">
        <f t="shared" si="87"/>
        <v>0</v>
      </c>
      <c r="K83" s="340">
        <f t="shared" si="88"/>
        <v>0</v>
      </c>
      <c r="L83" s="465">
        <f t="shared" si="89"/>
        <v>0</v>
      </c>
      <c r="M83" s="465">
        <f t="shared" si="62"/>
        <v>0</v>
      </c>
      <c r="N83" s="98">
        <f t="shared" si="90"/>
        <v>0</v>
      </c>
      <c r="O83" s="340">
        <f t="shared" si="91"/>
        <v>0</v>
      </c>
      <c r="P83" s="340">
        <f t="shared" si="92"/>
        <v>0</v>
      </c>
      <c r="Q83" s="340">
        <f t="shared" si="93"/>
        <v>0</v>
      </c>
      <c r="R83" s="340">
        <f t="shared" si="94"/>
        <v>0</v>
      </c>
      <c r="S83" s="340">
        <f t="shared" si="95"/>
        <v>0</v>
      </c>
      <c r="T83" s="340">
        <f t="shared" si="96"/>
        <v>0</v>
      </c>
      <c r="U83" s="340">
        <f t="shared" si="96"/>
        <v>0</v>
      </c>
      <c r="V83" s="340">
        <f t="shared" si="97"/>
        <v>0</v>
      </c>
      <c r="W83" s="465">
        <f t="shared" si="98"/>
        <v>0</v>
      </c>
      <c r="X83" s="340">
        <f t="shared" si="99"/>
        <v>0</v>
      </c>
      <c r="Y83" s="340">
        <f t="shared" si="100"/>
        <v>0</v>
      </c>
      <c r="Z83" s="340">
        <f t="shared" si="101"/>
        <v>0</v>
      </c>
      <c r="AA83" s="340">
        <f t="shared" si="102"/>
        <v>0</v>
      </c>
      <c r="AB83" s="340">
        <f t="shared" si="103"/>
        <v>0</v>
      </c>
      <c r="AC83" s="340">
        <f t="shared" si="104"/>
        <v>0</v>
      </c>
      <c r="AD83" s="98">
        <f t="shared" si="105"/>
        <v>0</v>
      </c>
      <c r="AE83" s="465">
        <f t="shared" si="130"/>
        <v>0</v>
      </c>
      <c r="AF83" s="578">
        <f t="shared" si="131"/>
        <v>0</v>
      </c>
      <c r="AG83" s="98">
        <f t="shared" si="108"/>
        <v>0</v>
      </c>
      <c r="AH83" s="340">
        <f>IF($A39&lt;AH$5,IF(AH82&lt;&gt;0,AH82+AH39,AH39),0)</f>
        <v>0</v>
      </c>
      <c r="AI83" s="340">
        <f t="shared" si="110"/>
        <v>0</v>
      </c>
      <c r="AJ83" s="340">
        <f t="shared" si="111"/>
        <v>0</v>
      </c>
      <c r="AK83" s="465">
        <f t="shared" si="112"/>
        <v>0</v>
      </c>
      <c r="AL83" s="465">
        <f t="shared" si="112"/>
        <v>0</v>
      </c>
      <c r="AM83" s="465">
        <f t="shared" si="112"/>
        <v>0</v>
      </c>
      <c r="AN83" s="465">
        <f t="shared" si="112"/>
        <v>0</v>
      </c>
      <c r="AO83" s="98">
        <f t="shared" si="113"/>
        <v>0</v>
      </c>
      <c r="AP83" s="340">
        <f t="shared" si="114"/>
        <v>0</v>
      </c>
      <c r="AQ83" s="340">
        <f t="shared" si="115"/>
        <v>0</v>
      </c>
      <c r="AR83" s="340">
        <f t="shared" si="116"/>
        <v>0</v>
      </c>
      <c r="AS83" s="340">
        <f t="shared" si="117"/>
        <v>0</v>
      </c>
      <c r="AT83" s="340">
        <f t="shared" si="118"/>
        <v>0</v>
      </c>
      <c r="AU83" s="340">
        <f t="shared" si="119"/>
        <v>0</v>
      </c>
      <c r="AV83" s="340">
        <f t="shared" si="120"/>
        <v>0</v>
      </c>
      <c r="AW83" s="340">
        <f t="shared" si="121"/>
        <v>0</v>
      </c>
      <c r="AX83" s="465">
        <f t="shared" si="122"/>
        <v>0</v>
      </c>
      <c r="AY83" s="98">
        <f t="shared" si="123"/>
        <v>0</v>
      </c>
      <c r="AZ83" s="340">
        <f t="shared" si="124"/>
        <v>0</v>
      </c>
      <c r="BA83" s="98">
        <f t="shared" si="123"/>
        <v>0</v>
      </c>
      <c r="BB83" s="340">
        <f t="shared" si="125"/>
        <v>0</v>
      </c>
      <c r="BC83" s="465">
        <f t="shared" si="125"/>
        <v>0</v>
      </c>
      <c r="BD83" s="340">
        <f t="shared" si="129"/>
        <v>0</v>
      </c>
      <c r="BE83" s="578">
        <f t="shared" si="126"/>
        <v>0</v>
      </c>
      <c r="BF83" s="98">
        <f t="shared" si="127"/>
        <v>0</v>
      </c>
      <c r="BG83" s="465">
        <f t="shared" si="128"/>
        <v>0</v>
      </c>
    </row>
    <row r="84" spans="1:59" ht="11.1" hidden="1" customHeight="1" x14ac:dyDescent="0.25">
      <c r="A84" s="574">
        <v>36</v>
      </c>
      <c r="B84" s="98">
        <f t="shared" si="79"/>
        <v>0</v>
      </c>
      <c r="C84" s="340">
        <f t="shared" si="80"/>
        <v>0</v>
      </c>
      <c r="D84" s="340">
        <f t="shared" si="81"/>
        <v>0</v>
      </c>
      <c r="E84" s="340">
        <f t="shared" si="82"/>
        <v>0</v>
      </c>
      <c r="F84" s="340">
        <f t="shared" si="83"/>
        <v>0</v>
      </c>
      <c r="G84" s="465">
        <f t="shared" si="84"/>
        <v>0</v>
      </c>
      <c r="H84" s="98">
        <f t="shared" si="85"/>
        <v>0</v>
      </c>
      <c r="I84" s="340">
        <f t="shared" si="86"/>
        <v>0</v>
      </c>
      <c r="J84" s="340">
        <f t="shared" si="87"/>
        <v>0</v>
      </c>
      <c r="K84" s="340">
        <f t="shared" si="88"/>
        <v>0</v>
      </c>
      <c r="L84" s="465">
        <f t="shared" si="89"/>
        <v>0</v>
      </c>
      <c r="M84" s="465">
        <f t="shared" si="62"/>
        <v>0</v>
      </c>
      <c r="N84" s="98">
        <f t="shared" si="90"/>
        <v>0</v>
      </c>
      <c r="O84" s="340">
        <f t="shared" si="91"/>
        <v>0</v>
      </c>
      <c r="P84" s="340">
        <f t="shared" si="92"/>
        <v>0</v>
      </c>
      <c r="Q84" s="340">
        <f t="shared" si="93"/>
        <v>0</v>
      </c>
      <c r="R84" s="340">
        <f t="shared" si="94"/>
        <v>0</v>
      </c>
      <c r="S84" s="340">
        <f t="shared" si="95"/>
        <v>0</v>
      </c>
      <c r="T84" s="340">
        <f t="shared" si="96"/>
        <v>0</v>
      </c>
      <c r="U84" s="340">
        <f t="shared" si="96"/>
        <v>0</v>
      </c>
      <c r="V84" s="340">
        <f t="shared" si="97"/>
        <v>0</v>
      </c>
      <c r="W84" s="465">
        <f t="shared" si="98"/>
        <v>0</v>
      </c>
      <c r="X84" s="340">
        <f t="shared" si="99"/>
        <v>0</v>
      </c>
      <c r="Y84" s="340">
        <f t="shared" si="100"/>
        <v>0</v>
      </c>
      <c r="Z84" s="340">
        <f t="shared" si="101"/>
        <v>0</v>
      </c>
      <c r="AA84" s="340">
        <f t="shared" si="102"/>
        <v>0</v>
      </c>
      <c r="AB84" s="340">
        <f t="shared" si="103"/>
        <v>0</v>
      </c>
      <c r="AC84" s="340">
        <f t="shared" si="104"/>
        <v>0</v>
      </c>
      <c r="AD84" s="98">
        <f t="shared" si="105"/>
        <v>0</v>
      </c>
      <c r="AE84" s="465">
        <f t="shared" si="130"/>
        <v>0</v>
      </c>
      <c r="AF84" s="578">
        <f t="shared" si="131"/>
        <v>0</v>
      </c>
      <c r="AG84" s="98">
        <f t="shared" si="108"/>
        <v>0</v>
      </c>
      <c r="AH84" s="340">
        <f t="shared" si="109"/>
        <v>0</v>
      </c>
      <c r="AI84" s="340">
        <f t="shared" si="110"/>
        <v>0</v>
      </c>
      <c r="AJ84" s="340">
        <f t="shared" si="111"/>
        <v>0</v>
      </c>
      <c r="AK84" s="465">
        <f t="shared" si="112"/>
        <v>0</v>
      </c>
      <c r="AL84" s="465">
        <f t="shared" si="112"/>
        <v>0</v>
      </c>
      <c r="AM84" s="465">
        <f t="shared" si="112"/>
        <v>0</v>
      </c>
      <c r="AN84" s="465">
        <f t="shared" si="112"/>
        <v>0</v>
      </c>
      <c r="AO84" s="98">
        <f t="shared" si="113"/>
        <v>0</v>
      </c>
      <c r="AP84" s="340">
        <f t="shared" si="114"/>
        <v>0</v>
      </c>
      <c r="AQ84" s="340">
        <f t="shared" si="115"/>
        <v>0</v>
      </c>
      <c r="AR84" s="340">
        <f t="shared" si="116"/>
        <v>0</v>
      </c>
      <c r="AS84" s="340">
        <f t="shared" si="117"/>
        <v>0</v>
      </c>
      <c r="AT84" s="340">
        <f t="shared" si="118"/>
        <v>0</v>
      </c>
      <c r="AU84" s="340">
        <f t="shared" si="119"/>
        <v>0</v>
      </c>
      <c r="AV84" s="340">
        <f t="shared" si="120"/>
        <v>0</v>
      </c>
      <c r="AW84" s="340">
        <f t="shared" si="121"/>
        <v>0</v>
      </c>
      <c r="AX84" s="465">
        <f t="shared" si="122"/>
        <v>0</v>
      </c>
      <c r="AY84" s="98">
        <f t="shared" si="123"/>
        <v>0</v>
      </c>
      <c r="AZ84" s="340">
        <f t="shared" si="124"/>
        <v>0</v>
      </c>
      <c r="BA84" s="98">
        <f t="shared" si="123"/>
        <v>0</v>
      </c>
      <c r="BB84" s="340">
        <f t="shared" si="125"/>
        <v>0</v>
      </c>
      <c r="BC84" s="465">
        <f t="shared" si="125"/>
        <v>0</v>
      </c>
      <c r="BD84" s="340">
        <f t="shared" si="129"/>
        <v>0</v>
      </c>
      <c r="BE84" s="578">
        <f t="shared" si="126"/>
        <v>0</v>
      </c>
      <c r="BF84" s="98">
        <f t="shared" si="127"/>
        <v>0</v>
      </c>
      <c r="BG84" s="465">
        <f t="shared" si="128"/>
        <v>0</v>
      </c>
    </row>
    <row r="85" spans="1:59" ht="11.1" hidden="1" customHeight="1" x14ac:dyDescent="0.25">
      <c r="A85" s="574">
        <v>37</v>
      </c>
      <c r="B85" s="98">
        <f t="shared" si="79"/>
        <v>0</v>
      </c>
      <c r="C85" s="340">
        <f t="shared" si="80"/>
        <v>0</v>
      </c>
      <c r="D85" s="340">
        <f t="shared" si="81"/>
        <v>0</v>
      </c>
      <c r="E85" s="340">
        <f t="shared" si="82"/>
        <v>0</v>
      </c>
      <c r="F85" s="340">
        <f t="shared" si="83"/>
        <v>0</v>
      </c>
      <c r="G85" s="465">
        <f t="shared" si="84"/>
        <v>0</v>
      </c>
      <c r="H85" s="98">
        <f t="shared" si="85"/>
        <v>0</v>
      </c>
      <c r="I85" s="340">
        <f t="shared" si="86"/>
        <v>0</v>
      </c>
      <c r="J85" s="340">
        <f t="shared" si="87"/>
        <v>0</v>
      </c>
      <c r="K85" s="340">
        <f t="shared" si="88"/>
        <v>0</v>
      </c>
      <c r="L85" s="465">
        <f t="shared" si="89"/>
        <v>0</v>
      </c>
      <c r="M85" s="465">
        <f t="shared" si="62"/>
        <v>0</v>
      </c>
      <c r="N85" s="98">
        <f t="shared" si="90"/>
        <v>0</v>
      </c>
      <c r="O85" s="340">
        <f t="shared" si="91"/>
        <v>0</v>
      </c>
      <c r="P85" s="340">
        <f t="shared" si="92"/>
        <v>0</v>
      </c>
      <c r="Q85" s="340">
        <f t="shared" si="93"/>
        <v>0</v>
      </c>
      <c r="R85" s="340">
        <f t="shared" si="94"/>
        <v>0</v>
      </c>
      <c r="S85" s="340">
        <f t="shared" si="95"/>
        <v>0</v>
      </c>
      <c r="T85" s="340">
        <f t="shared" si="96"/>
        <v>0</v>
      </c>
      <c r="U85" s="340">
        <f t="shared" si="96"/>
        <v>0</v>
      </c>
      <c r="V85" s="340">
        <f t="shared" si="97"/>
        <v>0</v>
      </c>
      <c r="W85" s="465">
        <f t="shared" si="98"/>
        <v>0</v>
      </c>
      <c r="X85" s="340">
        <f t="shared" si="99"/>
        <v>0</v>
      </c>
      <c r="Y85" s="340">
        <f t="shared" si="100"/>
        <v>0</v>
      </c>
      <c r="Z85" s="340">
        <f t="shared" si="101"/>
        <v>0</v>
      </c>
      <c r="AA85" s="340">
        <f t="shared" si="102"/>
        <v>0</v>
      </c>
      <c r="AB85" s="340">
        <f t="shared" si="103"/>
        <v>0</v>
      </c>
      <c r="AC85" s="340">
        <f t="shared" si="104"/>
        <v>0</v>
      </c>
      <c r="AD85" s="98">
        <f t="shared" si="105"/>
        <v>0</v>
      </c>
      <c r="AE85" s="465">
        <f t="shared" si="130"/>
        <v>0</v>
      </c>
      <c r="AF85" s="578">
        <f t="shared" si="131"/>
        <v>0</v>
      </c>
      <c r="AG85" s="98">
        <f t="shared" si="108"/>
        <v>0</v>
      </c>
      <c r="AH85" s="340">
        <f t="shared" si="109"/>
        <v>0</v>
      </c>
      <c r="AI85" s="340">
        <f t="shared" si="110"/>
        <v>0</v>
      </c>
      <c r="AJ85" s="340">
        <f t="shared" si="111"/>
        <v>0</v>
      </c>
      <c r="AK85" s="465">
        <f t="shared" si="112"/>
        <v>0</v>
      </c>
      <c r="AL85" s="465">
        <f t="shared" si="112"/>
        <v>0</v>
      </c>
      <c r="AM85" s="465">
        <f t="shared" si="112"/>
        <v>0</v>
      </c>
      <c r="AN85" s="465">
        <f t="shared" si="112"/>
        <v>0</v>
      </c>
      <c r="AO85" s="98">
        <f t="shared" si="113"/>
        <v>0</v>
      </c>
      <c r="AP85" s="340">
        <f t="shared" si="114"/>
        <v>0</v>
      </c>
      <c r="AQ85" s="340">
        <f t="shared" si="115"/>
        <v>0</v>
      </c>
      <c r="AR85" s="340">
        <f t="shared" si="116"/>
        <v>0</v>
      </c>
      <c r="AS85" s="340">
        <f t="shared" si="117"/>
        <v>0</v>
      </c>
      <c r="AT85" s="340">
        <f t="shared" si="118"/>
        <v>0</v>
      </c>
      <c r="AU85" s="340">
        <f t="shared" si="119"/>
        <v>0</v>
      </c>
      <c r="AV85" s="340">
        <f t="shared" si="120"/>
        <v>0</v>
      </c>
      <c r="AW85" s="340">
        <f t="shared" si="121"/>
        <v>0</v>
      </c>
      <c r="AX85" s="465">
        <f t="shared" si="122"/>
        <v>0</v>
      </c>
      <c r="AY85" s="98">
        <f t="shared" si="123"/>
        <v>0</v>
      </c>
      <c r="AZ85" s="340">
        <f t="shared" si="124"/>
        <v>0</v>
      </c>
      <c r="BA85" s="98">
        <f t="shared" si="123"/>
        <v>0</v>
      </c>
      <c r="BB85" s="340">
        <f t="shared" si="125"/>
        <v>0</v>
      </c>
      <c r="BC85" s="465">
        <f t="shared" si="125"/>
        <v>0</v>
      </c>
      <c r="BD85" s="340">
        <f t="shared" si="129"/>
        <v>0</v>
      </c>
      <c r="BE85" s="578">
        <f t="shared" si="126"/>
        <v>0</v>
      </c>
      <c r="BF85" s="98">
        <f t="shared" si="127"/>
        <v>0</v>
      </c>
      <c r="BG85" s="465">
        <f t="shared" si="128"/>
        <v>0</v>
      </c>
    </row>
    <row r="86" spans="1:59" ht="11.1" hidden="1" customHeight="1" x14ac:dyDescent="0.25">
      <c r="A86" s="574">
        <v>38</v>
      </c>
      <c r="B86" s="98">
        <f t="shared" si="79"/>
        <v>0</v>
      </c>
      <c r="C86" s="340">
        <f t="shared" si="80"/>
        <v>0</v>
      </c>
      <c r="D86" s="340">
        <f t="shared" si="81"/>
        <v>0</v>
      </c>
      <c r="E86" s="340">
        <f t="shared" si="82"/>
        <v>0</v>
      </c>
      <c r="F86" s="340">
        <f t="shared" si="83"/>
        <v>0</v>
      </c>
      <c r="G86" s="465">
        <f t="shared" si="84"/>
        <v>0</v>
      </c>
      <c r="H86" s="98">
        <f t="shared" si="85"/>
        <v>0</v>
      </c>
      <c r="I86" s="340">
        <f t="shared" si="86"/>
        <v>0</v>
      </c>
      <c r="J86" s="340">
        <f t="shared" si="87"/>
        <v>0</v>
      </c>
      <c r="K86" s="340">
        <f t="shared" si="88"/>
        <v>0</v>
      </c>
      <c r="L86" s="465">
        <f t="shared" si="89"/>
        <v>0</v>
      </c>
      <c r="M86" s="465">
        <f t="shared" si="62"/>
        <v>0</v>
      </c>
      <c r="N86" s="98">
        <f t="shared" si="90"/>
        <v>0</v>
      </c>
      <c r="O86" s="340">
        <f t="shared" si="91"/>
        <v>0</v>
      </c>
      <c r="P86" s="340">
        <f t="shared" si="92"/>
        <v>0</v>
      </c>
      <c r="Q86" s="340">
        <f t="shared" si="93"/>
        <v>0</v>
      </c>
      <c r="R86" s="340">
        <f t="shared" si="94"/>
        <v>0</v>
      </c>
      <c r="S86" s="340">
        <f t="shared" si="95"/>
        <v>0</v>
      </c>
      <c r="T86" s="340">
        <f t="shared" si="96"/>
        <v>0</v>
      </c>
      <c r="U86" s="340">
        <f t="shared" si="96"/>
        <v>0</v>
      </c>
      <c r="V86" s="340">
        <f t="shared" si="97"/>
        <v>0</v>
      </c>
      <c r="W86" s="465">
        <f t="shared" si="98"/>
        <v>0</v>
      </c>
      <c r="X86" s="340">
        <f t="shared" si="99"/>
        <v>0</v>
      </c>
      <c r="Y86" s="340">
        <f t="shared" si="100"/>
        <v>0</v>
      </c>
      <c r="Z86" s="340">
        <f t="shared" si="101"/>
        <v>0</v>
      </c>
      <c r="AA86" s="340">
        <f t="shared" si="102"/>
        <v>0</v>
      </c>
      <c r="AB86" s="340">
        <f t="shared" si="103"/>
        <v>0</v>
      </c>
      <c r="AC86" s="340">
        <f t="shared" si="104"/>
        <v>0</v>
      </c>
      <c r="AD86" s="98">
        <f t="shared" si="105"/>
        <v>0</v>
      </c>
      <c r="AE86" s="465">
        <f t="shared" si="130"/>
        <v>0</v>
      </c>
      <c r="AF86" s="578">
        <f t="shared" si="131"/>
        <v>0</v>
      </c>
      <c r="AG86" s="98">
        <f t="shared" si="108"/>
        <v>0</v>
      </c>
      <c r="AH86" s="340">
        <f t="shared" si="109"/>
        <v>0</v>
      </c>
      <c r="AI86" s="340">
        <f t="shared" si="110"/>
        <v>0</v>
      </c>
      <c r="AJ86" s="340">
        <f t="shared" si="111"/>
        <v>0</v>
      </c>
      <c r="AK86" s="465">
        <f t="shared" si="112"/>
        <v>0</v>
      </c>
      <c r="AL86" s="465">
        <f t="shared" si="112"/>
        <v>0</v>
      </c>
      <c r="AM86" s="465">
        <f t="shared" si="112"/>
        <v>0</v>
      </c>
      <c r="AN86" s="465">
        <f t="shared" si="112"/>
        <v>0</v>
      </c>
      <c r="AO86" s="98">
        <f t="shared" si="113"/>
        <v>0</v>
      </c>
      <c r="AP86" s="340">
        <f t="shared" si="114"/>
        <v>0</v>
      </c>
      <c r="AQ86" s="340">
        <f t="shared" si="115"/>
        <v>0</v>
      </c>
      <c r="AR86" s="340">
        <f t="shared" si="116"/>
        <v>0</v>
      </c>
      <c r="AS86" s="340">
        <f t="shared" si="117"/>
        <v>0</v>
      </c>
      <c r="AT86" s="340">
        <f t="shared" si="118"/>
        <v>0</v>
      </c>
      <c r="AU86" s="340">
        <f t="shared" si="119"/>
        <v>0</v>
      </c>
      <c r="AV86" s="340">
        <f t="shared" si="120"/>
        <v>0</v>
      </c>
      <c r="AW86" s="340">
        <f t="shared" si="121"/>
        <v>0</v>
      </c>
      <c r="AX86" s="465">
        <f t="shared" si="122"/>
        <v>0</v>
      </c>
      <c r="AY86" s="98">
        <f t="shared" si="123"/>
        <v>0</v>
      </c>
      <c r="AZ86" s="340">
        <f t="shared" si="124"/>
        <v>0</v>
      </c>
      <c r="BA86" s="98">
        <f t="shared" si="123"/>
        <v>0</v>
      </c>
      <c r="BB86" s="340">
        <f t="shared" si="125"/>
        <v>0</v>
      </c>
      <c r="BC86" s="465">
        <f t="shared" si="125"/>
        <v>0</v>
      </c>
      <c r="BD86" s="340">
        <f t="shared" si="129"/>
        <v>0</v>
      </c>
      <c r="BE86" s="578">
        <f t="shared" si="126"/>
        <v>0</v>
      </c>
      <c r="BF86" s="98">
        <f t="shared" si="127"/>
        <v>0</v>
      </c>
      <c r="BG86" s="465">
        <f t="shared" si="128"/>
        <v>0</v>
      </c>
    </row>
    <row r="87" spans="1:59" ht="11.1" hidden="1" customHeight="1" x14ac:dyDescent="0.25">
      <c r="A87" s="574">
        <v>39</v>
      </c>
      <c r="B87" s="98">
        <f t="shared" si="79"/>
        <v>0</v>
      </c>
      <c r="C87" s="340">
        <f t="shared" si="80"/>
        <v>0</v>
      </c>
      <c r="D87" s="340">
        <f t="shared" si="81"/>
        <v>0</v>
      </c>
      <c r="E87" s="340">
        <f t="shared" si="82"/>
        <v>0</v>
      </c>
      <c r="F87" s="340">
        <f t="shared" si="83"/>
        <v>0</v>
      </c>
      <c r="G87" s="465">
        <f t="shared" si="84"/>
        <v>0</v>
      </c>
      <c r="H87" s="98">
        <f t="shared" si="85"/>
        <v>0</v>
      </c>
      <c r="I87" s="340">
        <f t="shared" si="86"/>
        <v>0</v>
      </c>
      <c r="J87" s="340">
        <f t="shared" si="87"/>
        <v>0</v>
      </c>
      <c r="K87" s="340">
        <f t="shared" si="88"/>
        <v>0</v>
      </c>
      <c r="L87" s="465">
        <f t="shared" si="89"/>
        <v>0</v>
      </c>
      <c r="M87" s="465">
        <f t="shared" si="62"/>
        <v>0</v>
      </c>
      <c r="N87" s="98">
        <f t="shared" si="90"/>
        <v>0</v>
      </c>
      <c r="O87" s="340">
        <f t="shared" si="91"/>
        <v>0</v>
      </c>
      <c r="P87" s="340">
        <f t="shared" si="92"/>
        <v>0</v>
      </c>
      <c r="Q87" s="340">
        <f t="shared" si="93"/>
        <v>0</v>
      </c>
      <c r="R87" s="340">
        <f t="shared" si="94"/>
        <v>0</v>
      </c>
      <c r="S87" s="340">
        <f t="shared" si="95"/>
        <v>0</v>
      </c>
      <c r="T87" s="340">
        <f t="shared" si="96"/>
        <v>0</v>
      </c>
      <c r="U87" s="340">
        <f t="shared" si="96"/>
        <v>0</v>
      </c>
      <c r="V87" s="340">
        <f t="shared" si="97"/>
        <v>0</v>
      </c>
      <c r="W87" s="465">
        <f t="shared" si="98"/>
        <v>0</v>
      </c>
      <c r="X87" s="340">
        <f t="shared" si="99"/>
        <v>0</v>
      </c>
      <c r="Y87" s="340">
        <f t="shared" si="100"/>
        <v>0</v>
      </c>
      <c r="Z87" s="340">
        <f t="shared" si="101"/>
        <v>0</v>
      </c>
      <c r="AA87" s="340">
        <f t="shared" si="102"/>
        <v>0</v>
      </c>
      <c r="AB87" s="340">
        <f t="shared" si="103"/>
        <v>0</v>
      </c>
      <c r="AC87" s="340">
        <f t="shared" si="104"/>
        <v>0</v>
      </c>
      <c r="AD87" s="98">
        <f t="shared" si="105"/>
        <v>0</v>
      </c>
      <c r="AE87" s="465">
        <f t="shared" si="130"/>
        <v>0</v>
      </c>
      <c r="AF87" s="578">
        <f t="shared" si="131"/>
        <v>0</v>
      </c>
      <c r="AG87" s="98">
        <f t="shared" si="108"/>
        <v>0</v>
      </c>
      <c r="AH87" s="340">
        <f t="shared" si="109"/>
        <v>0</v>
      </c>
      <c r="AI87" s="340">
        <f t="shared" si="110"/>
        <v>0</v>
      </c>
      <c r="AJ87" s="340">
        <f t="shared" si="111"/>
        <v>0</v>
      </c>
      <c r="AK87" s="465">
        <f t="shared" si="112"/>
        <v>0</v>
      </c>
      <c r="AL87" s="465">
        <f t="shared" si="112"/>
        <v>0</v>
      </c>
      <c r="AM87" s="465">
        <f t="shared" si="112"/>
        <v>0</v>
      </c>
      <c r="AN87" s="465">
        <f t="shared" si="112"/>
        <v>0</v>
      </c>
      <c r="AO87" s="98">
        <f t="shared" si="113"/>
        <v>0</v>
      </c>
      <c r="AP87" s="340">
        <f t="shared" si="114"/>
        <v>0</v>
      </c>
      <c r="AQ87" s="340">
        <f t="shared" si="115"/>
        <v>0</v>
      </c>
      <c r="AR87" s="340">
        <f t="shared" si="116"/>
        <v>0</v>
      </c>
      <c r="AS87" s="340">
        <f t="shared" si="117"/>
        <v>0</v>
      </c>
      <c r="AT87" s="340">
        <f t="shared" si="118"/>
        <v>0</v>
      </c>
      <c r="AU87" s="340">
        <f t="shared" si="119"/>
        <v>0</v>
      </c>
      <c r="AV87" s="340">
        <f t="shared" si="120"/>
        <v>0</v>
      </c>
      <c r="AW87" s="340">
        <f t="shared" si="121"/>
        <v>0</v>
      </c>
      <c r="AX87" s="465">
        <f t="shared" si="122"/>
        <v>0</v>
      </c>
      <c r="AY87" s="98">
        <f t="shared" si="123"/>
        <v>0</v>
      </c>
      <c r="AZ87" s="340">
        <f t="shared" si="124"/>
        <v>0</v>
      </c>
      <c r="BA87" s="98">
        <f t="shared" si="123"/>
        <v>0</v>
      </c>
      <c r="BB87" s="340">
        <f t="shared" si="125"/>
        <v>0</v>
      </c>
      <c r="BC87" s="465">
        <f t="shared" si="125"/>
        <v>0</v>
      </c>
      <c r="BD87" s="340">
        <f t="shared" si="129"/>
        <v>0</v>
      </c>
      <c r="BE87" s="578">
        <f t="shared" si="126"/>
        <v>0</v>
      </c>
      <c r="BF87" s="98">
        <f t="shared" si="127"/>
        <v>0</v>
      </c>
      <c r="BG87" s="465">
        <f t="shared" si="128"/>
        <v>0</v>
      </c>
    </row>
    <row r="88" spans="1:59" ht="11.1" hidden="1" customHeight="1" thickBot="1" x14ac:dyDescent="0.3">
      <c r="A88" s="288">
        <v>40</v>
      </c>
      <c r="B88" s="104">
        <f t="shared" si="79"/>
        <v>0</v>
      </c>
      <c r="C88" s="105">
        <f t="shared" si="80"/>
        <v>0</v>
      </c>
      <c r="D88" s="105">
        <f t="shared" si="81"/>
        <v>0</v>
      </c>
      <c r="E88" s="105">
        <f t="shared" si="82"/>
        <v>0</v>
      </c>
      <c r="F88" s="105">
        <f t="shared" si="83"/>
        <v>0</v>
      </c>
      <c r="G88" s="466">
        <f t="shared" si="84"/>
        <v>0</v>
      </c>
      <c r="H88" s="104">
        <f t="shared" si="85"/>
        <v>0</v>
      </c>
      <c r="I88" s="105">
        <f t="shared" si="86"/>
        <v>0</v>
      </c>
      <c r="J88" s="105">
        <f t="shared" si="87"/>
        <v>0</v>
      </c>
      <c r="K88" s="105">
        <f t="shared" si="88"/>
        <v>0</v>
      </c>
      <c r="L88" s="466">
        <f t="shared" si="89"/>
        <v>0</v>
      </c>
      <c r="M88" s="465">
        <f t="shared" si="62"/>
        <v>0</v>
      </c>
      <c r="N88" s="104">
        <f t="shared" si="90"/>
        <v>0</v>
      </c>
      <c r="O88" s="105">
        <f t="shared" si="91"/>
        <v>0</v>
      </c>
      <c r="P88" s="105">
        <f t="shared" si="92"/>
        <v>0</v>
      </c>
      <c r="Q88" s="105">
        <f t="shared" si="93"/>
        <v>0</v>
      </c>
      <c r="R88" s="105">
        <f t="shared" si="94"/>
        <v>0</v>
      </c>
      <c r="S88" s="105">
        <f t="shared" si="95"/>
        <v>0</v>
      </c>
      <c r="T88" s="624">
        <f t="shared" si="96"/>
        <v>0</v>
      </c>
      <c r="U88" s="105">
        <f t="shared" si="96"/>
        <v>0</v>
      </c>
      <c r="V88" s="105">
        <f t="shared" si="97"/>
        <v>0</v>
      </c>
      <c r="W88" s="466">
        <f t="shared" si="98"/>
        <v>0</v>
      </c>
      <c r="X88" s="105">
        <f t="shared" si="99"/>
        <v>0</v>
      </c>
      <c r="Y88" s="105">
        <f t="shared" si="100"/>
        <v>0</v>
      </c>
      <c r="Z88" s="105">
        <f t="shared" si="101"/>
        <v>0</v>
      </c>
      <c r="AA88" s="105">
        <f t="shared" si="102"/>
        <v>0</v>
      </c>
      <c r="AB88" s="105">
        <f t="shared" si="103"/>
        <v>0</v>
      </c>
      <c r="AC88" s="105">
        <f t="shared" si="104"/>
        <v>0</v>
      </c>
      <c r="AD88" s="104">
        <f t="shared" si="105"/>
        <v>0</v>
      </c>
      <c r="AE88" s="466">
        <f t="shared" si="130"/>
        <v>0</v>
      </c>
      <c r="AF88" s="579">
        <f t="shared" si="131"/>
        <v>0</v>
      </c>
      <c r="AG88" s="104">
        <f t="shared" si="108"/>
        <v>0</v>
      </c>
      <c r="AH88" s="105">
        <f t="shared" si="109"/>
        <v>0</v>
      </c>
      <c r="AI88" s="105">
        <f t="shared" si="110"/>
        <v>0</v>
      </c>
      <c r="AJ88" s="105">
        <f t="shared" si="111"/>
        <v>0</v>
      </c>
      <c r="AK88" s="466">
        <f t="shared" si="112"/>
        <v>0</v>
      </c>
      <c r="AL88" s="465">
        <f t="shared" si="112"/>
        <v>0</v>
      </c>
      <c r="AM88" s="465">
        <f t="shared" si="112"/>
        <v>0</v>
      </c>
      <c r="AN88" s="465">
        <f t="shared" si="112"/>
        <v>0</v>
      </c>
      <c r="AO88" s="104">
        <f t="shared" si="113"/>
        <v>0</v>
      </c>
      <c r="AP88" s="105">
        <f t="shared" si="114"/>
        <v>0</v>
      </c>
      <c r="AQ88" s="105">
        <f t="shared" si="115"/>
        <v>0</v>
      </c>
      <c r="AR88" s="105">
        <f t="shared" si="116"/>
        <v>0</v>
      </c>
      <c r="AS88" s="105">
        <f t="shared" si="117"/>
        <v>0</v>
      </c>
      <c r="AT88" s="105">
        <f t="shared" si="118"/>
        <v>0</v>
      </c>
      <c r="AU88" s="105">
        <f t="shared" si="119"/>
        <v>0</v>
      </c>
      <c r="AV88" s="105">
        <f t="shared" si="120"/>
        <v>0</v>
      </c>
      <c r="AW88" s="105">
        <f t="shared" si="121"/>
        <v>0</v>
      </c>
      <c r="AX88" s="466">
        <f t="shared" si="122"/>
        <v>0</v>
      </c>
      <c r="AY88" s="104">
        <f t="shared" si="123"/>
        <v>0</v>
      </c>
      <c r="AZ88" s="105">
        <f t="shared" si="124"/>
        <v>0</v>
      </c>
      <c r="BA88" s="104">
        <f t="shared" si="123"/>
        <v>0</v>
      </c>
      <c r="BB88" s="105">
        <f t="shared" si="125"/>
        <v>0</v>
      </c>
      <c r="BC88" s="466">
        <f t="shared" si="125"/>
        <v>0</v>
      </c>
      <c r="BD88" s="105">
        <f t="shared" si="129"/>
        <v>0</v>
      </c>
      <c r="BE88" s="579">
        <f t="shared" si="126"/>
        <v>0</v>
      </c>
      <c r="BF88" s="104">
        <f t="shared" si="127"/>
        <v>0</v>
      </c>
      <c r="BG88" s="466">
        <f t="shared" si="128"/>
        <v>0</v>
      </c>
    </row>
    <row r="89" spans="1:59" ht="11.1" hidden="1" customHeight="1" thickBot="1" x14ac:dyDescent="0.3">
      <c r="A89" s="576" t="s">
        <v>101</v>
      </c>
      <c r="B89" s="111">
        <f>SUM(B49:B88)</f>
        <v>2</v>
      </c>
      <c r="C89" s="467">
        <f t="shared" ref="C89:BG89" si="132">SUM(C49:C88)</f>
        <v>2</v>
      </c>
      <c r="D89" s="467">
        <f t="shared" si="132"/>
        <v>0</v>
      </c>
      <c r="E89" s="467">
        <f t="shared" si="132"/>
        <v>1</v>
      </c>
      <c r="F89" s="467">
        <f t="shared" si="132"/>
        <v>1</v>
      </c>
      <c r="G89" s="468">
        <f t="shared" si="132"/>
        <v>0</v>
      </c>
      <c r="H89" s="111">
        <f t="shared" si="132"/>
        <v>3</v>
      </c>
      <c r="I89" s="467">
        <f t="shared" si="132"/>
        <v>0</v>
      </c>
      <c r="J89" s="467">
        <f t="shared" si="132"/>
        <v>1</v>
      </c>
      <c r="K89" s="467">
        <f t="shared" si="132"/>
        <v>0</v>
      </c>
      <c r="L89" s="468">
        <f t="shared" si="132"/>
        <v>0</v>
      </c>
      <c r="M89" s="468">
        <f t="shared" si="132"/>
        <v>0</v>
      </c>
      <c r="N89" s="111">
        <f t="shared" si="132"/>
        <v>0</v>
      </c>
      <c r="O89" s="467">
        <f t="shared" si="132"/>
        <v>4</v>
      </c>
      <c r="P89" s="467">
        <f t="shared" si="132"/>
        <v>0</v>
      </c>
      <c r="Q89" s="467">
        <f>SUM(Q49:Q88)</f>
        <v>0</v>
      </c>
      <c r="R89" s="467">
        <f>SUM(R49:R88)</f>
        <v>0</v>
      </c>
      <c r="S89" s="467">
        <f t="shared" si="132"/>
        <v>0</v>
      </c>
      <c r="T89" s="467">
        <f t="shared" ref="T89" si="133">SUM(T49:T88)</f>
        <v>0</v>
      </c>
      <c r="U89" s="467">
        <f t="shared" si="132"/>
        <v>0</v>
      </c>
      <c r="V89" s="467">
        <f t="shared" si="132"/>
        <v>0</v>
      </c>
      <c r="W89" s="468">
        <f t="shared" ref="W89:AC89" si="134">SUM(W49:W88)</f>
        <v>0</v>
      </c>
      <c r="X89" s="467">
        <f t="shared" si="134"/>
        <v>0</v>
      </c>
      <c r="Y89" s="467">
        <f t="shared" si="134"/>
        <v>0</v>
      </c>
      <c r="Z89" s="467">
        <f t="shared" si="134"/>
        <v>0</v>
      </c>
      <c r="AA89" s="467">
        <f t="shared" si="134"/>
        <v>0</v>
      </c>
      <c r="AB89" s="467">
        <f t="shared" si="134"/>
        <v>0</v>
      </c>
      <c r="AC89" s="467">
        <f t="shared" si="134"/>
        <v>0</v>
      </c>
      <c r="AD89" s="111">
        <f t="shared" si="132"/>
        <v>0</v>
      </c>
      <c r="AE89" s="468">
        <f t="shared" si="132"/>
        <v>1</v>
      </c>
      <c r="AF89" s="297">
        <f t="shared" si="132"/>
        <v>0</v>
      </c>
      <c r="AG89" s="111">
        <f t="shared" si="132"/>
        <v>0</v>
      </c>
      <c r="AH89" s="467">
        <f t="shared" si="132"/>
        <v>0</v>
      </c>
      <c r="AI89" s="467">
        <f t="shared" si="132"/>
        <v>0</v>
      </c>
      <c r="AJ89" s="467">
        <f t="shared" si="132"/>
        <v>0</v>
      </c>
      <c r="AK89" s="468">
        <f t="shared" si="132"/>
        <v>0</v>
      </c>
      <c r="AL89" s="468">
        <f t="shared" si="132"/>
        <v>0</v>
      </c>
      <c r="AM89" s="468">
        <f t="shared" si="132"/>
        <v>0</v>
      </c>
      <c r="AN89" s="468">
        <f t="shared" si="132"/>
        <v>0</v>
      </c>
      <c r="AO89" s="468">
        <f t="shared" si="132"/>
        <v>0</v>
      </c>
      <c r="AP89" s="467">
        <f t="shared" si="132"/>
        <v>0</v>
      </c>
      <c r="AQ89" s="467">
        <f t="shared" si="132"/>
        <v>0</v>
      </c>
      <c r="AR89" s="467">
        <f t="shared" si="132"/>
        <v>0</v>
      </c>
      <c r="AS89" s="467">
        <f t="shared" si="132"/>
        <v>0</v>
      </c>
      <c r="AT89" s="467">
        <f t="shared" si="132"/>
        <v>0</v>
      </c>
      <c r="AU89" s="467">
        <f t="shared" si="132"/>
        <v>0</v>
      </c>
      <c r="AV89" s="467">
        <f t="shared" si="132"/>
        <v>0</v>
      </c>
      <c r="AW89" s="467">
        <f t="shared" si="132"/>
        <v>0</v>
      </c>
      <c r="AX89" s="468">
        <f t="shared" si="132"/>
        <v>0</v>
      </c>
      <c r="AY89" s="111">
        <f t="shared" si="132"/>
        <v>0</v>
      </c>
      <c r="AZ89" s="467">
        <f t="shared" si="132"/>
        <v>0</v>
      </c>
      <c r="BA89" s="111">
        <f>SUM(BA49:BA88)</f>
        <v>0</v>
      </c>
      <c r="BB89" s="467">
        <f t="shared" si="132"/>
        <v>0</v>
      </c>
      <c r="BC89" s="468">
        <f>SUM(BC49:BC88)</f>
        <v>0</v>
      </c>
      <c r="BD89" s="467">
        <f>SUM(BD49:BD88)</f>
        <v>0</v>
      </c>
      <c r="BE89" s="297">
        <f t="shared" si="132"/>
        <v>0</v>
      </c>
      <c r="BF89" s="111">
        <f t="shared" si="132"/>
        <v>0</v>
      </c>
      <c r="BG89" s="468">
        <f t="shared" si="132"/>
        <v>0</v>
      </c>
    </row>
  </sheetData>
  <sheetProtection selectLockedCells="1"/>
  <mergeCells count="18">
    <mergeCell ref="AG1:AN1"/>
    <mergeCell ref="BI26:BJ34"/>
    <mergeCell ref="AO1:AX1"/>
    <mergeCell ref="BF1:BG1"/>
    <mergeCell ref="BI18:BJ25"/>
    <mergeCell ref="BI14:BI16"/>
    <mergeCell ref="BJ14:BJ16"/>
    <mergeCell ref="BI6:BI8"/>
    <mergeCell ref="BJ6:BJ8"/>
    <mergeCell ref="BI10:BI12"/>
    <mergeCell ref="BJ10:BJ12"/>
    <mergeCell ref="AY1:BD1"/>
    <mergeCell ref="A1:A2"/>
    <mergeCell ref="B1:G1"/>
    <mergeCell ref="AD1:AE1"/>
    <mergeCell ref="N1:W1"/>
    <mergeCell ref="X1:AC1"/>
    <mergeCell ref="H1:M1"/>
  </mergeCells>
  <conditionalFormatting sqref="B2:BG2">
    <cfRule type="expression" dxfId="194" priority="542">
      <formula>B$5=MATCH(B$3,B$6:B$45,0)</formula>
    </cfRule>
    <cfRule type="expression" dxfId="193" priority="543">
      <formula>AND(B$3=0,B$3&lt;&gt;"")</formula>
    </cfRule>
  </conditionalFormatting>
  <conditionalFormatting sqref="M6:M8 AE6:AF15 M17 AF16:AF45">
    <cfRule type="expression" dxfId="192" priority="544">
      <formula>AND(M$5&lt;&gt;"",$A6&gt;M$5)</formula>
    </cfRule>
    <cfRule type="expression" dxfId="191" priority="545">
      <formula>M$46&gt;M$3</formula>
    </cfRule>
  </conditionalFormatting>
  <conditionalFormatting sqref="AE6:AE15">
    <cfRule type="expression" dxfId="190" priority="546">
      <formula>AND($AE6=0,$A6&gt;$AE$5)</formula>
    </cfRule>
    <cfRule type="expression" dxfId="189" priority="547">
      <formula>AND($AE6=0,$A6&lt;=$AE$5)</formula>
    </cfRule>
  </conditionalFormatting>
  <conditionalFormatting sqref="B6:L16">
    <cfRule type="expression" dxfId="188" priority="208">
      <formula>B$46&gt;B$3</formula>
    </cfRule>
  </conditionalFormatting>
  <conditionalFormatting sqref="B6:L16">
    <cfRule type="expression" dxfId="187" priority="209">
      <formula>AND(B$5&lt;&gt;"",$A6&gt;B$5)</formula>
    </cfRule>
  </conditionalFormatting>
  <conditionalFormatting sqref="AG16:AK16">
    <cfRule type="expression" dxfId="186" priority="75">
      <formula>AG$46&gt;AG$3</formula>
    </cfRule>
  </conditionalFormatting>
  <conditionalFormatting sqref="B17:L17">
    <cfRule type="expression" dxfId="185" priority="211">
      <formula>AND(B$5&lt;&gt;"",$A17&gt;B$5)</formula>
    </cfRule>
  </conditionalFormatting>
  <conditionalFormatting sqref="B17:L17">
    <cfRule type="expression" dxfId="184" priority="210">
      <formula>B$46&gt;B$3</formula>
    </cfRule>
  </conditionalFormatting>
  <conditionalFormatting sqref="AG16:AK16">
    <cfRule type="expression" dxfId="183" priority="76">
      <formula>AND(AG$5&lt;&gt;"",$A16&gt;AG$5)</formula>
    </cfRule>
  </conditionalFormatting>
  <conditionalFormatting sqref="N6:P16">
    <cfRule type="expression" dxfId="182" priority="183">
      <formula>N$46&gt;N$3</formula>
    </cfRule>
  </conditionalFormatting>
  <conditionalFormatting sqref="AB6">
    <cfRule type="expression" dxfId="181" priority="159">
      <formula>AB$46&gt;AB$3</formula>
    </cfRule>
  </conditionalFormatting>
  <conditionalFormatting sqref="AC6">
    <cfRule type="expression" dxfId="180" priority="158">
      <formula>AND(AC$5&lt;&gt;"",$A6&gt;AC$5)</formula>
    </cfRule>
  </conditionalFormatting>
  <conditionalFormatting sqref="R12:R16">
    <cfRule type="expression" dxfId="179" priority="186">
      <formula>AND(R$5&lt;&gt;"",$A12&gt;R$5)</formula>
    </cfRule>
  </conditionalFormatting>
  <conditionalFormatting sqref="N6:Q16">
    <cfRule type="expression" dxfId="178" priority="184">
      <formula>AND(N$5&lt;&gt;"",$A6&gt;N$5)</formula>
    </cfRule>
  </conditionalFormatting>
  <conditionalFormatting sqref="Q6:Q16">
    <cfRule type="expression" dxfId="177" priority="181">
      <formula>Q$46&gt;Q$3</formula>
    </cfRule>
  </conditionalFormatting>
  <conditionalFormatting sqref="Q6:Q16">
    <cfRule type="expression" dxfId="176" priority="182">
      <formula>AND(Q$5&lt;&gt;"",$A6&gt;Q$5)</formula>
    </cfRule>
  </conditionalFormatting>
  <conditionalFormatting sqref="R12:R16">
    <cfRule type="expression" dxfId="175" priority="185">
      <formula>R$46&gt;R$3</formula>
    </cfRule>
  </conditionalFormatting>
  <conditionalFormatting sqref="R6:R11">
    <cfRule type="expression" dxfId="174" priority="180">
      <formula>AND(R$5&lt;&gt;"",$A6&gt;R$5)</formula>
    </cfRule>
  </conditionalFormatting>
  <conditionalFormatting sqref="S12:S16 V6:V11 U12:V16">
    <cfRule type="expression" dxfId="173" priority="187">
      <formula>S$46&gt;S$3</formula>
    </cfRule>
  </conditionalFormatting>
  <conditionalFormatting sqref="Z13:AC14 AC7:AC12">
    <cfRule type="expression" dxfId="172" priority="172">
      <formula>Z$46&gt;Z$3</formula>
    </cfRule>
  </conditionalFormatting>
  <conditionalFormatting sqref="Z10:Z12">
    <cfRule type="expression" dxfId="171" priority="170">
      <formula>Z$46&gt;Z$3</formula>
    </cfRule>
  </conditionalFormatting>
  <conditionalFormatting sqref="Z10:AB12 AA9:AB9 AB7:AB8">
    <cfRule type="expression" dxfId="170" priority="171">
      <formula>AND(Z$5&lt;&gt;"",$A7&gt;Z$5)</formula>
    </cfRule>
  </conditionalFormatting>
  <conditionalFormatting sqref="AA6:AA8">
    <cfRule type="expression" dxfId="169" priority="164">
      <formula>AND(AA$5&lt;&gt;"",$A6&gt;AA$5)</formula>
    </cfRule>
  </conditionalFormatting>
  <conditionalFormatting sqref="AB6">
    <cfRule type="expression" dxfId="168" priority="160">
      <formula>AND(AB$5&lt;&gt;"",$A6&gt;AB$5)</formula>
    </cfRule>
  </conditionalFormatting>
  <conditionalFormatting sqref="AC6">
    <cfRule type="expression" dxfId="167" priority="156">
      <formula>AC$46&gt;AC$3</formula>
    </cfRule>
  </conditionalFormatting>
  <conditionalFormatting sqref="AC6">
    <cfRule type="expression" dxfId="166" priority="157">
      <formula>AND(AC$5&lt;&gt;"",$A6&gt;AC$5)</formula>
    </cfRule>
  </conditionalFormatting>
  <conditionalFormatting sqref="AD6:AD14">
    <cfRule type="expression" dxfId="165" priority="154">
      <formula>AD$46&gt;AD$3</formula>
    </cfRule>
  </conditionalFormatting>
  <conditionalFormatting sqref="AD6:AD14">
    <cfRule type="expression" dxfId="164" priority="155">
      <formula>AND(AD$5&lt;&gt;"",$A6&gt;AD$5)</formula>
    </cfRule>
  </conditionalFormatting>
  <conditionalFormatting sqref="R6:R11">
    <cfRule type="expression" dxfId="163" priority="179">
      <formula>AND(R$5&lt;&gt;"",$A6&gt;R$5)</formula>
    </cfRule>
  </conditionalFormatting>
  <conditionalFormatting sqref="R6:R11">
    <cfRule type="expression" dxfId="162" priority="178">
      <formula>R$46&gt;R$3</formula>
    </cfRule>
  </conditionalFormatting>
  <conditionalFormatting sqref="S6:S11 U6:U11">
    <cfRule type="expression" dxfId="161" priority="177">
      <formula>AND(S$5&lt;&gt;"",$A6&gt;S$5)</formula>
    </cfRule>
  </conditionalFormatting>
  <conditionalFormatting sqref="S6:S11 U6:U11">
    <cfRule type="expression" dxfId="160" priority="176">
      <formula>S$46&gt;S$3</formula>
    </cfRule>
  </conditionalFormatting>
  <conditionalFormatting sqref="X6:X10">
    <cfRule type="expression" dxfId="159" priority="175">
      <formula>AND(X$5&lt;&gt;"",$A6&gt;X$5)</formula>
    </cfRule>
  </conditionalFormatting>
  <conditionalFormatting sqref="X6:X10">
    <cfRule type="expression" dxfId="158" priority="174">
      <formula>X$46&gt;X$3</formula>
    </cfRule>
  </conditionalFormatting>
  <conditionalFormatting sqref="Z6:Z9">
    <cfRule type="expression" dxfId="157" priority="166">
      <formula>AND(Z$5&lt;&gt;"",$A6&gt;Z$5)</formula>
    </cfRule>
  </conditionalFormatting>
  <conditionalFormatting sqref="AB6">
    <cfRule type="expression" dxfId="156" priority="161">
      <formula>AND(AB$5&lt;&gt;"",$A6&gt;AB$5)</formula>
    </cfRule>
  </conditionalFormatting>
  <conditionalFormatting sqref="AA9:AB12 AB7:AB8">
    <cfRule type="expression" dxfId="155" priority="169">
      <formula>AND(AA$5&lt;&gt;"",$A7&gt;AA$5)</formula>
    </cfRule>
  </conditionalFormatting>
  <conditionalFormatting sqref="Z6:Z9">
    <cfRule type="expression" dxfId="154" priority="167">
      <formula>AND(Z$5&lt;&gt;"",$A6&gt;Z$5)</formula>
    </cfRule>
  </conditionalFormatting>
  <conditionalFormatting sqref="AA6:AA8">
    <cfRule type="expression" dxfId="153" priority="163">
      <formula>AND(AA$5&lt;&gt;"",$A6&gt;AA$5)</formula>
    </cfRule>
  </conditionalFormatting>
  <conditionalFormatting sqref="AC7:AC12 Z13:AC14">
    <cfRule type="expression" dxfId="152" priority="173">
      <formula>AND(Z$5&lt;&gt;"",$A7&gt;Z$5)</formula>
    </cfRule>
  </conditionalFormatting>
  <conditionalFormatting sqref="AA9:AB12 AB7:AB8">
    <cfRule type="expression" dxfId="151" priority="168">
      <formula>AA$46&gt;AA$3</formula>
    </cfRule>
  </conditionalFormatting>
  <conditionalFormatting sqref="Z6:Z9">
    <cfRule type="expression" dxfId="150" priority="165">
      <formula>Z$46&gt;Z$3</formula>
    </cfRule>
  </conditionalFormatting>
  <conditionalFormatting sqref="AA6:AA8">
    <cfRule type="expression" dxfId="149" priority="162">
      <formula>AA$46&gt;AA$3</formula>
    </cfRule>
  </conditionalFormatting>
  <conditionalFormatting sqref="W17:AC17">
    <cfRule type="expression" dxfId="148" priority="193">
      <formula>W$46&gt;W$3</formula>
    </cfRule>
  </conditionalFormatting>
  <conditionalFormatting sqref="N17:S17 U17:AC17">
    <cfRule type="expression" dxfId="147" priority="194">
      <formula>AND(N$5&lt;&gt;"",$A17&gt;N$5)</formula>
    </cfRule>
  </conditionalFormatting>
  <conditionalFormatting sqref="N17:P17 S17 U17:V17">
    <cfRule type="expression" dxfId="146" priority="192">
      <formula>N$46&gt;N$3</formula>
    </cfRule>
  </conditionalFormatting>
  <conditionalFormatting sqref="Q17:R17">
    <cfRule type="expression" dxfId="145" priority="190">
      <formula>Q$46&gt;Q$3</formula>
    </cfRule>
  </conditionalFormatting>
  <conditionalFormatting sqref="Q17:R17">
    <cfRule type="expression" dxfId="144" priority="191">
      <formula>AND(Q$5&lt;&gt;"",$A17&gt;Q$5)</formula>
    </cfRule>
  </conditionalFormatting>
  <conditionalFormatting sqref="W6:W10 Y6:Y10 W11:Y14 W15:AD15 W16:AC16">
    <cfRule type="expression" dxfId="143" priority="188">
      <formula>W$46&gt;W$3</formula>
    </cfRule>
  </conditionalFormatting>
  <conditionalFormatting sqref="V11:Y11 V6:W10 Y6:Y10 R12:S16 U15:AD15 U12:Y14 U16:AC16">
    <cfRule type="expression" dxfId="142" priority="189">
      <formula>AND(R$5&lt;&gt;"",$A6&gt;R$5)</formula>
    </cfRule>
  </conditionalFormatting>
  <conditionalFormatting sqref="T12:T16">
    <cfRule type="expression" dxfId="141" priority="140">
      <formula>T$46&gt;T$3</formula>
    </cfRule>
  </conditionalFormatting>
  <conditionalFormatting sqref="T6:T11">
    <cfRule type="expression" dxfId="140" priority="139">
      <formula>AND(T$5&lt;&gt;"",$A6&gt;T$5)</formula>
    </cfRule>
  </conditionalFormatting>
  <conditionalFormatting sqref="T6:T11">
    <cfRule type="expression" dxfId="139" priority="138">
      <formula>T$46&gt;T$3</formula>
    </cfRule>
  </conditionalFormatting>
  <conditionalFormatting sqref="AO6:AZ15">
    <cfRule type="expression" dxfId="138" priority="7">
      <formula>AO$46&gt;AO$3</formula>
    </cfRule>
  </conditionalFormatting>
  <conditionalFormatting sqref="T17">
    <cfRule type="expression" dxfId="137" priority="143">
      <formula>AND(T$5&lt;&gt;"",$A17&gt;T$5)</formula>
    </cfRule>
  </conditionalFormatting>
  <conditionalFormatting sqref="T17">
    <cfRule type="expression" dxfId="136" priority="142">
      <formula>T$46&gt;T$3</formula>
    </cfRule>
  </conditionalFormatting>
  <conditionalFormatting sqref="AO6:AZ15">
    <cfRule type="expression" dxfId="135" priority="8">
      <formula>AND(AO$5&lt;&gt;"",$A6&gt;AO$5)</formula>
    </cfRule>
  </conditionalFormatting>
  <conditionalFormatting sqref="T12:T16">
    <cfRule type="expression" dxfId="134" priority="141">
      <formula>AND(T$5&lt;&gt;"",$A12&gt;T$5)</formula>
    </cfRule>
  </conditionalFormatting>
  <conditionalFormatting sqref="B22:R45 T22:AC45">
    <cfRule type="expression" dxfId="133" priority="136">
      <formula>B$46&gt;B$3</formula>
    </cfRule>
    <cfRule type="expression" dxfId="132" priority="137">
      <formula>AND(B$5&lt;&gt;"",$A22&gt;B$5)</formula>
    </cfRule>
  </conditionalFormatting>
  <conditionalFormatting sqref="B21:R21 T21:AC21">
    <cfRule type="expression" dxfId="131" priority="134">
      <formula>B$46&gt;B$3</formula>
    </cfRule>
    <cfRule type="expression" dxfId="130" priority="135">
      <formula>AND(B$5&lt;&gt;"",$A21&gt;B$5)</formula>
    </cfRule>
  </conditionalFormatting>
  <conditionalFormatting sqref="B18:O18 R18 T18:U18">
    <cfRule type="expression" dxfId="129" priority="127">
      <formula>B$46&gt;B$3</formula>
    </cfRule>
  </conditionalFormatting>
  <conditionalFormatting sqref="P18:Q18">
    <cfRule type="expression" dxfId="128" priority="125">
      <formula>P$46&gt;P$3</formula>
    </cfRule>
  </conditionalFormatting>
  <conditionalFormatting sqref="P18:Q18">
    <cfRule type="expression" dxfId="127" priority="126">
      <formula>AND(P$5&lt;&gt;"",$A18&gt;P$5)</formula>
    </cfRule>
  </conditionalFormatting>
  <conditionalFormatting sqref="V18:AC18">
    <cfRule type="expression" dxfId="126" priority="128">
      <formula>V$46&gt;V$3</formula>
    </cfRule>
  </conditionalFormatting>
  <conditionalFormatting sqref="B18:R18 T18:AC18">
    <cfRule type="expression" dxfId="125" priority="129">
      <formula>AND(B$5&lt;&gt;"",$A18&gt;B$5)</formula>
    </cfRule>
  </conditionalFormatting>
  <conditionalFormatting sqref="B20:R20 T20:AC20">
    <cfRule type="expression" dxfId="124" priority="132">
      <formula>B$46&gt;B$3</formula>
    </cfRule>
    <cfRule type="expression" dxfId="123" priority="133">
      <formula>AND(B$5&lt;&gt;"",$A20&gt;B$5)</formula>
    </cfRule>
  </conditionalFormatting>
  <conditionalFormatting sqref="B19:R19 T19:AC19">
    <cfRule type="expression" dxfId="122" priority="130">
      <formula>B$46&gt;B$3</formula>
    </cfRule>
    <cfRule type="expression" dxfId="121" priority="131">
      <formula>AND(B$5&lt;&gt;"",$A19&gt;B$5)</formula>
    </cfRule>
  </conditionalFormatting>
  <conditionalFormatting sqref="S22:S45">
    <cfRule type="expression" dxfId="120" priority="123">
      <formula>S$46&gt;S$3</formula>
    </cfRule>
    <cfRule type="expression" dxfId="119" priority="124">
      <formula>AND(S$5&lt;&gt;"",$A22&gt;S$5)</formula>
    </cfRule>
  </conditionalFormatting>
  <conditionalFormatting sqref="S21">
    <cfRule type="expression" dxfId="118" priority="121">
      <formula>S$46&gt;S$3</formula>
    </cfRule>
    <cfRule type="expression" dxfId="117" priority="122">
      <formula>AND(S$5&lt;&gt;"",$A21&gt;S$5)</formula>
    </cfRule>
  </conditionalFormatting>
  <conditionalFormatting sqref="S18">
    <cfRule type="expression" dxfId="116" priority="115">
      <formula>S$46&gt;S$3</formula>
    </cfRule>
  </conditionalFormatting>
  <conditionalFormatting sqref="S18">
    <cfRule type="expression" dxfId="115" priority="116">
      <formula>AND(S$5&lt;&gt;"",$A18&gt;S$5)</formula>
    </cfRule>
  </conditionalFormatting>
  <conditionalFormatting sqref="S20">
    <cfRule type="expression" dxfId="114" priority="119">
      <formula>S$46&gt;S$3</formula>
    </cfRule>
    <cfRule type="expression" dxfId="113" priority="120">
      <formula>AND(S$5&lt;&gt;"",$A20&gt;S$5)</formula>
    </cfRule>
  </conditionalFormatting>
  <conditionalFormatting sqref="S19">
    <cfRule type="expression" dxfId="112" priority="117">
      <formula>S$46&gt;S$3</formula>
    </cfRule>
    <cfRule type="expression" dxfId="111" priority="118">
      <formula>AND(S$5&lt;&gt;"",$A19&gt;S$5)</formula>
    </cfRule>
  </conditionalFormatting>
  <conditionalFormatting sqref="M9:M15">
    <cfRule type="expression" dxfId="110" priority="111">
      <formula>M$46&gt;M$3</formula>
    </cfRule>
  </conditionalFormatting>
  <conditionalFormatting sqref="M9:M15">
    <cfRule type="expression" dxfId="109" priority="112">
      <formula>AND(M$5&lt;&gt;"",$A9&gt;M$5)</formula>
    </cfRule>
  </conditionalFormatting>
  <conditionalFormatting sqref="M16">
    <cfRule type="expression" dxfId="108" priority="114">
      <formula>AND(M$5&lt;&gt;"",$A16&gt;M$5)</formula>
    </cfRule>
  </conditionalFormatting>
  <conditionalFormatting sqref="M16">
    <cfRule type="expression" dxfId="107" priority="113">
      <formula>M$46&gt;M$3</formula>
    </cfRule>
  </conditionalFormatting>
  <conditionalFormatting sqref="AD22:AE45">
    <cfRule type="expression" dxfId="106" priority="109">
      <formula>AD$46&gt;AD$3</formula>
    </cfRule>
    <cfRule type="expression" dxfId="105" priority="110">
      <formula>AND(AD$5&lt;&gt;"",$A22&gt;AD$5)</formula>
    </cfRule>
  </conditionalFormatting>
  <conditionalFormatting sqref="AE22:AE45">
    <cfRule type="expression" dxfId="104" priority="107">
      <formula>AND($AD22=0,$A22&gt;$AD$5)</formula>
    </cfRule>
    <cfRule type="expression" dxfId="103" priority="108">
      <formula>AND($AD22=0,$A22&lt;=$AD$5)</formula>
    </cfRule>
  </conditionalFormatting>
  <conditionalFormatting sqref="AD21:AE21">
    <cfRule type="expression" dxfId="102" priority="105">
      <formula>AD$46&gt;AD$3</formula>
    </cfRule>
    <cfRule type="expression" dxfId="101" priority="106">
      <formula>AND(AD$5&lt;&gt;"",$A21&gt;AD$5)</formula>
    </cfRule>
  </conditionalFormatting>
  <conditionalFormatting sqref="AE21">
    <cfRule type="expression" dxfId="100" priority="103">
      <formula>AND($AD21=0,$A21&gt;$AD$5)</formula>
    </cfRule>
    <cfRule type="expression" dxfId="99" priority="104">
      <formula>AND($AD21=0,$A21&lt;=$AD$5)</formula>
    </cfRule>
  </conditionalFormatting>
  <conditionalFormatting sqref="AD17:AE17">
    <cfRule type="expression" dxfId="98" priority="91">
      <formula>AD$46&gt;AD$3</formula>
    </cfRule>
  </conditionalFormatting>
  <conditionalFormatting sqref="AD17:AE17">
    <cfRule type="expression" dxfId="97" priority="92">
      <formula>AND(AD$5&lt;&gt;"",$A17&gt;AD$5)</formula>
    </cfRule>
  </conditionalFormatting>
  <conditionalFormatting sqref="AD18:AE18">
    <cfRule type="expression" dxfId="96" priority="93">
      <formula>AD$46&gt;AD$3</formula>
    </cfRule>
  </conditionalFormatting>
  <conditionalFormatting sqref="AD18:AE18">
    <cfRule type="expression" dxfId="95" priority="94">
      <formula>AND(AD$5&lt;&gt;"",$A18&gt;AD$5)</formula>
    </cfRule>
  </conditionalFormatting>
  <conditionalFormatting sqref="AD16:AE16">
    <cfRule type="expression" dxfId="94" priority="89">
      <formula>AD$46&gt;AD$3</formula>
    </cfRule>
  </conditionalFormatting>
  <conditionalFormatting sqref="AD16:AE16">
    <cfRule type="expression" dxfId="93" priority="90">
      <formula>AND(AD$5&lt;&gt;"",$A16&gt;AD$5)</formula>
    </cfRule>
  </conditionalFormatting>
  <conditionalFormatting sqref="AD20:AE20">
    <cfRule type="expression" dxfId="92" priority="101">
      <formula>AD$46&gt;AD$3</formula>
    </cfRule>
    <cfRule type="expression" dxfId="91" priority="102">
      <formula>AND(AD$5&lt;&gt;"",$A20&gt;AD$5)</formula>
    </cfRule>
  </conditionalFormatting>
  <conditionalFormatting sqref="AE20">
    <cfRule type="expression" dxfId="90" priority="99">
      <formula>AND($AD20=0,$A20&gt;$AD$5)</formula>
    </cfRule>
    <cfRule type="expression" dxfId="89" priority="100">
      <formula>AND($AD20=0,$A20&lt;=$AD$5)</formula>
    </cfRule>
  </conditionalFormatting>
  <conditionalFormatting sqref="AD19:AE19">
    <cfRule type="expression" dxfId="88" priority="97">
      <formula>AD$46&gt;AD$3</formula>
    </cfRule>
    <cfRule type="expression" dxfId="87" priority="98">
      <formula>AND(AD$5&lt;&gt;"",$A19&gt;AD$5)</formula>
    </cfRule>
  </conditionalFormatting>
  <conditionalFormatting sqref="AE19">
    <cfRule type="expression" dxfId="86" priority="95">
      <formula>AND($AD19=0,$A19&gt;$AD$5)</formula>
    </cfRule>
    <cfRule type="expression" dxfId="85" priority="96">
      <formula>AND($AD19=0,$A19&lt;=$AD$5)</formula>
    </cfRule>
  </conditionalFormatting>
  <conditionalFormatting sqref="AG22:AK45">
    <cfRule type="expression" dxfId="84" priority="87">
      <formula>AG$46&gt;AG$3</formula>
    </cfRule>
    <cfRule type="expression" dxfId="83" priority="88">
      <formula>AND(AG$5&lt;&gt;"",$A22&gt;AG$5)</formula>
    </cfRule>
  </conditionalFormatting>
  <conditionalFormatting sqref="AG21:AK21">
    <cfRule type="expression" dxfId="82" priority="85">
      <formula>AG$46&gt;AG$3</formula>
    </cfRule>
    <cfRule type="expression" dxfId="81" priority="86">
      <formula>AND(AG$5&lt;&gt;"",$A21&gt;AG$5)</formula>
    </cfRule>
  </conditionalFormatting>
  <conditionalFormatting sqref="AG6:AK15">
    <cfRule type="expression" dxfId="80" priority="73">
      <formula>AG$46&gt;AG$3</formula>
    </cfRule>
  </conditionalFormatting>
  <conditionalFormatting sqref="AG6:AK15">
    <cfRule type="expression" dxfId="79" priority="74">
      <formula>AND(AG$5&lt;&gt;"",$A6&gt;AG$5)</formula>
    </cfRule>
  </conditionalFormatting>
  <conditionalFormatting sqref="AG17:AK17">
    <cfRule type="expression" dxfId="78" priority="77">
      <formula>AG$46&gt;AG$3</formula>
    </cfRule>
  </conditionalFormatting>
  <conditionalFormatting sqref="AG17:AK17">
    <cfRule type="expression" dxfId="77" priority="78">
      <formula>AND(AG$5&lt;&gt;"",$A17&gt;AG$5)</formula>
    </cfRule>
  </conditionalFormatting>
  <conditionalFormatting sqref="AG18:AK18">
    <cfRule type="expression" dxfId="76" priority="79">
      <formula>AG$46&gt;AG$3</formula>
    </cfRule>
  </conditionalFormatting>
  <conditionalFormatting sqref="AG18:AK18">
    <cfRule type="expression" dxfId="75" priority="80">
      <formula>AND(AG$5&lt;&gt;"",$A18&gt;AG$5)</formula>
    </cfRule>
  </conditionalFormatting>
  <conditionalFormatting sqref="AG20:AK20">
    <cfRule type="expression" dxfId="74" priority="83">
      <formula>AG$46&gt;AG$3</formula>
    </cfRule>
    <cfRule type="expression" dxfId="73" priority="84">
      <formula>AND(AG$5&lt;&gt;"",$A20&gt;AG$5)</formula>
    </cfRule>
  </conditionalFormatting>
  <conditionalFormatting sqref="AG19:AK19">
    <cfRule type="expression" dxfId="72" priority="81">
      <formula>AG$46&gt;AG$3</formula>
    </cfRule>
    <cfRule type="expression" dxfId="71" priority="82">
      <formula>AND(AG$5&lt;&gt;"",$A19&gt;AG$5)</formula>
    </cfRule>
  </conditionalFormatting>
  <conditionalFormatting sqref="BD7:BD18">
    <cfRule type="expression" dxfId="70" priority="1">
      <formula>BD$46&gt;BD$3</formula>
    </cfRule>
  </conditionalFormatting>
  <conditionalFormatting sqref="AL22:AM45">
    <cfRule type="expression" dxfId="69" priority="71">
      <formula>AL$46&gt;AL$3</formula>
    </cfRule>
    <cfRule type="expression" dxfId="68" priority="72">
      <formula>AND(AL$5&lt;&gt;"",$A22&gt;AL$5)</formula>
    </cfRule>
  </conditionalFormatting>
  <conditionalFormatting sqref="AL21:AM21">
    <cfRule type="expression" dxfId="67" priority="69">
      <formula>AL$46&gt;AL$3</formula>
    </cfRule>
    <cfRule type="expression" dxfId="66" priority="70">
      <formula>AND(AL$5&lt;&gt;"",$A21&gt;AL$5)</formula>
    </cfRule>
  </conditionalFormatting>
  <conditionalFormatting sqref="AL16:AM16">
    <cfRule type="expression" dxfId="65" priority="59">
      <formula>AL$46&gt;AL$3</formula>
    </cfRule>
  </conditionalFormatting>
  <conditionalFormatting sqref="AL16:AM16">
    <cfRule type="expression" dxfId="64" priority="60">
      <formula>AND(AL$5&lt;&gt;"",$A16&gt;AL$5)</formula>
    </cfRule>
  </conditionalFormatting>
  <conditionalFormatting sqref="AL6:AM15">
    <cfRule type="expression" dxfId="63" priority="57">
      <formula>AL$46&gt;AL$3</formula>
    </cfRule>
  </conditionalFormatting>
  <conditionalFormatting sqref="AL6:AM15">
    <cfRule type="expression" dxfId="62" priority="58">
      <formula>AND(AL$5&lt;&gt;"",$A6&gt;AL$5)</formula>
    </cfRule>
  </conditionalFormatting>
  <conditionalFormatting sqref="AL17:AM17">
    <cfRule type="expression" dxfId="61" priority="61">
      <formula>AL$46&gt;AL$3</formula>
    </cfRule>
  </conditionalFormatting>
  <conditionalFormatting sqref="AL17:AM17">
    <cfRule type="expression" dxfId="60" priority="62">
      <formula>AND(AL$5&lt;&gt;"",$A17&gt;AL$5)</formula>
    </cfRule>
  </conditionalFormatting>
  <conditionalFormatting sqref="AL18:AM18">
    <cfRule type="expression" dxfId="59" priority="63">
      <formula>AL$46&gt;AL$3</formula>
    </cfRule>
  </conditionalFormatting>
  <conditionalFormatting sqref="AL18:AM18">
    <cfRule type="expression" dxfId="58" priority="64">
      <formula>AND(AL$5&lt;&gt;"",$A18&gt;AL$5)</formula>
    </cfRule>
  </conditionalFormatting>
  <conditionalFormatting sqref="AL20:AM20">
    <cfRule type="expression" dxfId="57" priority="67">
      <formula>AL$46&gt;AL$3</formula>
    </cfRule>
    <cfRule type="expression" dxfId="56" priority="68">
      <formula>AND(AL$5&lt;&gt;"",$A20&gt;AL$5)</formula>
    </cfRule>
  </conditionalFormatting>
  <conditionalFormatting sqref="AL19:AM19">
    <cfRule type="expression" dxfId="55" priority="65">
      <formula>AL$46&gt;AL$3</formula>
    </cfRule>
    <cfRule type="expression" dxfId="54" priority="66">
      <formula>AND(AL$5&lt;&gt;"",$A19&gt;AL$5)</formula>
    </cfRule>
  </conditionalFormatting>
  <conditionalFormatting sqref="AN22:AN45">
    <cfRule type="expression" dxfId="53" priority="55">
      <formula>AN$46&gt;AN$3</formula>
    </cfRule>
    <cfRule type="expression" dxfId="52" priority="56">
      <formula>AND(AN$5&lt;&gt;"",$A22&gt;AN$5)</formula>
    </cfRule>
  </conditionalFormatting>
  <conditionalFormatting sqref="AN21">
    <cfRule type="expression" dxfId="51" priority="53">
      <formula>AN$46&gt;AN$3</formula>
    </cfRule>
    <cfRule type="expression" dxfId="50" priority="54">
      <formula>AND(AN$5&lt;&gt;"",$A21&gt;AN$5)</formula>
    </cfRule>
  </conditionalFormatting>
  <conditionalFormatting sqref="AN16">
    <cfRule type="expression" dxfId="49" priority="43">
      <formula>AN$46&gt;AN$3</formula>
    </cfRule>
  </conditionalFormatting>
  <conditionalFormatting sqref="AN16">
    <cfRule type="expression" dxfId="48" priority="44">
      <formula>AND(AN$5&lt;&gt;"",$A16&gt;AN$5)</formula>
    </cfRule>
  </conditionalFormatting>
  <conditionalFormatting sqref="AN6:AN15">
    <cfRule type="expression" dxfId="47" priority="41">
      <formula>AN$46&gt;AN$3</formula>
    </cfRule>
  </conditionalFormatting>
  <conditionalFormatting sqref="AN6:AN15">
    <cfRule type="expression" dxfId="46" priority="42">
      <formula>AND(AN$5&lt;&gt;"",$A6&gt;AN$5)</formula>
    </cfRule>
  </conditionalFormatting>
  <conditionalFormatting sqref="AN17">
    <cfRule type="expression" dxfId="45" priority="45">
      <formula>AN$46&gt;AN$3</formula>
    </cfRule>
  </conditionalFormatting>
  <conditionalFormatting sqref="AN17">
    <cfRule type="expression" dxfId="44" priority="46">
      <formula>AND(AN$5&lt;&gt;"",$A17&gt;AN$5)</formula>
    </cfRule>
  </conditionalFormatting>
  <conditionalFormatting sqref="AN18">
    <cfRule type="expression" dxfId="43" priority="47">
      <formula>AN$46&gt;AN$3</formula>
    </cfRule>
  </conditionalFormatting>
  <conditionalFormatting sqref="AN18">
    <cfRule type="expression" dxfId="42" priority="48">
      <formula>AND(AN$5&lt;&gt;"",$A18&gt;AN$5)</formula>
    </cfRule>
  </conditionalFormatting>
  <conditionalFormatting sqref="AN20">
    <cfRule type="expression" dxfId="41" priority="51">
      <formula>AN$46&gt;AN$3</formula>
    </cfRule>
    <cfRule type="expression" dxfId="40" priority="52">
      <formula>AND(AN$5&lt;&gt;"",$A20&gt;AN$5)</formula>
    </cfRule>
  </conditionalFormatting>
  <conditionalFormatting sqref="AN19">
    <cfRule type="expression" dxfId="39" priority="49">
      <formula>AN$46&gt;AN$3</formula>
    </cfRule>
    <cfRule type="expression" dxfId="38" priority="50">
      <formula>AND(AN$5&lt;&gt;"",$A19&gt;AN$5)</formula>
    </cfRule>
  </conditionalFormatting>
  <conditionalFormatting sqref="AO22:BG45">
    <cfRule type="expression" dxfId="37" priority="39">
      <formula>AO$46&gt;AO$3</formula>
    </cfRule>
    <cfRule type="expression" dxfId="36" priority="40">
      <formula>AND(AO$5&lt;&gt;"",$A22&gt;AO$5)</formula>
    </cfRule>
  </conditionalFormatting>
  <conditionalFormatting sqref="BG20 AO21:BG21">
    <cfRule type="expression" dxfId="35" priority="37">
      <formula>AO$46&gt;AO$3</formula>
    </cfRule>
    <cfRule type="expression" dxfId="34" priority="38">
      <formula>AND(AO$5&lt;&gt;"",$A20&gt;AO$5)</formula>
    </cfRule>
  </conditionalFormatting>
  <conditionalFormatting sqref="BG19">
    <cfRule type="expression" dxfId="33" priority="35">
      <formula>BG$46&gt;BG$3</formula>
    </cfRule>
    <cfRule type="expression" dxfId="32" priority="36">
      <formula>AND(BG$5&lt;&gt;"",$A19&gt;BG$5)</formula>
    </cfRule>
  </conditionalFormatting>
  <conditionalFormatting sqref="BG16">
    <cfRule type="expression" dxfId="31" priority="31">
      <formula>BG$46&gt;BG$3</formula>
    </cfRule>
  </conditionalFormatting>
  <conditionalFormatting sqref="BG6:BG15">
    <cfRule type="expression" dxfId="30" priority="30">
      <formula>BG$46&gt;BG$3</formula>
    </cfRule>
  </conditionalFormatting>
  <conditionalFormatting sqref="BG6:BG16">
    <cfRule type="expression" dxfId="29" priority="32">
      <formula>AND(BG$5&lt;&gt;"",$A6&gt;BG$5)</formula>
    </cfRule>
  </conditionalFormatting>
  <conditionalFormatting sqref="AV16">
    <cfRule type="expression" dxfId="28" priority="18">
      <formula>AV$46&gt;AV$3</formula>
    </cfRule>
  </conditionalFormatting>
  <conditionalFormatting sqref="AV16:BC16 BF6:BF15 BC6:BC15 BE16:BF16">
    <cfRule type="expression" dxfId="27" priority="19">
      <formula>AND(AV$5&lt;&gt;"",$A6&gt;AV$5)</formula>
    </cfRule>
  </conditionalFormatting>
  <conditionalFormatting sqref="AW16:AZ16">
    <cfRule type="expression" dxfId="26" priority="15">
      <formula>AW$46&gt;AW$3</formula>
    </cfRule>
  </conditionalFormatting>
  <conditionalFormatting sqref="AO16:AU16">
    <cfRule type="expression" dxfId="25" priority="13">
      <formula>AO$46&gt;AO$3</formula>
    </cfRule>
  </conditionalFormatting>
  <conditionalFormatting sqref="AO16:AU16">
    <cfRule type="expression" dxfId="24" priority="14">
      <formula>AND(AO$5&lt;&gt;"",$A16&gt;AO$5)</formula>
    </cfRule>
  </conditionalFormatting>
  <conditionalFormatting sqref="BG17:BG18">
    <cfRule type="expression" dxfId="23" priority="33">
      <formula>BG$46&gt;BG$3</formula>
    </cfRule>
  </conditionalFormatting>
  <conditionalFormatting sqref="BG17:BG18">
    <cfRule type="expression" dxfId="22" priority="34">
      <formula>AND(BG$5&lt;&gt;"",$A17&gt;BG$5)</formula>
    </cfRule>
  </conditionalFormatting>
  <conditionalFormatting sqref="BA6:BA15">
    <cfRule type="expression" dxfId="21" priority="9">
      <formula>BA$46&gt;BA$3</formula>
    </cfRule>
  </conditionalFormatting>
  <conditionalFormatting sqref="BA16">
    <cfRule type="expression" dxfId="20" priority="16">
      <formula>BA$46&gt;BA$3</formula>
    </cfRule>
  </conditionalFormatting>
  <conditionalFormatting sqref="BB6:BB15">
    <cfRule type="expression" dxfId="19" priority="12">
      <formula>AND(BB$5&lt;&gt;"",$A6&gt;BB$5)</formula>
    </cfRule>
  </conditionalFormatting>
  <conditionalFormatting sqref="BA6:BA15">
    <cfRule type="expression" dxfId="18" priority="10">
      <formula>AND(BA$5&lt;&gt;"",$A6&gt;BA$5)</formula>
    </cfRule>
  </conditionalFormatting>
  <conditionalFormatting sqref="BB16:BC16 BE16:BF16">
    <cfRule type="expression" dxfId="17" priority="17">
      <formula>BB$46&gt;BB$3</formula>
    </cfRule>
  </conditionalFormatting>
  <conditionalFormatting sqref="BB6:BC15 BF6:BF15">
    <cfRule type="expression" dxfId="16" priority="11">
      <formula>BB$46&gt;BB$3</formula>
    </cfRule>
  </conditionalFormatting>
  <conditionalFormatting sqref="BE6:BE15">
    <cfRule type="expression" dxfId="15" priority="5">
      <formula>BE$46&gt;BE$3</formula>
    </cfRule>
  </conditionalFormatting>
  <conditionalFormatting sqref="BE6:BE15">
    <cfRule type="expression" dxfId="14" priority="6">
      <formula>AND(BE$5&lt;&gt;"",$A6&gt;BE$5)</formula>
    </cfRule>
  </conditionalFormatting>
  <conditionalFormatting sqref="BD6">
    <cfRule type="expression" dxfId="13" priority="3">
      <formula>BD$46&gt;BD$3</formula>
    </cfRule>
  </conditionalFormatting>
  <conditionalFormatting sqref="BD6">
    <cfRule type="expression" dxfId="12" priority="4">
      <formula>AND(BD$5&lt;&gt;"",$A6&gt;BD$5)</formula>
    </cfRule>
  </conditionalFormatting>
  <conditionalFormatting sqref="BA17:BA18">
    <cfRule type="expression" dxfId="11" priority="22">
      <formula>BA$46&gt;BA$3</formula>
    </cfRule>
  </conditionalFormatting>
  <conditionalFormatting sqref="AO17:AU17">
    <cfRule type="expression" dxfId="10" priority="20">
      <formula>AO$46&gt;AO$3</formula>
    </cfRule>
  </conditionalFormatting>
  <conditionalFormatting sqref="AO17:AU17">
    <cfRule type="expression" dxfId="9" priority="21">
      <formula>AND(AO$5&lt;&gt;"",$A17&gt;AO$5)</formula>
    </cfRule>
  </conditionalFormatting>
  <conditionalFormatting sqref="BB17:BC18 BE17:BF18">
    <cfRule type="expression" dxfId="8" priority="23">
      <formula>BB$46&gt;BB$3</formula>
    </cfRule>
  </conditionalFormatting>
  <conditionalFormatting sqref="AV17:AZ17 AO18:AZ18">
    <cfRule type="expression" dxfId="7" priority="24">
      <formula>AO$46&gt;AO$3</formula>
    </cfRule>
  </conditionalFormatting>
  <conditionalFormatting sqref="AV17:BB17 AO18:BB18 BC17:BC18 BE17:BF18">
    <cfRule type="expression" dxfId="6" priority="25">
      <formula>AND(AO$5&lt;&gt;"",$A17&gt;AO$5)</formula>
    </cfRule>
  </conditionalFormatting>
  <conditionalFormatting sqref="BD7:BD18">
    <cfRule type="expression" dxfId="5" priority="2">
      <formula>AND(BD$5&lt;&gt;"",$A7&gt;BD$5)</formula>
    </cfRule>
  </conditionalFormatting>
  <conditionalFormatting sqref="AO20:BF20">
    <cfRule type="expression" dxfId="4" priority="28">
      <formula>AO$46&gt;AO$3</formula>
    </cfRule>
    <cfRule type="expression" dxfId="3" priority="29">
      <formula>AND(AO$5&lt;&gt;"",$A20&gt;AO$5)</formula>
    </cfRule>
  </conditionalFormatting>
  <conditionalFormatting sqref="AO19:BF19">
    <cfRule type="expression" dxfId="2" priority="26">
      <formula>AO$46&gt;AO$3</formula>
    </cfRule>
    <cfRule type="expression" dxfId="1" priority="27">
      <formula>AND(AO$5&lt;&gt;"",$A19&gt;AO$5)</formula>
    </cfRule>
  </conditionalFormatting>
  <dataValidations count="9">
    <dataValidation type="list" allowBlank="1" showInputMessage="1" showErrorMessage="1" sqref="BI2">
      <formula1>"1,2,3,4,5,6,7,8,9,10"</formula1>
    </dataValidation>
    <dataValidation type="list" allowBlank="1" showInputMessage="1" showErrorMessage="1" sqref="BJ2">
      <formula1>"1,2,3,4,5"</formula1>
    </dataValidation>
    <dataValidation type="list" allowBlank="1" showInputMessage="1" showErrorMessage="1" sqref="BK2">
      <formula1>"Français,English"</formula1>
    </dataValidation>
    <dataValidation type="whole" allowBlank="1" showInputMessage="1" showErrorMessage="1" sqref="AF22:AF45 AF6:BG21 AE16:AE18 AC18:AC21 AD6:AD21 BE22:BE45">
      <formula1>0</formula1>
      <formula2>1</formula2>
    </dataValidation>
    <dataValidation type="whole" allowBlank="1" showInputMessage="1" showErrorMessage="1" sqref="AG22:BD45 B22:AE45 BF22:BG45">
      <formula1>1</formula1>
      <formula2>B$3</formula2>
    </dataValidation>
    <dataValidation type="whole" allowBlank="1" showInputMessage="1" showErrorMessage="1" sqref="O6:AC17 N18:AB21 B18:L21 B6:M17">
      <formula1>1</formula1>
      <formula2>10</formula2>
    </dataValidation>
    <dataValidation type="whole" allowBlank="1" showInputMessage="1" showErrorMessage="1" sqref="N6:N17 M18:M21">
      <formula1>1</formula1>
      <formula2>250</formula2>
    </dataValidation>
    <dataValidation type="whole" allowBlank="1" showInputMessage="1" showErrorMessage="1" sqref="BL2">
      <formula1>0</formula1>
      <formula2>10000</formula2>
    </dataValidation>
    <dataValidation type="whole" operator="equal" allowBlank="1" showInputMessage="1" showErrorMessage="1" sqref="AE6:AE15">
      <formula1>1</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BO58"/>
  <sheetViews>
    <sheetView showGridLines="0" workbookViewId="0">
      <selection activeCell="BN42" sqref="BN42"/>
    </sheetView>
  </sheetViews>
  <sheetFormatPr baseColWidth="10" defaultColWidth="11.42578125" defaultRowHeight="11.25" x14ac:dyDescent="0.2"/>
  <cols>
    <col min="1" max="1" width="4.7109375" style="164" customWidth="1"/>
    <col min="2" max="2" width="8.7109375" style="164" customWidth="1"/>
    <col min="3" max="3" width="4.7109375" style="164" customWidth="1"/>
    <col min="4" max="4" width="8.7109375" style="164" customWidth="1"/>
    <col min="5" max="5" width="4.7109375" style="164" customWidth="1"/>
    <col min="6" max="6" width="8.7109375" style="164" customWidth="1"/>
    <col min="7" max="7" width="4.7109375" style="164" customWidth="1"/>
    <col min="8" max="8" width="8.7109375" style="164" customWidth="1"/>
    <col min="9" max="9" width="4.7109375" style="164" customWidth="1"/>
    <col min="10" max="10" width="8.7109375" style="164" customWidth="1"/>
    <col min="11" max="11" width="4.7109375" style="164" customWidth="1"/>
    <col min="12" max="12" width="8.7109375" style="164" customWidth="1"/>
    <col min="13" max="13" width="4.7109375" style="164" customWidth="1"/>
    <col min="14" max="14" width="8.7109375" style="164" customWidth="1"/>
    <col min="15" max="15" width="4.7109375" style="164" customWidth="1"/>
    <col min="16" max="16" width="8.7109375" style="164" customWidth="1"/>
    <col min="17" max="17" width="4.7109375" style="164" customWidth="1"/>
    <col min="18" max="18" width="8.7109375" style="164" customWidth="1"/>
    <col min="19" max="19" width="4.7109375" style="164" customWidth="1"/>
    <col min="20" max="20" width="8.7109375" style="164" customWidth="1"/>
    <col min="21" max="21" width="4.7109375" style="164" customWidth="1"/>
    <col min="22" max="22" width="8.7109375" style="164" customWidth="1"/>
    <col min="23" max="23" width="4.7109375" style="164" customWidth="1"/>
    <col min="24" max="24" width="8.7109375" style="164" customWidth="1"/>
    <col min="25" max="25" width="4.7109375" style="164" customWidth="1"/>
    <col min="26" max="26" width="8.7109375" style="164" customWidth="1"/>
    <col min="27" max="27" width="4.7109375" style="164" customWidth="1"/>
    <col min="28" max="28" width="8.7109375" style="164" customWidth="1"/>
    <col min="29" max="29" width="4.7109375" style="164" customWidth="1"/>
    <col min="30" max="30" width="8.7109375" style="164" customWidth="1"/>
    <col min="31" max="31" width="4.7109375" style="164" customWidth="1"/>
    <col min="32" max="32" width="8.7109375" style="164" customWidth="1"/>
    <col min="33" max="33" width="4.7109375" style="164" customWidth="1"/>
    <col min="34" max="34" width="8.7109375" style="164" customWidth="1"/>
    <col min="35" max="35" width="4.7109375" style="164" customWidth="1"/>
    <col min="36" max="36" width="8.7109375" style="164" customWidth="1"/>
    <col min="37" max="37" width="4.7109375" style="164" customWidth="1"/>
    <col min="38" max="38" width="8.7109375" style="164" customWidth="1"/>
    <col min="39" max="39" width="4.7109375" style="164" customWidth="1"/>
    <col min="40" max="40" width="8.7109375" style="164" customWidth="1"/>
    <col min="41" max="41" width="4.7109375" style="164" customWidth="1"/>
    <col min="42" max="42" width="8.7109375" style="164" customWidth="1"/>
    <col min="43" max="43" width="4.7109375" style="164" customWidth="1"/>
    <col min="44" max="67" width="6.7109375" style="164" customWidth="1"/>
    <col min="68" max="16384" width="11.42578125" style="164"/>
  </cols>
  <sheetData>
    <row r="1" spans="1:37" ht="30" customHeight="1" thickBot="1" x14ac:dyDescent="0.25">
      <c r="A1" s="1262" t="s">
        <v>403</v>
      </c>
      <c r="B1" s="1263"/>
      <c r="C1" s="1263"/>
      <c r="D1" s="1263"/>
      <c r="E1" s="1263"/>
      <c r="F1" s="1263"/>
      <c r="G1" s="1263"/>
      <c r="H1" s="1263"/>
      <c r="I1" s="1263"/>
      <c r="J1" s="1263"/>
      <c r="K1" s="1264"/>
      <c r="M1" s="1262" t="s">
        <v>370</v>
      </c>
      <c r="N1" s="1263"/>
      <c r="O1" s="1263"/>
      <c r="P1" s="1263"/>
      <c r="Q1" s="1263"/>
      <c r="R1" s="1263"/>
      <c r="S1" s="1263"/>
      <c r="T1" s="1263"/>
      <c r="U1" s="1263"/>
      <c r="V1" s="1263"/>
      <c r="W1" s="1264"/>
      <c r="Y1" s="1262" t="s">
        <v>209</v>
      </c>
      <c r="Z1" s="1263"/>
      <c r="AA1" s="1263"/>
      <c r="AB1" s="1263"/>
      <c r="AC1" s="1263"/>
      <c r="AD1" s="1264"/>
      <c r="AF1" s="1262" t="s">
        <v>208</v>
      </c>
      <c r="AG1" s="1295"/>
      <c r="AH1" s="1295"/>
      <c r="AI1" s="1295"/>
      <c r="AJ1" s="1295"/>
      <c r="AK1" s="1296"/>
    </row>
    <row r="2" spans="1:37" ht="45.75" thickBot="1" x14ac:dyDescent="0.25">
      <c r="A2" s="165" t="s">
        <v>17</v>
      </c>
      <c r="B2" s="17" t="s">
        <v>190</v>
      </c>
      <c r="C2" s="17" t="s">
        <v>15</v>
      </c>
      <c r="D2" s="17" t="s">
        <v>191</v>
      </c>
      <c r="E2" s="17" t="s">
        <v>21</v>
      </c>
      <c r="F2" s="17" t="s">
        <v>192</v>
      </c>
      <c r="G2" s="17" t="s">
        <v>22</v>
      </c>
      <c r="H2" s="17" t="s">
        <v>193</v>
      </c>
      <c r="I2" s="17" t="s">
        <v>23</v>
      </c>
      <c r="J2" s="17" t="s">
        <v>194</v>
      </c>
      <c r="K2" s="58" t="s">
        <v>24</v>
      </c>
      <c r="M2" s="165" t="s">
        <v>17</v>
      </c>
      <c r="N2" s="17" t="s">
        <v>190</v>
      </c>
      <c r="O2" s="17" t="s">
        <v>15</v>
      </c>
      <c r="P2" s="17" t="s">
        <v>191</v>
      </c>
      <c r="Q2" s="17" t="s">
        <v>21</v>
      </c>
      <c r="R2" s="17" t="s">
        <v>192</v>
      </c>
      <c r="S2" s="17" t="s">
        <v>22</v>
      </c>
      <c r="T2" s="17" t="s">
        <v>193</v>
      </c>
      <c r="U2" s="17" t="s">
        <v>23</v>
      </c>
      <c r="V2" s="17" t="s">
        <v>194</v>
      </c>
      <c r="W2" s="58" t="s">
        <v>24</v>
      </c>
      <c r="Y2" s="12" t="s">
        <v>643</v>
      </c>
      <c r="Z2" s="667" t="s">
        <v>190</v>
      </c>
      <c r="AA2" s="668" t="s">
        <v>191</v>
      </c>
      <c r="AB2" s="668" t="s">
        <v>192</v>
      </c>
      <c r="AC2" s="668" t="s">
        <v>193</v>
      </c>
      <c r="AD2" s="669" t="s">
        <v>194</v>
      </c>
      <c r="AF2" s="12" t="s">
        <v>644</v>
      </c>
      <c r="AG2" s="667" t="s">
        <v>190</v>
      </c>
      <c r="AH2" s="668" t="s">
        <v>191</v>
      </c>
      <c r="AI2" s="668" t="s">
        <v>192</v>
      </c>
      <c r="AJ2" s="668" t="s">
        <v>193</v>
      </c>
      <c r="AK2" s="669" t="s">
        <v>194</v>
      </c>
    </row>
    <row r="3" spans="1:37" x14ac:dyDescent="0.2">
      <c r="A3" s="52">
        <v>0</v>
      </c>
      <c r="B3" s="167">
        <f>IF(Paramètres!$L$46=0,0,VLOOKUP(Paramètres!$L$47,SPELLFACTORY_Spells[#All],2))</f>
        <v>0</v>
      </c>
      <c r="C3" s="9">
        <f>IF($B3=0,0,IF(SUM(Paramètres!$K$6:$K$45)&lt;&gt;Paramètres!$K$3,0,VLOOKUP(MATCH(1,Paramètres!$K$6:$K$45,0),LABO_Spells[#All],2)))</f>
        <v>0</v>
      </c>
      <c r="D3" s="172">
        <f>IF(Paramètres!$L$46=0,0,VLOOKUP(Paramètres!$L$47,SPELLFACTORY_Spells[#All],3))</f>
        <v>0</v>
      </c>
      <c r="E3" s="36">
        <f>IF($D3=0,0,IF(SUM(Paramètres!$K$6:$K$45)&lt;&gt;Paramètres!$K$3,0,VLOOKUP(MATCH(1,Paramètres!$K$6:$K$45,0),LABO_Spells[#All],3)))</f>
        <v>0</v>
      </c>
      <c r="F3" s="167">
        <f>IF(Paramètres!$L$46=0,0,VLOOKUP(Paramètres!$L$47,SPELLFACTORY_Spells[#All],4))</f>
        <v>0</v>
      </c>
      <c r="G3" s="9">
        <f>IF($F3=0,0,IF(SUM(Paramètres!$K$6:$K$45)&lt;&gt;Paramètres!$K$3,0,VLOOKUP(MATCH(1,Paramètres!$K$6:$K$45,0),LABO_Spells[#All],4)))</f>
        <v>0</v>
      </c>
      <c r="H3" s="172">
        <f>IF(Paramètres!$L$46=0,0,VLOOKUP(Paramètres!$L$47,SPELLFACTORY_Spells[#All],5))</f>
        <v>0</v>
      </c>
      <c r="I3" s="36">
        <f>IF($H3=0,0,IF(SUM(Paramètres!$K$6:$K$45)&lt;&gt;Paramètres!$K$3,0,VLOOKUP(MATCH(1,Paramètres!$K$6:$K$45,0),LABO_Spells[#All],5)))</f>
        <v>0</v>
      </c>
      <c r="J3" s="167">
        <f>IF(Paramètres!$L$46=0,0,VLOOKUP(Paramètres!$L$47,SPELLFACTORY_Spells[#All],6))</f>
        <v>0</v>
      </c>
      <c r="K3" s="9">
        <f>IF($J3=0,0,IF(SUM(Paramètres!$K$6:$K$45)&lt;&gt;Paramètres!$K$3,0,VLOOKUP(MATCH(1,Paramètres!$K$6:$K$45,0),LABO_Spells[#All],6)))</f>
        <v>0</v>
      </c>
      <c r="M3" s="52">
        <v>0</v>
      </c>
      <c r="N3" s="169">
        <f t="shared" ref="N3:W3" si="0">B3</f>
        <v>0</v>
      </c>
      <c r="O3" s="170">
        <f t="shared" si="0"/>
        <v>0</v>
      </c>
      <c r="P3" s="174">
        <f>D3</f>
        <v>0</v>
      </c>
      <c r="Q3" s="175">
        <f t="shared" si="0"/>
        <v>0</v>
      </c>
      <c r="R3" s="171">
        <f t="shared" si="0"/>
        <v>0</v>
      </c>
      <c r="S3" s="170">
        <f t="shared" si="0"/>
        <v>0</v>
      </c>
      <c r="T3" s="174">
        <f t="shared" si="0"/>
        <v>0</v>
      </c>
      <c r="U3" s="175">
        <f t="shared" si="0"/>
        <v>0</v>
      </c>
      <c r="V3" s="171">
        <f t="shared" si="0"/>
        <v>0</v>
      </c>
      <c r="W3" s="170">
        <f t="shared" si="0"/>
        <v>0</v>
      </c>
      <c r="Y3" s="13">
        <v>0</v>
      </c>
      <c r="Z3" s="790">
        <v>0</v>
      </c>
      <c r="AA3" s="35">
        <v>0</v>
      </c>
      <c r="AB3" s="6">
        <v>0</v>
      </c>
      <c r="AC3" s="35">
        <v>0</v>
      </c>
      <c r="AD3" s="47">
        <v>0</v>
      </c>
      <c r="AF3" s="13">
        <v>0</v>
      </c>
      <c r="AG3" s="790">
        <v>0</v>
      </c>
      <c r="AH3" s="35">
        <v>0</v>
      </c>
      <c r="AI3" s="6">
        <v>0</v>
      </c>
      <c r="AJ3" s="35">
        <v>0</v>
      </c>
      <c r="AK3" s="47">
        <v>0</v>
      </c>
    </row>
    <row r="4" spans="1:37" x14ac:dyDescent="0.2">
      <c r="A4" s="166">
        <v>1</v>
      </c>
      <c r="B4" s="167">
        <f>IF(Paramètres!$L$46=0,0,VLOOKUP(Paramètres!$L$47,SPELLFACTORY_Spells[#All],2))</f>
        <v>0</v>
      </c>
      <c r="C4" s="168">
        <f>IF($B4=0,0,IF(SUM(Paramètres!$K$6:$K$45)&lt;&gt;Paramètres!$K$3,0,VLOOKUP(MATCH(1,Paramètres!$K$6:$K$45,0),LABO_Spells[#All],2)))</f>
        <v>0</v>
      </c>
      <c r="D4" s="10">
        <f>IF(Paramètres!$L$46=0,0,VLOOKUP(Paramètres!$L$47,SPELLFACTORY_Spells[#All],3))</f>
        <v>0</v>
      </c>
      <c r="E4" s="173">
        <f>IF($D4=0,0,IF(SUM(Paramètres!$K$6:$K$45)&lt;&gt;Paramètres!$K$3,0,VLOOKUP(MATCH(1,Paramètres!$K$6:$K$45,0),LABO_Spells[#All],3)))</f>
        <v>0</v>
      </c>
      <c r="F4" s="11">
        <f>IF(Paramètres!$L$46=0,0,VLOOKUP(Paramètres!$L$47,SPELLFACTORY_Spells[#All],4))</f>
        <v>0</v>
      </c>
      <c r="G4" s="168">
        <f>IF($F4=0,0,IF(SUM(Paramètres!$K$6:$K$45)&lt;&gt;Paramètres!$K$3,0,VLOOKUP(MATCH(1,Paramètres!$K$6:$K$45,0),LABO_Spells[#All],4)))</f>
        <v>0</v>
      </c>
      <c r="H4" s="10">
        <f>IF(Paramètres!$L$46=0,0,VLOOKUP(Paramètres!$L$47,SPELLFACTORY_Spells[#All],5))</f>
        <v>0</v>
      </c>
      <c r="I4" s="173">
        <f>IF($H4=0,0,IF(SUM(Paramètres!$K$6:$K$45)&lt;&gt;Paramètres!$K$3,0,VLOOKUP(MATCH(1,Paramètres!$K$6:$K$45,0),LABO_Spells[#All],5)))</f>
        <v>0</v>
      </c>
      <c r="J4" s="167">
        <f>IF(Paramètres!$L$46=0,0,VLOOKUP(Paramètres!$L$47,SPELLFACTORY_Spells[#All],6))</f>
        <v>0</v>
      </c>
      <c r="K4" s="168">
        <f>IF($J4=0,0,IF(SUM(Paramètres!$K$6:$K$45)&lt;&gt;Paramètres!$K$3,0,VLOOKUP(MATCH(1,Paramètres!$K$6:$K$45,0),LABO_Spells[#All],6)))</f>
        <v>0</v>
      </c>
      <c r="M4" s="166">
        <v>1</v>
      </c>
      <c r="N4" s="70">
        <f t="shared" ref="N4:W4" si="1">B4-B3</f>
        <v>0</v>
      </c>
      <c r="O4" s="67">
        <f t="shared" si="1"/>
        <v>0</v>
      </c>
      <c r="P4" s="68">
        <f t="shared" si="1"/>
        <v>0</v>
      </c>
      <c r="Q4" s="69">
        <f t="shared" si="1"/>
        <v>0</v>
      </c>
      <c r="R4" s="66">
        <f t="shared" si="1"/>
        <v>0</v>
      </c>
      <c r="S4" s="67">
        <f t="shared" si="1"/>
        <v>0</v>
      </c>
      <c r="T4" s="68">
        <f t="shared" si="1"/>
        <v>0</v>
      </c>
      <c r="U4" s="69">
        <f t="shared" si="1"/>
        <v>0</v>
      </c>
      <c r="V4" s="66">
        <f t="shared" si="1"/>
        <v>0</v>
      </c>
      <c r="W4" s="67">
        <f t="shared" si="1"/>
        <v>0</v>
      </c>
      <c r="Y4" s="13">
        <v>1</v>
      </c>
      <c r="Z4" s="791">
        <v>1</v>
      </c>
      <c r="AA4" s="37">
        <v>0</v>
      </c>
      <c r="AB4" s="5">
        <v>0</v>
      </c>
      <c r="AC4" s="37">
        <v>0</v>
      </c>
      <c r="AD4" s="46">
        <v>0</v>
      </c>
      <c r="AF4" s="13">
        <v>1</v>
      </c>
      <c r="AG4" s="791">
        <v>2</v>
      </c>
      <c r="AH4" s="37">
        <v>1</v>
      </c>
      <c r="AI4" s="5">
        <v>1</v>
      </c>
      <c r="AJ4" s="37">
        <v>1</v>
      </c>
      <c r="AK4" s="46">
        <v>1</v>
      </c>
    </row>
    <row r="5" spans="1:37" x14ac:dyDescent="0.2">
      <c r="A5" s="7">
        <v>2</v>
      </c>
      <c r="B5" s="167">
        <f>IF(Paramètres!$L$46=0,0,VLOOKUP(Paramètres!$L$47,SPELLFACTORY_Spells[#All],2))</f>
        <v>0</v>
      </c>
      <c r="C5" s="168">
        <f>IF($B5=0,0,IF(SUM(Paramètres!$K$6:$K$45)&lt;&gt;Paramètres!$K$3,0,VLOOKUP(MATCH(1,Paramètres!$K$6:$K$45,0),LABO_Spells[#All],2)))</f>
        <v>0</v>
      </c>
      <c r="D5" s="4">
        <f>IF(Paramètres!$L$46=0,0,VLOOKUP(Paramètres!$L$47,SPELLFACTORY_Spells[#All],3))</f>
        <v>0</v>
      </c>
      <c r="E5" s="173">
        <f>IF($D5=0,0,IF(SUM(Paramètres!$K$6:$K$45)&lt;&gt;Paramètres!$K$3,0,VLOOKUP(MATCH(1,Paramètres!$K$6:$K$45,0),LABO_Spells[#All],3)))</f>
        <v>0</v>
      </c>
      <c r="F5" s="2">
        <f>IF(Paramètres!$L$46=0,0,VLOOKUP(Paramètres!$L$47,SPELLFACTORY_Spells[#All],4))</f>
        <v>0</v>
      </c>
      <c r="G5" s="168">
        <f>IF($F5=0,0,IF(SUM(Paramètres!$K$6:$K$45)&lt;&gt;Paramètres!$K$3,0,VLOOKUP(MATCH(1,Paramètres!$K$6:$K$45,0),LABO_Spells[#All],4)))</f>
        <v>0</v>
      </c>
      <c r="H5" s="4">
        <f>IF(Paramètres!$L$46=0,0,VLOOKUP(Paramètres!$L$47,SPELLFACTORY_Spells[#All],5))</f>
        <v>0</v>
      </c>
      <c r="I5" s="173">
        <f>IF($H5=0,0,IF(SUM(Paramètres!$K$6:$K$45)&lt;&gt;Paramètres!$K$3,0,VLOOKUP(MATCH(1,Paramètres!$K$6:$K$45,0),LABO_Spells[#All],5)))</f>
        <v>0</v>
      </c>
      <c r="J5" s="167">
        <f>IF(Paramètres!$L$46=0,0,VLOOKUP(Paramètres!$L$47,SPELLFACTORY_Spells[#All],6))</f>
        <v>0</v>
      </c>
      <c r="K5" s="168">
        <f>IF($J5=0,0,IF(SUM(Paramètres!$K$6:$K$45)&lt;&gt;Paramètres!$K$3,0,VLOOKUP(MATCH(1,Paramètres!$K$6:$K$45,0),LABO_Spells[#All],6)))</f>
        <v>0</v>
      </c>
      <c r="M5" s="7">
        <v>2</v>
      </c>
      <c r="N5" s="70">
        <f t="shared" ref="N5:N13" si="2">B5-B4</f>
        <v>0</v>
      </c>
      <c r="O5" s="67">
        <f t="shared" ref="O5:O13" si="3">C5-C4</f>
        <v>0</v>
      </c>
      <c r="P5" s="68">
        <f t="shared" ref="P5:P13" si="4">D5-D4</f>
        <v>0</v>
      </c>
      <c r="Q5" s="69">
        <f t="shared" ref="Q5:Q13" si="5">E5-E4</f>
        <v>0</v>
      </c>
      <c r="R5" s="66">
        <f t="shared" ref="R5:R13" si="6">F5-F4</f>
        <v>0</v>
      </c>
      <c r="S5" s="67">
        <f t="shared" ref="S5:S13" si="7">G5-G4</f>
        <v>0</v>
      </c>
      <c r="T5" s="68">
        <f t="shared" ref="T5:T13" si="8">H5-H4</f>
        <v>0</v>
      </c>
      <c r="U5" s="69">
        <f t="shared" ref="U5:U13" si="9">I5-I4</f>
        <v>0</v>
      </c>
      <c r="V5" s="66">
        <f t="shared" ref="V5:V13" si="10">J5-J4</f>
        <v>0</v>
      </c>
      <c r="W5" s="67">
        <f t="shared" ref="W5:W13" si="11">K5-K4</f>
        <v>0</v>
      </c>
      <c r="Y5" s="13">
        <v>2</v>
      </c>
      <c r="Z5" s="790">
        <v>1</v>
      </c>
      <c r="AA5" s="35">
        <v>1</v>
      </c>
      <c r="AB5" s="6">
        <v>0</v>
      </c>
      <c r="AC5" s="35">
        <v>0</v>
      </c>
      <c r="AD5" s="47">
        <v>0</v>
      </c>
      <c r="AF5" s="13">
        <v>2</v>
      </c>
      <c r="AG5" s="790">
        <v>3</v>
      </c>
      <c r="AH5" s="35">
        <v>2</v>
      </c>
      <c r="AI5" s="6">
        <v>1</v>
      </c>
      <c r="AJ5" s="35">
        <v>1</v>
      </c>
      <c r="AK5" s="47">
        <v>1</v>
      </c>
    </row>
    <row r="6" spans="1:37" x14ac:dyDescent="0.2">
      <c r="A6" s="7">
        <v>3</v>
      </c>
      <c r="B6" s="167">
        <f>IF(Paramètres!$L$46=0,0,VLOOKUP(Paramètres!$L$47,SPELLFACTORY_Spells[#All],2))</f>
        <v>0</v>
      </c>
      <c r="C6" s="168">
        <f>IF($B6=0,0,IF(SUM(Paramètres!$K$6:$K$45)&lt;&gt;Paramètres!$K$3,0,VLOOKUP(MATCH(1,Paramètres!$K$6:$K$45,0),LABO_Spells[#All],2)))</f>
        <v>0</v>
      </c>
      <c r="D6" s="3">
        <f>IF(Paramètres!$L$46=0,0,VLOOKUP(Paramètres!$L$47,SPELLFACTORY_Spells[#All],3))</f>
        <v>0</v>
      </c>
      <c r="E6" s="173">
        <f>IF($D6=0,0,IF(SUM(Paramètres!$K$6:$K$45)&lt;&gt;Paramètres!$K$3,0,VLOOKUP(MATCH(1,Paramètres!$K$6:$K$45,0),LABO_Spells[#All],3)))</f>
        <v>0</v>
      </c>
      <c r="F6" s="1">
        <f>IF(Paramètres!$L$46=0,0,VLOOKUP(Paramètres!$L$47,SPELLFACTORY_Spells[#All],4))</f>
        <v>0</v>
      </c>
      <c r="G6" s="168">
        <f>IF($F6=0,0,IF(SUM(Paramètres!$K$6:$K$45)&lt;&gt;Paramètres!$K$3,0,VLOOKUP(MATCH(1,Paramètres!$K$6:$K$45,0),LABO_Spells[#All],4)))</f>
        <v>0</v>
      </c>
      <c r="H6" s="3">
        <f>IF(Paramètres!$L$46=0,0,VLOOKUP(Paramètres!$L$47,SPELLFACTORY_Spells[#All],5))</f>
        <v>0</v>
      </c>
      <c r="I6" s="173">
        <f>IF($H6=0,0,IF(SUM(Paramètres!$K$6:$K$45)&lt;&gt;Paramètres!$K$3,0,VLOOKUP(MATCH(1,Paramètres!$K$6:$K$45,0),LABO_Spells[#All],5)))</f>
        <v>0</v>
      </c>
      <c r="J6" s="167">
        <f>IF(Paramètres!$L$46=0,0,VLOOKUP(Paramètres!$L$47,SPELLFACTORY_Spells[#All],6))</f>
        <v>0</v>
      </c>
      <c r="K6" s="168">
        <f>IF($J6=0,0,IF(SUM(Paramètres!$K$6:$K$45)&lt;&gt;Paramètres!$K$3,0,VLOOKUP(MATCH(1,Paramètres!$K$6:$K$45,0),LABO_Spells[#All],6)))</f>
        <v>0</v>
      </c>
      <c r="M6" s="7">
        <v>3</v>
      </c>
      <c r="N6" s="70">
        <f t="shared" si="2"/>
        <v>0</v>
      </c>
      <c r="O6" s="67">
        <f t="shared" si="3"/>
        <v>0</v>
      </c>
      <c r="P6" s="68">
        <f t="shared" si="4"/>
        <v>0</v>
      </c>
      <c r="Q6" s="69">
        <f t="shared" si="5"/>
        <v>0</v>
      </c>
      <c r="R6" s="66">
        <f t="shared" si="6"/>
        <v>0</v>
      </c>
      <c r="S6" s="67">
        <f t="shared" si="7"/>
        <v>0</v>
      </c>
      <c r="T6" s="68">
        <f t="shared" si="8"/>
        <v>0</v>
      </c>
      <c r="U6" s="69">
        <f t="shared" si="9"/>
        <v>0</v>
      </c>
      <c r="V6" s="66">
        <f t="shared" si="10"/>
        <v>0</v>
      </c>
      <c r="W6" s="67">
        <f t="shared" si="11"/>
        <v>0</v>
      </c>
      <c r="Y6" s="13">
        <v>3</v>
      </c>
      <c r="Z6" s="791">
        <v>1</v>
      </c>
      <c r="AA6" s="37">
        <v>1</v>
      </c>
      <c r="AB6" s="5">
        <v>1</v>
      </c>
      <c r="AC6" s="37">
        <v>0</v>
      </c>
      <c r="AD6" s="46">
        <v>0</v>
      </c>
      <c r="AF6" s="13">
        <v>3</v>
      </c>
      <c r="AG6" s="791">
        <v>4</v>
      </c>
      <c r="AH6" s="37">
        <v>3</v>
      </c>
      <c r="AI6" s="5">
        <v>2</v>
      </c>
      <c r="AJ6" s="37">
        <v>1</v>
      </c>
      <c r="AK6" s="46">
        <v>1</v>
      </c>
    </row>
    <row r="7" spans="1:37" x14ac:dyDescent="0.2">
      <c r="A7" s="7">
        <v>4</v>
      </c>
      <c r="B7" s="167">
        <f>IF(Paramètres!$L$46=0,0,VLOOKUP(Paramètres!$L$47,SPELLFACTORY_Spells[#All],2))</f>
        <v>0</v>
      </c>
      <c r="C7" s="168">
        <f>IF($B7=0,0,IF(SUM(Paramètres!$K$6:$K$45)&lt;&gt;Paramètres!$K$3,0,VLOOKUP(MATCH(1,Paramètres!$K$6:$K$45,0),LABO_Spells[#All],2)))</f>
        <v>0</v>
      </c>
      <c r="D7" s="3">
        <f>IF(Paramètres!$L$46=0,0,VLOOKUP(Paramètres!$L$47,SPELLFACTORY_Spells[#All],3))</f>
        <v>0</v>
      </c>
      <c r="E7" s="173">
        <f>IF($D7=0,0,IF(SUM(Paramètres!$K$6:$K$45)&lt;&gt;Paramètres!$K$3,0,VLOOKUP(MATCH(1,Paramètres!$K$6:$K$45,0),LABO_Spells[#All],3)))</f>
        <v>0</v>
      </c>
      <c r="F7" s="2">
        <f>IF(Paramètres!$L$46=0,0,VLOOKUP(Paramètres!$L$47,SPELLFACTORY_Spells[#All],4))</f>
        <v>0</v>
      </c>
      <c r="G7" s="168">
        <f>IF($F7=0,0,IF(SUM(Paramètres!$K$6:$K$45)&lt;&gt;Paramètres!$K$3,0,VLOOKUP(MATCH(1,Paramètres!$K$6:$K$45,0),LABO_Spells[#All],4)))</f>
        <v>0</v>
      </c>
      <c r="H7" s="4">
        <f>IF(Paramètres!$L$46=0,0,VLOOKUP(Paramètres!$L$47,SPELLFACTORY_Spells[#All],5))</f>
        <v>0</v>
      </c>
      <c r="I7" s="173">
        <f>IF($H7=0,0,IF(SUM(Paramètres!$K$6:$K$45)&lt;&gt;Paramètres!$K$3,0,VLOOKUP(MATCH(1,Paramètres!$K$6:$K$45,0),LABO_Spells[#All],5)))</f>
        <v>0</v>
      </c>
      <c r="J7" s="167">
        <f>IF(Paramètres!$L$46=0,0,VLOOKUP(Paramètres!$L$47,SPELLFACTORY_Spells[#All],6))</f>
        <v>0</v>
      </c>
      <c r="K7" s="168">
        <f>IF($J7=0,0,IF(SUM(Paramètres!$K$6:$K$45)&lt;&gt;Paramètres!$K$3,0,VLOOKUP(MATCH(1,Paramètres!$K$6:$K$45,0),LABO_Spells[#All],6)))</f>
        <v>0</v>
      </c>
      <c r="M7" s="7">
        <v>4</v>
      </c>
      <c r="N7" s="70">
        <f t="shared" si="2"/>
        <v>0</v>
      </c>
      <c r="O7" s="67">
        <f t="shared" si="3"/>
        <v>0</v>
      </c>
      <c r="P7" s="68">
        <f t="shared" si="4"/>
        <v>0</v>
      </c>
      <c r="Q7" s="69">
        <f t="shared" si="5"/>
        <v>0</v>
      </c>
      <c r="R7" s="66">
        <f t="shared" si="6"/>
        <v>0</v>
      </c>
      <c r="S7" s="67">
        <f t="shared" si="7"/>
        <v>0</v>
      </c>
      <c r="T7" s="68">
        <f t="shared" si="8"/>
        <v>0</v>
      </c>
      <c r="U7" s="69">
        <f t="shared" si="9"/>
        <v>0</v>
      </c>
      <c r="V7" s="66">
        <f t="shared" si="10"/>
        <v>0</v>
      </c>
      <c r="W7" s="67">
        <f t="shared" si="11"/>
        <v>0</v>
      </c>
      <c r="Y7" s="13">
        <v>4</v>
      </c>
      <c r="Z7" s="790">
        <v>1</v>
      </c>
      <c r="AA7" s="35">
        <v>1</v>
      </c>
      <c r="AB7" s="6">
        <v>1</v>
      </c>
      <c r="AC7" s="35">
        <v>1</v>
      </c>
      <c r="AD7" s="47">
        <v>0</v>
      </c>
      <c r="AF7" s="13">
        <v>4</v>
      </c>
      <c r="AG7" s="790">
        <v>4</v>
      </c>
      <c r="AH7" s="35">
        <v>3</v>
      </c>
      <c r="AI7" s="6">
        <v>3</v>
      </c>
      <c r="AJ7" s="35">
        <v>1</v>
      </c>
      <c r="AK7" s="47">
        <v>1</v>
      </c>
    </row>
    <row r="8" spans="1:37" x14ac:dyDescent="0.2">
      <c r="A8" s="7">
        <v>5</v>
      </c>
      <c r="B8" s="167">
        <f>IF(Paramètres!$L$46=0,0,VLOOKUP(Paramètres!$L$47,SPELLFACTORY_Spells[#All],2))</f>
        <v>0</v>
      </c>
      <c r="C8" s="168">
        <f>IF($B8=0,0,IF(SUM(Paramètres!$K$6:$K$45)&lt;&gt;Paramètres!$K$3,0,VLOOKUP(MATCH(1,Paramètres!$K$6:$K$45,0),LABO_Spells[#All],2)))</f>
        <v>0</v>
      </c>
      <c r="D8" s="3">
        <f>IF(Paramètres!$L$46=0,0,VLOOKUP(Paramètres!$L$47,SPELLFACTORY_Spells[#All],3))</f>
        <v>0</v>
      </c>
      <c r="E8" s="173">
        <f>IF($D8=0,0,IF(SUM(Paramètres!$K$6:$K$45)&lt;&gt;Paramètres!$K$3,0,VLOOKUP(MATCH(1,Paramètres!$K$6:$K$45,0),LABO_Spells[#All],3)))</f>
        <v>0</v>
      </c>
      <c r="F8" s="1">
        <f>IF(Paramètres!$L$46=0,0,VLOOKUP(Paramètres!$L$47,SPELLFACTORY_Spells[#All],4))</f>
        <v>0</v>
      </c>
      <c r="G8" s="168">
        <f>IF($F8=0,0,IF(SUM(Paramètres!$K$6:$K$45)&lt;&gt;Paramètres!$K$3,0,VLOOKUP(MATCH(1,Paramètres!$K$6:$K$45,0),LABO_Spells[#All],4)))</f>
        <v>0</v>
      </c>
      <c r="H8" s="3">
        <f>IF(Paramètres!$L$46=0,0,VLOOKUP(Paramètres!$L$47,SPELLFACTORY_Spells[#All],5))</f>
        <v>0</v>
      </c>
      <c r="I8" s="173">
        <f>IF($H8=0,0,IF(SUM(Paramètres!$K$6:$K$45)&lt;&gt;Paramètres!$K$3,0,VLOOKUP(MATCH(1,Paramètres!$K$6:$K$45,0),LABO_Spells[#All],5)))</f>
        <v>0</v>
      </c>
      <c r="J8" s="167">
        <f>IF(Paramètres!$L$46=0,0,VLOOKUP(Paramètres!$L$47,SPELLFACTORY_Spells[#All],6))</f>
        <v>0</v>
      </c>
      <c r="K8" s="168">
        <f>IF($J8=0,0,IF(SUM(Paramètres!$K$6:$K$45)&lt;&gt;Paramètres!$K$3,0,VLOOKUP(MATCH(1,Paramètres!$K$6:$K$45,0),LABO_Spells[#All],6)))</f>
        <v>0</v>
      </c>
      <c r="M8" s="7">
        <v>5</v>
      </c>
      <c r="N8" s="70">
        <f t="shared" si="2"/>
        <v>0</v>
      </c>
      <c r="O8" s="67">
        <f t="shared" si="3"/>
        <v>0</v>
      </c>
      <c r="P8" s="68">
        <f t="shared" si="4"/>
        <v>0</v>
      </c>
      <c r="Q8" s="69">
        <f t="shared" si="5"/>
        <v>0</v>
      </c>
      <c r="R8" s="66">
        <f t="shared" si="6"/>
        <v>0</v>
      </c>
      <c r="S8" s="67">
        <f t="shared" si="7"/>
        <v>0</v>
      </c>
      <c r="T8" s="68">
        <f t="shared" si="8"/>
        <v>0</v>
      </c>
      <c r="U8" s="69">
        <f t="shared" si="9"/>
        <v>0</v>
      </c>
      <c r="V8" s="66">
        <f t="shared" si="10"/>
        <v>0</v>
      </c>
      <c r="W8" s="67">
        <f t="shared" si="11"/>
        <v>0</v>
      </c>
      <c r="Y8" s="13">
        <v>5</v>
      </c>
      <c r="Z8" s="791">
        <v>1</v>
      </c>
      <c r="AA8" s="37">
        <v>1</v>
      </c>
      <c r="AB8" s="5">
        <v>1</v>
      </c>
      <c r="AC8" s="37">
        <v>1</v>
      </c>
      <c r="AD8" s="46">
        <v>1</v>
      </c>
      <c r="AF8" s="13">
        <v>5</v>
      </c>
      <c r="AG8" s="791">
        <v>4</v>
      </c>
      <c r="AH8" s="37">
        <v>4</v>
      </c>
      <c r="AI8" s="5">
        <v>4</v>
      </c>
      <c r="AJ8" s="37">
        <v>1</v>
      </c>
      <c r="AK8" s="46">
        <v>1</v>
      </c>
    </row>
    <row r="9" spans="1:37" x14ac:dyDescent="0.2">
      <c r="A9" s="7">
        <v>6</v>
      </c>
      <c r="B9" s="167">
        <f>IF(Paramètres!$L$46=0,0,VLOOKUP(Paramètres!$L$47,SPELLFACTORY_Spells[#All],2))</f>
        <v>0</v>
      </c>
      <c r="C9" s="168">
        <f>IF($B9=0,0,IF(SUM(Paramètres!$K$6:$K$45)&lt;&gt;Paramètres!$K$3,0,VLOOKUP(MATCH(1,Paramètres!$K$6:$K$45,0),LABO_Spells[#All],2)))</f>
        <v>0</v>
      </c>
      <c r="D9" s="172">
        <f>IF(Paramètres!$L$46=0,0,VLOOKUP(Paramètres!$L$47,SPELLFACTORY_Spells[#All],3))</f>
        <v>0</v>
      </c>
      <c r="E9" s="173">
        <f>IF($D9=0,0,IF(SUM(Paramètres!$K$6:$K$45)&lt;&gt;Paramètres!$K$3,0,VLOOKUP(MATCH(1,Paramètres!$K$6:$K$45,0),LABO_Spells[#All],3)))</f>
        <v>0</v>
      </c>
      <c r="F9" s="2">
        <f>IF(Paramètres!$L$46=0,0,VLOOKUP(Paramètres!$L$47,SPELLFACTORY_Spells[#All],4))</f>
        <v>0</v>
      </c>
      <c r="G9" s="168">
        <f>IF($F9=0,0,IF(SUM(Paramètres!$K$6:$K$45)&lt;&gt;Paramètres!$K$3,0,VLOOKUP(MATCH(1,Paramètres!$K$6:$K$45,0),LABO_Spells[#All],4)))</f>
        <v>0</v>
      </c>
      <c r="H9" s="172">
        <f>IF(Paramètres!$L$46=0,0,VLOOKUP(Paramètres!$L$47,SPELLFACTORY_Spells[#All],5))</f>
        <v>0</v>
      </c>
      <c r="I9" s="173">
        <f>IF($H9=0,0,IF(SUM(Paramètres!$K$6:$K$45)&lt;&gt;Paramètres!$K$3,0,VLOOKUP(MATCH(1,Paramètres!$K$6:$K$45,0),LABO_Spells[#All],5)))</f>
        <v>0</v>
      </c>
      <c r="J9" s="167">
        <f>IF(Paramètres!$L$46=0,0,VLOOKUP(Paramètres!$L$47,SPELLFACTORY_Spells[#All],6))</f>
        <v>0</v>
      </c>
      <c r="K9" s="168">
        <f>IF($J9=0,0,IF(SUM(Paramètres!$K$6:$K$45)&lt;&gt;Paramètres!$K$3,0,VLOOKUP(MATCH(1,Paramètres!$K$6:$K$45,0),LABO_Spells[#All],6)))</f>
        <v>0</v>
      </c>
      <c r="M9" s="7">
        <v>6</v>
      </c>
      <c r="N9" s="70">
        <f t="shared" si="2"/>
        <v>0</v>
      </c>
      <c r="O9" s="67">
        <f t="shared" si="3"/>
        <v>0</v>
      </c>
      <c r="P9" s="68">
        <f t="shared" si="4"/>
        <v>0</v>
      </c>
      <c r="Q9" s="69">
        <f t="shared" si="5"/>
        <v>0</v>
      </c>
      <c r="R9" s="66">
        <f t="shared" si="6"/>
        <v>0</v>
      </c>
      <c r="S9" s="67">
        <f t="shared" si="7"/>
        <v>0</v>
      </c>
      <c r="T9" s="68">
        <f t="shared" si="8"/>
        <v>0</v>
      </c>
      <c r="U9" s="69">
        <f t="shared" si="9"/>
        <v>0</v>
      </c>
      <c r="V9" s="66">
        <f t="shared" si="10"/>
        <v>0</v>
      </c>
      <c r="W9" s="67">
        <f t="shared" si="11"/>
        <v>0</v>
      </c>
      <c r="Y9" s="13">
        <v>6</v>
      </c>
      <c r="Z9" s="790">
        <v>1</v>
      </c>
      <c r="AA9" s="35">
        <v>1</v>
      </c>
      <c r="AB9" s="6">
        <v>1</v>
      </c>
      <c r="AC9" s="35">
        <v>1</v>
      </c>
      <c r="AD9" s="47">
        <v>1</v>
      </c>
      <c r="AF9" s="13">
        <v>6</v>
      </c>
      <c r="AG9" s="790">
        <v>5</v>
      </c>
      <c r="AH9" s="35">
        <v>5</v>
      </c>
      <c r="AI9" s="6">
        <v>5</v>
      </c>
      <c r="AJ9" s="35">
        <v>2</v>
      </c>
      <c r="AK9" s="47">
        <v>1</v>
      </c>
    </row>
    <row r="10" spans="1:37" x14ac:dyDescent="0.2">
      <c r="A10" s="7">
        <v>7</v>
      </c>
      <c r="B10" s="167">
        <f>IF(Paramètres!$L$46=0,0,VLOOKUP(Paramètres!$L$47,SPELLFACTORY_Spells[#All],2))</f>
        <v>0</v>
      </c>
      <c r="C10" s="168">
        <f>IF($B10=0,0,IF(SUM(Paramètres!$K$6:$K$45)&lt;&gt;Paramètres!$K$3,0,VLOOKUP(MATCH(1,Paramètres!$K$6:$K$45,0),LABO_Spells[#All],2)))</f>
        <v>0</v>
      </c>
      <c r="D10" s="3">
        <f>IF(Paramètres!$L$46=0,0,VLOOKUP(Paramètres!$L$47,SPELLFACTORY_Spells[#All],3))</f>
        <v>0</v>
      </c>
      <c r="E10" s="173">
        <f>IF($D10=0,0,IF(SUM(Paramètres!$K$6:$K$45)&lt;&gt;Paramètres!$K$3,0,VLOOKUP(MATCH(1,Paramètres!$K$6:$K$45,0),LABO_Spells[#All],3)))</f>
        <v>0</v>
      </c>
      <c r="F10" s="1">
        <f>IF(Paramètres!$L$46=0,0,VLOOKUP(Paramètres!$L$47,SPELLFACTORY_Spells[#All],4))</f>
        <v>0</v>
      </c>
      <c r="G10" s="168">
        <f>IF($F10=0,0,IF(SUM(Paramètres!$K$6:$K$45)&lt;&gt;Paramètres!$K$3,0,VLOOKUP(MATCH(1,Paramètres!$K$6:$K$45,0),LABO_Spells[#All],4)))</f>
        <v>0</v>
      </c>
      <c r="H10" s="3">
        <f>IF(Paramètres!$L$46=0,0,VLOOKUP(Paramètres!$L$47,SPELLFACTORY_Spells[#All],5))</f>
        <v>0</v>
      </c>
      <c r="I10" s="173">
        <f>IF($H10=0,0,IF(SUM(Paramètres!$K$6:$K$45)&lt;&gt;Paramètres!$K$3,0,VLOOKUP(MATCH(1,Paramètres!$K$6:$K$45,0),LABO_Spells[#All],5)))</f>
        <v>0</v>
      </c>
      <c r="J10" s="167">
        <f>IF(Paramètres!$L$46=0,0,VLOOKUP(Paramètres!$L$47,SPELLFACTORY_Spells[#All],6))</f>
        <v>0</v>
      </c>
      <c r="K10" s="168">
        <f>IF($J10=0,0,IF(SUM(Paramètres!$K$6:$K$45)&lt;&gt;Paramètres!$K$3,0,VLOOKUP(MATCH(1,Paramètres!$K$6:$K$45,0),LABO_Spells[#All],6)))</f>
        <v>0</v>
      </c>
      <c r="M10" s="7">
        <v>7</v>
      </c>
      <c r="N10" s="70">
        <f t="shared" si="2"/>
        <v>0</v>
      </c>
      <c r="O10" s="67">
        <f t="shared" si="3"/>
        <v>0</v>
      </c>
      <c r="P10" s="68">
        <f t="shared" si="4"/>
        <v>0</v>
      </c>
      <c r="Q10" s="69">
        <f t="shared" si="5"/>
        <v>0</v>
      </c>
      <c r="R10" s="66">
        <f t="shared" si="6"/>
        <v>0</v>
      </c>
      <c r="S10" s="67">
        <f t="shared" si="7"/>
        <v>0</v>
      </c>
      <c r="T10" s="68">
        <f t="shared" si="8"/>
        <v>0</v>
      </c>
      <c r="U10" s="69">
        <f t="shared" si="9"/>
        <v>0</v>
      </c>
      <c r="V10" s="66">
        <f t="shared" si="10"/>
        <v>0</v>
      </c>
      <c r="W10" s="67">
        <f t="shared" si="11"/>
        <v>0</v>
      </c>
      <c r="AF10" s="13">
        <v>7</v>
      </c>
      <c r="AG10" s="791">
        <v>5</v>
      </c>
      <c r="AH10" s="37">
        <v>6</v>
      </c>
      <c r="AI10" s="5">
        <v>5</v>
      </c>
      <c r="AJ10" s="37">
        <v>2</v>
      </c>
      <c r="AK10" s="46">
        <v>1</v>
      </c>
    </row>
    <row r="11" spans="1:37" x14ac:dyDescent="0.2">
      <c r="A11" s="7">
        <v>8</v>
      </c>
      <c r="B11" s="167">
        <f>IF(Paramètres!$L$46=0,0,VLOOKUP(Paramètres!$L$47,SPELLFACTORY_Spells[#All],2))</f>
        <v>0</v>
      </c>
      <c r="C11" s="168">
        <f>IF($B11=0,0,IF(SUM(Paramètres!$K$6:$K$45)&lt;&gt;Paramètres!$K$3,0,VLOOKUP(MATCH(1,Paramètres!$K$6:$K$45,0),LABO_Spells[#All],2)))</f>
        <v>0</v>
      </c>
      <c r="D11" s="4">
        <f>IF(Paramètres!$L$46=0,0,VLOOKUP(Paramètres!$L$47,SPELLFACTORY_Spells[#All],3))</f>
        <v>0</v>
      </c>
      <c r="E11" s="173">
        <f>IF($D11=0,0,IF(SUM(Paramètres!$K$6:$K$45)&lt;&gt;Paramètres!$K$3,0,VLOOKUP(MATCH(1,Paramètres!$K$6:$K$45,0),LABO_Spells[#All],3)))</f>
        <v>0</v>
      </c>
      <c r="F11" s="2">
        <f>IF(Paramètres!$L$46=0,0,VLOOKUP(Paramètres!$L$47,SPELLFACTORY_Spells[#All],4))</f>
        <v>0</v>
      </c>
      <c r="G11" s="168">
        <f>IF($F11=0,0,IF(SUM(Paramètres!$K$6:$K$45)&lt;&gt;Paramètres!$K$3,0,VLOOKUP(MATCH(1,Paramètres!$K$6:$K$45,0),LABO_Spells[#All],4)))</f>
        <v>0</v>
      </c>
      <c r="H11" s="4">
        <f>IF(Paramètres!$L$46=0,0,VLOOKUP(Paramètres!$L$47,SPELLFACTORY_Spells[#All],5))</f>
        <v>0</v>
      </c>
      <c r="I11" s="173">
        <f>IF($H11=0,0,IF(SUM(Paramètres!$K$6:$K$45)&lt;&gt;Paramètres!$K$3,0,VLOOKUP(MATCH(1,Paramètres!$K$6:$K$45,0),LABO_Spells[#All],5)))</f>
        <v>0</v>
      </c>
      <c r="J11" s="167">
        <f>IF(Paramètres!$L$46=0,0,VLOOKUP(Paramètres!$L$47,SPELLFACTORY_Spells[#All],6))</f>
        <v>0</v>
      </c>
      <c r="K11" s="168">
        <f>IF($J11=0,0,IF(SUM(Paramètres!$K$6:$K$45)&lt;&gt;Paramètres!$K$3,0,VLOOKUP(MATCH(1,Paramètres!$K$6:$K$45,0),LABO_Spells[#All],6)))</f>
        <v>0</v>
      </c>
      <c r="M11" s="7">
        <v>8</v>
      </c>
      <c r="N11" s="70">
        <f t="shared" si="2"/>
        <v>0</v>
      </c>
      <c r="O11" s="67">
        <f t="shared" si="3"/>
        <v>0</v>
      </c>
      <c r="P11" s="68">
        <f t="shared" si="4"/>
        <v>0</v>
      </c>
      <c r="Q11" s="69">
        <f t="shared" si="5"/>
        <v>0</v>
      </c>
      <c r="R11" s="66">
        <f t="shared" si="6"/>
        <v>0</v>
      </c>
      <c r="S11" s="67">
        <f t="shared" si="7"/>
        <v>0</v>
      </c>
      <c r="T11" s="68">
        <f t="shared" si="8"/>
        <v>0</v>
      </c>
      <c r="U11" s="69">
        <f t="shared" si="9"/>
        <v>0</v>
      </c>
      <c r="V11" s="66">
        <f t="shared" si="10"/>
        <v>0</v>
      </c>
      <c r="W11" s="67">
        <f t="shared" si="11"/>
        <v>0</v>
      </c>
      <c r="AF11" s="13">
        <v>8</v>
      </c>
      <c r="AG11" s="790">
        <v>6</v>
      </c>
      <c r="AH11" s="35">
        <v>6</v>
      </c>
      <c r="AI11" s="6">
        <v>5</v>
      </c>
      <c r="AJ11" s="35">
        <v>3</v>
      </c>
      <c r="AK11" s="47">
        <v>5</v>
      </c>
    </row>
    <row r="12" spans="1:37" x14ac:dyDescent="0.2">
      <c r="A12" s="7">
        <v>9</v>
      </c>
      <c r="B12" s="1">
        <f>IF(Paramètres!$L$46=0,0,VLOOKUP(Paramètres!$L$47,SPELLFACTORY_Spells[#All],2))</f>
        <v>0</v>
      </c>
      <c r="C12" s="168">
        <f>IF($B12=0,0,IF(SUM(Paramètres!$K$6:$K$45)&lt;&gt;Paramètres!$K$3,0,VLOOKUP(MATCH(1,Paramètres!$K$6:$K$45,0),LABO_Spells[#All],2)))</f>
        <v>0</v>
      </c>
      <c r="D12" s="3">
        <f>IF(Paramètres!$L$46=0,0,VLOOKUP(Paramètres!$L$47,SPELLFACTORY_Spells[#All],3))</f>
        <v>0</v>
      </c>
      <c r="E12" s="173">
        <f>IF($D12=0,0,IF(SUM(Paramètres!$K$6:$K$45)&lt;&gt;Paramètres!$K$3,0,VLOOKUP(MATCH(1,Paramètres!$K$6:$K$45,0),LABO_Spells[#All],3)))</f>
        <v>0</v>
      </c>
      <c r="F12" s="1">
        <f>IF(Paramètres!$L$46=0,0,VLOOKUP(Paramètres!$L$47,SPELLFACTORY_Spells[#All],4))</f>
        <v>0</v>
      </c>
      <c r="G12" s="5">
        <f>IF($F12=0,0,IF(SUM(Paramètres!$K$6:$K$45)&lt;&gt;Paramètres!$K$3,0,VLOOKUP(MATCH(1,Paramètres!$K$6:$K$45,0),LABO_Spells[#All],4)))</f>
        <v>0</v>
      </c>
      <c r="H12" s="3">
        <f>IF(Paramètres!$L$46=0,0,VLOOKUP(Paramètres!$L$47,SPELLFACTORY_Spells[#All],5))</f>
        <v>0</v>
      </c>
      <c r="I12" s="37">
        <f>IF($H12=0,0,IF(SUM(Paramètres!$K$6:$K$45)&lt;&gt;Paramètres!$K$3,0,VLOOKUP(MATCH(1,Paramètres!$K$6:$K$45,0),LABO_Spells[#All],5)))</f>
        <v>0</v>
      </c>
      <c r="J12" s="167">
        <f>IF(Paramètres!$L$46=0,0,VLOOKUP(Paramètres!$L$47,SPELLFACTORY_Spells[#All],6))</f>
        <v>0</v>
      </c>
      <c r="K12" s="168">
        <f>IF($J12=0,0,IF(SUM(Paramètres!$K$6:$K$45)&lt;&gt;Paramètres!$K$3,0,VLOOKUP(MATCH(1,Paramètres!$K$6:$K$45,0),LABO_Spells[#All],6)))</f>
        <v>0</v>
      </c>
      <c r="M12" s="7">
        <v>9</v>
      </c>
      <c r="N12" s="70">
        <f t="shared" si="2"/>
        <v>0</v>
      </c>
      <c r="O12" s="67">
        <f t="shared" si="3"/>
        <v>0</v>
      </c>
      <c r="P12" s="68">
        <f t="shared" si="4"/>
        <v>0</v>
      </c>
      <c r="Q12" s="69">
        <f t="shared" si="5"/>
        <v>0</v>
      </c>
      <c r="R12" s="66">
        <f t="shared" si="6"/>
        <v>0</v>
      </c>
      <c r="S12" s="67">
        <f t="shared" si="7"/>
        <v>0</v>
      </c>
      <c r="T12" s="68">
        <f t="shared" si="8"/>
        <v>0</v>
      </c>
      <c r="U12" s="69">
        <f t="shared" si="9"/>
        <v>0</v>
      </c>
      <c r="V12" s="66">
        <f t="shared" si="10"/>
        <v>0</v>
      </c>
      <c r="W12" s="67">
        <f t="shared" si="11"/>
        <v>0</v>
      </c>
    </row>
    <row r="13" spans="1:37" ht="12" thickBot="1" x14ac:dyDescent="0.25">
      <c r="A13" s="8">
        <v>10</v>
      </c>
      <c r="B13" s="22">
        <f>IF(Paramètres!$L$46=0,0,VLOOKUP(Paramètres!$L$47,SPELLFACTORY_Spells[#All],2))</f>
        <v>0</v>
      </c>
      <c r="C13" s="168">
        <f>IF($B13=0,0,IF(SUM(Paramètres!$K$6:$K$45)&lt;&gt;Paramètres!$K$3,0,VLOOKUP(MATCH(1,Paramètres!$K$6:$K$45,0),LABO_Spells[#All],2)))</f>
        <v>0</v>
      </c>
      <c r="D13" s="21">
        <f>IF(Paramètres!$L$46=0,0,VLOOKUP(Paramètres!$L$47,SPELLFACTORY_Spells[#All],3))</f>
        <v>0</v>
      </c>
      <c r="E13" s="173">
        <f>IF($D13=0,0,IF(SUM(Paramètres!$K$6:$K$45)&lt;&gt;Paramètres!$K$3,0,VLOOKUP(MATCH(1,Paramètres!$K$6:$K$45,0),LABO_Spells[#All],3)))</f>
        <v>0</v>
      </c>
      <c r="F13" s="22">
        <f>IF(Paramètres!$L$46=0,0,VLOOKUP(Paramètres!$L$47,SPELLFACTORY_Spells[#All],4))</f>
        <v>0</v>
      </c>
      <c r="G13" s="20">
        <f>IF($F13=0,0,IF(SUM(Paramètres!$K$6:$K$45)&lt;&gt;Paramètres!$K$3,0,VLOOKUP(MATCH(1,Paramètres!$K$6:$K$45,0),LABO_Spells[#All],4)))</f>
        <v>0</v>
      </c>
      <c r="H13" s="21">
        <f>IF(Paramètres!$L$46=0,0,VLOOKUP(Paramètres!$L$47,SPELLFACTORY_Spells[#All],5))</f>
        <v>0</v>
      </c>
      <c r="I13" s="38">
        <f>IF($H13=0,0,IF(SUM(Paramètres!$K$6:$K$45)&lt;&gt;Paramètres!$K$3,0,VLOOKUP(MATCH(1,Paramètres!$K$6:$K$45,0),LABO_Spells[#All],5)))</f>
        <v>0</v>
      </c>
      <c r="J13" s="167">
        <f>IF(Paramètres!$L$46=0,0,VLOOKUP(Paramètres!$L$47,SPELLFACTORY_Spells[#All],6))</f>
        <v>0</v>
      </c>
      <c r="K13" s="168">
        <f>IF($J13=0,0,IF(SUM(Paramètres!$K$6:$K$45)&lt;&gt;Paramètres!$K$3,0,VLOOKUP(MATCH(1,Paramètres!$K$6:$K$45,0),LABO_Spells[#All],6)))</f>
        <v>0</v>
      </c>
      <c r="M13" s="8">
        <v>10</v>
      </c>
      <c r="N13" s="70">
        <f t="shared" si="2"/>
        <v>0</v>
      </c>
      <c r="O13" s="67">
        <f t="shared" si="3"/>
        <v>0</v>
      </c>
      <c r="P13" s="68">
        <f t="shared" si="4"/>
        <v>0</v>
      </c>
      <c r="Q13" s="69">
        <f t="shared" si="5"/>
        <v>0</v>
      </c>
      <c r="R13" s="66">
        <f t="shared" si="6"/>
        <v>0</v>
      </c>
      <c r="S13" s="67">
        <f t="shared" si="7"/>
        <v>0</v>
      </c>
      <c r="T13" s="68">
        <f t="shared" si="8"/>
        <v>0</v>
      </c>
      <c r="U13" s="69">
        <f t="shared" si="9"/>
        <v>0</v>
      </c>
      <c r="V13" s="66">
        <f t="shared" si="10"/>
        <v>0</v>
      </c>
      <c r="W13" s="67">
        <f t="shared" si="11"/>
        <v>0</v>
      </c>
    </row>
    <row r="15" spans="1:37" ht="12" thickBot="1" x14ac:dyDescent="0.25"/>
    <row r="16" spans="1:37" ht="19.5" customHeight="1" thickBot="1" x14ac:dyDescent="0.25">
      <c r="A16" s="1262" t="s">
        <v>711</v>
      </c>
      <c r="B16" s="1263"/>
      <c r="C16" s="1263"/>
      <c r="D16" s="1263"/>
      <c r="E16" s="1263"/>
      <c r="F16" s="1263"/>
      <c r="G16" s="1264"/>
      <c r="I16" s="1262" t="s">
        <v>710</v>
      </c>
      <c r="J16" s="1263"/>
      <c r="K16" s="1263"/>
      <c r="L16" s="1263"/>
      <c r="M16" s="1263"/>
      <c r="N16" s="1263"/>
      <c r="O16" s="1264"/>
      <c r="Q16" s="1262" t="s">
        <v>707</v>
      </c>
      <c r="R16" s="1263"/>
      <c r="S16" s="1263"/>
      <c r="T16" s="1264"/>
      <c r="V16" s="1262" t="s">
        <v>208</v>
      </c>
      <c r="W16" s="1263"/>
      <c r="X16" s="1263"/>
      <c r="Y16" s="1264"/>
    </row>
    <row r="17" spans="1:67" ht="57" thickBot="1" x14ac:dyDescent="0.25">
      <c r="A17" s="165" t="s">
        <v>17</v>
      </c>
      <c r="B17" s="17" t="s">
        <v>712</v>
      </c>
      <c r="C17" s="17" t="s">
        <v>15</v>
      </c>
      <c r="D17" s="17" t="s">
        <v>713</v>
      </c>
      <c r="E17" s="17" t="s">
        <v>21</v>
      </c>
      <c r="F17" s="17" t="s">
        <v>714</v>
      </c>
      <c r="G17" s="17" t="s">
        <v>22</v>
      </c>
      <c r="I17" s="165" t="s">
        <v>17</v>
      </c>
      <c r="J17" s="17" t="s">
        <v>712</v>
      </c>
      <c r="K17" s="17" t="s">
        <v>15</v>
      </c>
      <c r="L17" s="17" t="s">
        <v>713</v>
      </c>
      <c r="M17" s="17" t="s">
        <v>21</v>
      </c>
      <c r="N17" s="17" t="s">
        <v>714</v>
      </c>
      <c r="O17" s="17" t="s">
        <v>22</v>
      </c>
      <c r="Q17" s="12" t="s">
        <v>709</v>
      </c>
      <c r="R17" s="667" t="s">
        <v>712</v>
      </c>
      <c r="S17" s="668" t="s">
        <v>713</v>
      </c>
      <c r="T17" s="668" t="s">
        <v>714</v>
      </c>
      <c r="V17" s="12" t="s">
        <v>644</v>
      </c>
      <c r="W17" s="667" t="s">
        <v>712</v>
      </c>
      <c r="X17" s="668" t="s">
        <v>713</v>
      </c>
      <c r="Y17" s="668" t="s">
        <v>714</v>
      </c>
    </row>
    <row r="18" spans="1:67" x14ac:dyDescent="0.2">
      <c r="A18" s="52">
        <v>0</v>
      </c>
      <c r="B18" s="973">
        <f>IF(Paramètres!$M$46=0,0,VLOOKUP(Paramètres!$M$47,SPELLFACTORY_DarkSpells[#All],2))</f>
        <v>0</v>
      </c>
      <c r="C18" s="974">
        <f>IF($B18=0,0,IF(SUM(Paramètres!$K$6:$K$45)&lt;&gt;Paramètres!$K$3,0,VLOOKUP(MATCH(1,Paramètres!$K$6:$K$45,0),LABO_Dark_Spells[#All],2)))</f>
        <v>0</v>
      </c>
      <c r="D18" s="975">
        <f>IF(Paramètres!$M$46=0,0,VLOOKUP(Paramètres!$M$47,SPELLFACTORY_DarkSpells[#All],3))</f>
        <v>0</v>
      </c>
      <c r="E18" s="976">
        <f>IF($D18=0,0,IF(SUM(Paramètres!$K$6:$K$45)&lt;&gt;Paramètres!$K$3,0,VLOOKUP(MATCH(1,Paramètres!$K$6:$K$45,0),LABO_Dark_Spells[#All],3)))</f>
        <v>0</v>
      </c>
      <c r="F18" s="973">
        <f>IF(Paramètres!$M$46=0,0,VLOOKUP(Paramètres!$M$47,SPELLFACTORY_DarkSpells[#All],4))</f>
        <v>0</v>
      </c>
      <c r="G18" s="974">
        <f>IF($F18=0,0,IF(SUM(Paramètres!$K$6:$K$45)&lt;&gt;Paramètres!$K$3,0,VLOOKUP(MATCH(1,Paramètres!$K$6:$K$45,0),LABO_Dark_Spells[#All],4)))</f>
        <v>0</v>
      </c>
      <c r="I18" s="52">
        <v>0</v>
      </c>
      <c r="J18" s="169">
        <f t="shared" ref="J18" si="12">B18</f>
        <v>0</v>
      </c>
      <c r="K18" s="170">
        <f t="shared" ref="K18" si="13">C18</f>
        <v>0</v>
      </c>
      <c r="L18" s="174">
        <f>D18</f>
        <v>0</v>
      </c>
      <c r="M18" s="175">
        <f t="shared" ref="M18" si="14">E18</f>
        <v>0</v>
      </c>
      <c r="N18" s="171">
        <f t="shared" ref="N18" si="15">F18</f>
        <v>0</v>
      </c>
      <c r="O18" s="170">
        <f t="shared" ref="O18" si="16">G18</f>
        <v>0</v>
      </c>
      <c r="Q18" s="13">
        <v>0</v>
      </c>
      <c r="R18" s="790">
        <v>0</v>
      </c>
      <c r="S18" s="35">
        <v>0</v>
      </c>
      <c r="T18" s="6">
        <v>0</v>
      </c>
      <c r="V18" s="13">
        <v>0</v>
      </c>
      <c r="W18" s="790">
        <v>0</v>
      </c>
      <c r="X18" s="35">
        <v>0</v>
      </c>
      <c r="Y18" s="6">
        <v>0</v>
      </c>
    </row>
    <row r="19" spans="1:67" x14ac:dyDescent="0.2">
      <c r="A19" s="166">
        <v>1</v>
      </c>
      <c r="B19" s="973">
        <f>IF(Paramètres!$M$46=0,0,VLOOKUP(Paramètres!$M$47,SPELLFACTORY_DarkSpells[#All],2))</f>
        <v>0</v>
      </c>
      <c r="C19" s="974">
        <f>IF($B19=0,0,IF(SUM(Paramètres!$K$6:$K$45)&lt;&gt;Paramètres!$K$3,0,VLOOKUP(MATCH(1,Paramètres!$K$6:$K$45,0),LABO_Dark_Spells[#All],2)))</f>
        <v>0</v>
      </c>
      <c r="D19" s="975">
        <f>IF(Paramètres!$M$46=0,0,VLOOKUP(Paramètres!$M$47,SPELLFACTORY_DarkSpells[#All],3))</f>
        <v>0</v>
      </c>
      <c r="E19" s="976">
        <f>IF($D19=0,0,IF(SUM(Paramètres!$K$6:$K$45)&lt;&gt;Paramètres!$K$3,0,VLOOKUP(MATCH(1,Paramètres!$K$6:$K$45,0),LABO_Dark_Spells[#All],3)))</f>
        <v>0</v>
      </c>
      <c r="F19" s="973">
        <f>IF(Paramètres!$M$46=0,0,VLOOKUP(Paramètres!$M$47,SPELLFACTORY_DarkSpells[#All],4))</f>
        <v>0</v>
      </c>
      <c r="G19" s="974">
        <f>IF($F19=0,0,IF(SUM(Paramètres!$K$6:$K$45)&lt;&gt;Paramètres!$K$3,0,VLOOKUP(MATCH(1,Paramètres!$K$6:$K$45,0),LABO_Dark_Spells[#All],4)))</f>
        <v>0</v>
      </c>
      <c r="I19" s="166">
        <v>1</v>
      </c>
      <c r="J19" s="70">
        <f t="shared" ref="J19:J28" si="17">B19-B18</f>
        <v>0</v>
      </c>
      <c r="K19" s="67">
        <f t="shared" ref="K19:K28" si="18">C19-C18</f>
        <v>0</v>
      </c>
      <c r="L19" s="68">
        <f t="shared" ref="L19:L28" si="19">D19-D18</f>
        <v>0</v>
      </c>
      <c r="M19" s="69">
        <f t="shared" ref="M19:M28" si="20">E19-E18</f>
        <v>0</v>
      </c>
      <c r="N19" s="66">
        <f t="shared" ref="N19:N28" si="21">F19-F18</f>
        <v>0</v>
      </c>
      <c r="O19" s="67">
        <f t="shared" ref="O19:O28" si="22">G19-G18</f>
        <v>0</v>
      </c>
      <c r="Q19" s="13">
        <v>1</v>
      </c>
      <c r="R19" s="791">
        <v>1</v>
      </c>
      <c r="S19" s="37">
        <v>0</v>
      </c>
      <c r="T19" s="5">
        <v>0</v>
      </c>
      <c r="V19" s="13">
        <v>1</v>
      </c>
      <c r="W19" s="791">
        <v>0</v>
      </c>
      <c r="X19" s="37">
        <v>0</v>
      </c>
      <c r="Y19" s="5">
        <v>0</v>
      </c>
    </row>
    <row r="20" spans="1:67" x14ac:dyDescent="0.2">
      <c r="A20" s="7">
        <v>2</v>
      </c>
      <c r="B20" s="973">
        <f>IF(Paramètres!$M$46=0,0,VLOOKUP(Paramètres!$M$47,SPELLFACTORY_DarkSpells[#All],2))</f>
        <v>0</v>
      </c>
      <c r="C20" s="974">
        <f>IF($B20=0,0,IF(SUM(Paramètres!$K$6:$K$45)&lt;&gt;Paramètres!$K$3,0,VLOOKUP(MATCH(1,Paramètres!$K$6:$K$45,0),LABO_Dark_Spells[#All],2)))</f>
        <v>0</v>
      </c>
      <c r="D20" s="975">
        <f>IF(Paramètres!$M$46=0,0,VLOOKUP(Paramètres!$M$47,SPELLFACTORY_DarkSpells[#All],3))</f>
        <v>0</v>
      </c>
      <c r="E20" s="976">
        <f>IF($D20=0,0,IF(SUM(Paramètres!$K$6:$K$45)&lt;&gt;Paramètres!$K$3,0,VLOOKUP(MATCH(1,Paramètres!$K$6:$K$45,0),LABO_Dark_Spells[#All],3)))</f>
        <v>0</v>
      </c>
      <c r="F20" s="973">
        <f>IF(Paramètres!$M$46=0,0,VLOOKUP(Paramètres!$M$47,SPELLFACTORY_DarkSpells[#All],4))</f>
        <v>0</v>
      </c>
      <c r="G20" s="974">
        <f>IF($F20=0,0,IF(SUM(Paramètres!$K$6:$K$45)&lt;&gt;Paramètres!$K$3,0,VLOOKUP(MATCH(1,Paramètres!$K$6:$K$45,0),LABO_Dark_Spells[#All],4)))</f>
        <v>0</v>
      </c>
      <c r="I20" s="7">
        <v>2</v>
      </c>
      <c r="J20" s="70">
        <f t="shared" si="17"/>
        <v>0</v>
      </c>
      <c r="K20" s="67">
        <f t="shared" si="18"/>
        <v>0</v>
      </c>
      <c r="L20" s="68">
        <f t="shared" si="19"/>
        <v>0</v>
      </c>
      <c r="M20" s="69">
        <f t="shared" si="20"/>
        <v>0</v>
      </c>
      <c r="N20" s="66">
        <f t="shared" si="21"/>
        <v>0</v>
      </c>
      <c r="O20" s="67">
        <f t="shared" si="22"/>
        <v>0</v>
      </c>
      <c r="Q20" s="13">
        <v>2</v>
      </c>
      <c r="R20" s="790">
        <v>1</v>
      </c>
      <c r="S20" s="35">
        <v>1</v>
      </c>
      <c r="T20" s="6">
        <v>0</v>
      </c>
      <c r="V20" s="13">
        <v>2</v>
      </c>
      <c r="W20" s="790">
        <v>0</v>
      </c>
      <c r="X20" s="35">
        <v>0</v>
      </c>
      <c r="Y20" s="6">
        <v>0</v>
      </c>
    </row>
    <row r="21" spans="1:67" x14ac:dyDescent="0.2">
      <c r="A21" s="7">
        <v>3</v>
      </c>
      <c r="B21" s="973">
        <f>IF(Paramètres!$M$46=0,0,VLOOKUP(Paramètres!$M$47,SPELLFACTORY_DarkSpells[#All],2))</f>
        <v>0</v>
      </c>
      <c r="C21" s="974">
        <f>IF($B21=0,0,IF(SUM(Paramètres!$K$6:$K$45)&lt;&gt;Paramètres!$K$3,0,VLOOKUP(MATCH(1,Paramètres!$K$6:$K$45,0),LABO_Dark_Spells[#All],2)))</f>
        <v>0</v>
      </c>
      <c r="D21" s="975">
        <f>IF(Paramètres!$M$46=0,0,VLOOKUP(Paramètres!$M$47,SPELLFACTORY_DarkSpells[#All],3))</f>
        <v>0</v>
      </c>
      <c r="E21" s="976">
        <f>IF($D21=0,0,IF(SUM(Paramètres!$K$6:$K$45)&lt;&gt;Paramètres!$K$3,0,VLOOKUP(MATCH(1,Paramètres!$K$6:$K$45,0),LABO_Dark_Spells[#All],3)))</f>
        <v>0</v>
      </c>
      <c r="F21" s="973">
        <f>IF(Paramètres!$M$46=0,0,VLOOKUP(Paramètres!$M$47,SPELLFACTORY_DarkSpells[#All],4))</f>
        <v>0</v>
      </c>
      <c r="G21" s="974">
        <f>IF($F21=0,0,IF(SUM(Paramètres!$K$6:$K$45)&lt;&gt;Paramètres!$K$3,0,VLOOKUP(MATCH(1,Paramètres!$K$6:$K$45,0),LABO_Dark_Spells[#All],4)))</f>
        <v>0</v>
      </c>
      <c r="I21" s="7">
        <v>3</v>
      </c>
      <c r="J21" s="70">
        <f t="shared" si="17"/>
        <v>0</v>
      </c>
      <c r="K21" s="67">
        <f t="shared" si="18"/>
        <v>0</v>
      </c>
      <c r="L21" s="68">
        <f t="shared" si="19"/>
        <v>0</v>
      </c>
      <c r="M21" s="69">
        <f t="shared" si="20"/>
        <v>0</v>
      </c>
      <c r="N21" s="66">
        <f t="shared" si="21"/>
        <v>0</v>
      </c>
      <c r="O21" s="67">
        <f t="shared" si="22"/>
        <v>0</v>
      </c>
      <c r="Q21" s="13">
        <v>3</v>
      </c>
      <c r="R21" s="791">
        <v>1</v>
      </c>
      <c r="S21" s="37">
        <v>1</v>
      </c>
      <c r="T21" s="5">
        <v>1</v>
      </c>
      <c r="V21" s="13">
        <v>3</v>
      </c>
      <c r="W21" s="791">
        <v>0</v>
      </c>
      <c r="X21" s="37">
        <v>0</v>
      </c>
      <c r="Y21" s="5">
        <v>0</v>
      </c>
    </row>
    <row r="22" spans="1:67" x14ac:dyDescent="0.2">
      <c r="A22" s="7">
        <v>4</v>
      </c>
      <c r="B22" s="973">
        <f>IF(Paramètres!$M$46=0,0,VLOOKUP(Paramètres!$M$47,SPELLFACTORY_DarkSpells[#All],2))</f>
        <v>0</v>
      </c>
      <c r="C22" s="974">
        <f>IF($B22=0,0,IF(SUM(Paramètres!$K$6:$K$45)&lt;&gt;Paramètres!$K$3,0,VLOOKUP(MATCH(1,Paramètres!$K$6:$K$45,0),LABO_Dark_Spells[#All],2)))</f>
        <v>0</v>
      </c>
      <c r="D22" s="975">
        <f>IF(Paramètres!$M$46=0,0,VLOOKUP(Paramètres!$M$47,SPELLFACTORY_DarkSpells[#All],3))</f>
        <v>0</v>
      </c>
      <c r="E22" s="976">
        <f>IF($D22=0,0,IF(SUM(Paramètres!$K$6:$K$45)&lt;&gt;Paramètres!$K$3,0,VLOOKUP(MATCH(1,Paramètres!$K$6:$K$45,0),LABO_Dark_Spells[#All],3)))</f>
        <v>0</v>
      </c>
      <c r="F22" s="973">
        <f>IF(Paramètres!$M$46=0,0,VLOOKUP(Paramètres!$M$47,SPELLFACTORY_DarkSpells[#All],4))</f>
        <v>0</v>
      </c>
      <c r="G22" s="974">
        <f>IF($F22=0,0,IF(SUM(Paramètres!$K$6:$K$45)&lt;&gt;Paramètres!$K$3,0,VLOOKUP(MATCH(1,Paramètres!$K$6:$K$45,0),LABO_Dark_Spells[#All],4)))</f>
        <v>0</v>
      </c>
      <c r="I22" s="7">
        <v>4</v>
      </c>
      <c r="J22" s="70">
        <f t="shared" si="17"/>
        <v>0</v>
      </c>
      <c r="K22" s="67">
        <f t="shared" si="18"/>
        <v>0</v>
      </c>
      <c r="L22" s="68">
        <f t="shared" si="19"/>
        <v>0</v>
      </c>
      <c r="M22" s="69">
        <f t="shared" si="20"/>
        <v>0</v>
      </c>
      <c r="N22" s="66">
        <f t="shared" si="21"/>
        <v>0</v>
      </c>
      <c r="O22" s="67">
        <f t="shared" si="22"/>
        <v>0</v>
      </c>
      <c r="Q22" s="13">
        <v>4</v>
      </c>
      <c r="R22" s="790">
        <v>1</v>
      </c>
      <c r="S22" s="35">
        <v>1</v>
      </c>
      <c r="T22" s="6">
        <v>1</v>
      </c>
      <c r="V22" s="13">
        <v>4</v>
      </c>
      <c r="W22" s="790">
        <v>0</v>
      </c>
      <c r="X22" s="35">
        <v>0</v>
      </c>
      <c r="Y22" s="6">
        <v>0</v>
      </c>
    </row>
    <row r="23" spans="1:67" x14ac:dyDescent="0.2">
      <c r="A23" s="7">
        <v>5</v>
      </c>
      <c r="B23" s="973">
        <f>IF(Paramètres!$M$46=0,0,VLOOKUP(Paramètres!$M$47,SPELLFACTORY_DarkSpells[#All],2))</f>
        <v>0</v>
      </c>
      <c r="C23" s="974">
        <f>IF($B23=0,0,IF(SUM(Paramètres!$K$6:$K$45)&lt;&gt;Paramètres!$K$3,0,VLOOKUP(MATCH(1,Paramètres!$K$6:$K$45,0),LABO_Dark_Spells[#All],2)))</f>
        <v>0</v>
      </c>
      <c r="D23" s="975">
        <f>IF(Paramètres!$M$46=0,0,VLOOKUP(Paramètres!$M$47,SPELLFACTORY_DarkSpells[#All],3))</f>
        <v>0</v>
      </c>
      <c r="E23" s="976">
        <f>IF($D23=0,0,IF(SUM(Paramètres!$K$6:$K$45)&lt;&gt;Paramètres!$K$3,0,VLOOKUP(MATCH(1,Paramètres!$K$6:$K$45,0),LABO_Dark_Spells[#All],3)))</f>
        <v>0</v>
      </c>
      <c r="F23" s="973">
        <f>IF(Paramètres!$M$46=0,0,VLOOKUP(Paramètres!$M$47,SPELLFACTORY_DarkSpells[#All],4))</f>
        <v>0</v>
      </c>
      <c r="G23" s="974">
        <f>IF($F23=0,0,IF(SUM(Paramètres!$K$6:$K$45)&lt;&gt;Paramètres!$K$3,0,VLOOKUP(MATCH(1,Paramètres!$K$6:$K$45,0),LABO_Dark_Spells[#All],4)))</f>
        <v>0</v>
      </c>
      <c r="I23" s="7">
        <v>5</v>
      </c>
      <c r="J23" s="70">
        <f t="shared" si="17"/>
        <v>0</v>
      </c>
      <c r="K23" s="67">
        <f t="shared" si="18"/>
        <v>0</v>
      </c>
      <c r="L23" s="68">
        <f t="shared" si="19"/>
        <v>0</v>
      </c>
      <c r="M23" s="69">
        <f t="shared" si="20"/>
        <v>0</v>
      </c>
      <c r="N23" s="66">
        <f t="shared" si="21"/>
        <v>0</v>
      </c>
      <c r="O23" s="67">
        <f t="shared" si="22"/>
        <v>0</v>
      </c>
      <c r="Q23" s="13">
        <v>5</v>
      </c>
      <c r="R23" s="791">
        <v>1</v>
      </c>
      <c r="S23" s="37">
        <v>1</v>
      </c>
      <c r="T23" s="5">
        <v>1</v>
      </c>
      <c r="V23" s="13">
        <v>5</v>
      </c>
      <c r="W23" s="791">
        <v>0</v>
      </c>
      <c r="X23" s="37">
        <v>0</v>
      </c>
      <c r="Y23" s="5">
        <v>0</v>
      </c>
    </row>
    <row r="24" spans="1:67" x14ac:dyDescent="0.2">
      <c r="A24" s="7">
        <v>6</v>
      </c>
      <c r="B24" s="973">
        <f>IF(Paramètres!$M$46=0,0,VLOOKUP(Paramètres!$M$47,SPELLFACTORY_DarkSpells[#All],2))</f>
        <v>0</v>
      </c>
      <c r="C24" s="974">
        <f>IF($B24=0,0,IF(SUM(Paramètres!$K$6:$K$45)&lt;&gt;Paramètres!$K$3,0,VLOOKUP(MATCH(1,Paramètres!$K$6:$K$45,0),LABO_Dark_Spells[#All],2)))</f>
        <v>0</v>
      </c>
      <c r="D24" s="975">
        <f>IF(Paramètres!$M$46=0,0,VLOOKUP(Paramètres!$M$47,SPELLFACTORY_DarkSpells[#All],3))</f>
        <v>0</v>
      </c>
      <c r="E24" s="976">
        <f>IF($D24=0,0,IF(SUM(Paramètres!$K$6:$K$45)&lt;&gt;Paramètres!$K$3,0,VLOOKUP(MATCH(1,Paramètres!$K$6:$K$45,0),LABO_Dark_Spells[#All],3)))</f>
        <v>0</v>
      </c>
      <c r="F24" s="973">
        <f>IF(Paramètres!$M$46=0,0,VLOOKUP(Paramètres!$M$47,SPELLFACTORY_DarkSpells[#All],4))</f>
        <v>0</v>
      </c>
      <c r="G24" s="974">
        <f>IF($F24=0,0,IF(SUM(Paramètres!$K$6:$K$45)&lt;&gt;Paramètres!$K$3,0,VLOOKUP(MATCH(1,Paramètres!$K$6:$K$45,0),LABO_Dark_Spells[#All],4)))</f>
        <v>0</v>
      </c>
      <c r="I24" s="7">
        <v>6</v>
      </c>
      <c r="J24" s="70">
        <f t="shared" si="17"/>
        <v>0</v>
      </c>
      <c r="K24" s="67">
        <f t="shared" si="18"/>
        <v>0</v>
      </c>
      <c r="L24" s="68">
        <f t="shared" si="19"/>
        <v>0</v>
      </c>
      <c r="M24" s="69">
        <f t="shared" si="20"/>
        <v>0</v>
      </c>
      <c r="N24" s="66">
        <f t="shared" si="21"/>
        <v>0</v>
      </c>
      <c r="O24" s="67">
        <f t="shared" si="22"/>
        <v>0</v>
      </c>
      <c r="Q24" s="13">
        <v>6</v>
      </c>
      <c r="R24" s="790">
        <v>1</v>
      </c>
      <c r="S24" s="35">
        <v>1</v>
      </c>
      <c r="T24" s="6">
        <v>1</v>
      </c>
      <c r="V24" s="13">
        <v>6</v>
      </c>
      <c r="W24" s="790">
        <v>2</v>
      </c>
      <c r="X24" s="35">
        <v>2</v>
      </c>
      <c r="Y24" s="6">
        <v>0</v>
      </c>
    </row>
    <row r="25" spans="1:67" x14ac:dyDescent="0.2">
      <c r="A25" s="7">
        <v>7</v>
      </c>
      <c r="B25" s="973">
        <f>IF(Paramètres!$M$46=0,0,VLOOKUP(Paramètres!$M$47,SPELLFACTORY_DarkSpells[#All],2))</f>
        <v>0</v>
      </c>
      <c r="C25" s="974">
        <f>IF($B25=0,0,IF(SUM(Paramètres!$K$6:$K$45)&lt;&gt;Paramètres!$K$3,0,VLOOKUP(MATCH(1,Paramètres!$K$6:$K$45,0),LABO_Dark_Spells[#All],2)))</f>
        <v>0</v>
      </c>
      <c r="D25" s="975">
        <f>IF(Paramètres!$M$46=0,0,VLOOKUP(Paramètres!$M$47,SPELLFACTORY_DarkSpells[#All],3))</f>
        <v>0</v>
      </c>
      <c r="E25" s="976">
        <f>IF($D25=0,0,IF(SUM(Paramètres!$K$6:$K$45)&lt;&gt;Paramètres!$K$3,0,VLOOKUP(MATCH(1,Paramètres!$K$6:$K$45,0),LABO_Dark_Spells[#All],3)))</f>
        <v>0</v>
      </c>
      <c r="F25" s="973">
        <f>IF(Paramètres!$M$46=0,0,VLOOKUP(Paramètres!$M$47,SPELLFACTORY_DarkSpells[#All],4))</f>
        <v>0</v>
      </c>
      <c r="G25" s="974">
        <f>IF($F25=0,0,IF(SUM(Paramètres!$K$6:$K$45)&lt;&gt;Paramètres!$K$3,0,VLOOKUP(MATCH(1,Paramètres!$K$6:$K$45,0),LABO_Dark_Spells[#All],4)))</f>
        <v>0</v>
      </c>
      <c r="I25" s="7">
        <v>7</v>
      </c>
      <c r="J25" s="70">
        <f t="shared" si="17"/>
        <v>0</v>
      </c>
      <c r="K25" s="67">
        <f t="shared" si="18"/>
        <v>0</v>
      </c>
      <c r="L25" s="68">
        <f t="shared" si="19"/>
        <v>0</v>
      </c>
      <c r="M25" s="69">
        <f t="shared" si="20"/>
        <v>0</v>
      </c>
      <c r="N25" s="66">
        <f t="shared" si="21"/>
        <v>0</v>
      </c>
      <c r="O25" s="67">
        <f t="shared" si="22"/>
        <v>0</v>
      </c>
      <c r="V25" s="13">
        <v>7</v>
      </c>
      <c r="W25" s="791">
        <v>3</v>
      </c>
      <c r="X25" s="37">
        <v>3</v>
      </c>
      <c r="Y25" s="5">
        <v>2</v>
      </c>
    </row>
    <row r="26" spans="1:67" x14ac:dyDescent="0.2">
      <c r="A26" s="7">
        <v>8</v>
      </c>
      <c r="B26" s="973">
        <f>IF(Paramètres!$M$46=0,0,VLOOKUP(Paramètres!$M$47,SPELLFACTORY_DarkSpells[#All],2))</f>
        <v>0</v>
      </c>
      <c r="C26" s="974">
        <f>IF($B26=0,0,IF(SUM(Paramètres!$K$6:$K$45)&lt;&gt;Paramètres!$K$3,0,VLOOKUP(MATCH(1,Paramètres!$K$6:$K$45,0),LABO_Dark_Spells[#All],2)))</f>
        <v>0</v>
      </c>
      <c r="D26" s="975">
        <f>IF(Paramètres!$M$46=0,0,VLOOKUP(Paramètres!$M$47,SPELLFACTORY_DarkSpells[#All],3))</f>
        <v>0</v>
      </c>
      <c r="E26" s="976">
        <f>IF($D26=0,0,IF(SUM(Paramètres!$K$6:$K$45)&lt;&gt;Paramètres!$K$3,0,VLOOKUP(MATCH(1,Paramètres!$K$6:$K$45,0),LABO_Dark_Spells[#All],3)))</f>
        <v>0</v>
      </c>
      <c r="F26" s="973">
        <f>IF(Paramètres!$M$46=0,0,VLOOKUP(Paramètres!$M$47,SPELLFACTORY_DarkSpells[#All],4))</f>
        <v>0</v>
      </c>
      <c r="G26" s="974">
        <f>IF($F26=0,0,IF(SUM(Paramètres!$K$6:$K$45)&lt;&gt;Paramètres!$K$3,0,VLOOKUP(MATCH(1,Paramètres!$K$6:$K$45,0),LABO_Dark_Spells[#All],4)))</f>
        <v>0</v>
      </c>
      <c r="I26" s="7">
        <v>8</v>
      </c>
      <c r="J26" s="70">
        <f t="shared" si="17"/>
        <v>0</v>
      </c>
      <c r="K26" s="67">
        <f t="shared" si="18"/>
        <v>0</v>
      </c>
      <c r="L26" s="68">
        <f t="shared" si="19"/>
        <v>0</v>
      </c>
      <c r="M26" s="69">
        <f t="shared" si="20"/>
        <v>0</v>
      </c>
      <c r="N26" s="66">
        <f t="shared" si="21"/>
        <v>0</v>
      </c>
      <c r="O26" s="67">
        <f t="shared" si="22"/>
        <v>0</v>
      </c>
      <c r="V26" s="13">
        <v>8</v>
      </c>
      <c r="W26" s="790">
        <v>4</v>
      </c>
      <c r="X26" s="35">
        <v>4</v>
      </c>
      <c r="Y26" s="6">
        <v>4</v>
      </c>
    </row>
    <row r="27" spans="1:67" x14ac:dyDescent="0.2">
      <c r="A27" s="7">
        <v>9</v>
      </c>
      <c r="B27" s="973">
        <f>IF(Paramètres!$M$46=0,0,VLOOKUP(Paramètres!$M$47,SPELLFACTORY_DarkSpells[#All],2))</f>
        <v>0</v>
      </c>
      <c r="C27" s="974">
        <f>IF($B27=0,0,IF(SUM(Paramètres!$K$6:$K$45)&lt;&gt;Paramètres!$K$3,0,VLOOKUP(MATCH(1,Paramètres!$K$6:$K$45,0),LABO_Dark_Spells[#All],2)))</f>
        <v>0</v>
      </c>
      <c r="D27" s="975">
        <f>IF(Paramètres!$M$46=0,0,VLOOKUP(Paramètres!$M$47,SPELLFACTORY_DarkSpells[#All],3))</f>
        <v>0</v>
      </c>
      <c r="E27" s="976">
        <f>IF($D27=0,0,IF(SUM(Paramètres!$K$6:$K$45)&lt;&gt;Paramètres!$K$3,0,VLOOKUP(MATCH(1,Paramètres!$K$6:$K$45,0),LABO_Dark_Spells[#All],3)))</f>
        <v>0</v>
      </c>
      <c r="F27" s="973">
        <f>IF(Paramètres!$M$46=0,0,VLOOKUP(Paramètres!$M$47,SPELLFACTORY_DarkSpells[#All],4))</f>
        <v>0</v>
      </c>
      <c r="G27" s="974">
        <f>IF($F27=0,0,IF(SUM(Paramètres!$K$6:$K$45)&lt;&gt;Paramètres!$K$3,0,VLOOKUP(MATCH(1,Paramètres!$K$6:$K$45,0),LABO_Dark_Spells[#All],4)))</f>
        <v>0</v>
      </c>
      <c r="I27" s="7">
        <v>9</v>
      </c>
      <c r="J27" s="70">
        <f t="shared" si="17"/>
        <v>0</v>
      </c>
      <c r="K27" s="67">
        <f t="shared" si="18"/>
        <v>0</v>
      </c>
      <c r="L27" s="68">
        <f t="shared" si="19"/>
        <v>0</v>
      </c>
      <c r="M27" s="69">
        <f t="shared" si="20"/>
        <v>0</v>
      </c>
      <c r="N27" s="66">
        <f t="shared" si="21"/>
        <v>0</v>
      </c>
      <c r="O27" s="67">
        <f t="shared" si="22"/>
        <v>0</v>
      </c>
    </row>
    <row r="28" spans="1:67" ht="12" thickBot="1" x14ac:dyDescent="0.25">
      <c r="A28" s="8">
        <v>10</v>
      </c>
      <c r="B28" s="973">
        <f>IF(Paramètres!$M$46=0,0,VLOOKUP(Paramètres!$M$47,SPELLFACTORY_DarkSpells[#All],2))</f>
        <v>0</v>
      </c>
      <c r="C28" s="974">
        <f>IF($B28=0,0,IF(SUM(Paramètres!$K$6:$K$45)&lt;&gt;Paramètres!$K$3,0,VLOOKUP(MATCH(1,Paramètres!$K$6:$K$45,0),LABO_Dark_Spells[#All],2)))</f>
        <v>0</v>
      </c>
      <c r="D28" s="975">
        <f>IF(Paramètres!$M$46=0,0,VLOOKUP(Paramètres!$M$47,SPELLFACTORY_DarkSpells[#All],3))</f>
        <v>0</v>
      </c>
      <c r="E28" s="976">
        <f>IF($D28=0,0,IF(SUM(Paramètres!$K$6:$K$45)&lt;&gt;Paramètres!$K$3,0,VLOOKUP(MATCH(1,Paramètres!$K$6:$K$45,0),LABO_Dark_Spells[#All],3)))</f>
        <v>0</v>
      </c>
      <c r="F28" s="973">
        <f>IF(Paramètres!$M$46=0,0,VLOOKUP(Paramètres!$M$47,SPELLFACTORY_DarkSpells[#All],4))</f>
        <v>0</v>
      </c>
      <c r="G28" s="974">
        <f>IF($F28=0,0,IF(SUM(Paramètres!$K$6:$K$45)&lt;&gt;Paramètres!$K$3,0,VLOOKUP(MATCH(1,Paramètres!$K$6:$K$45,0),LABO_Dark_Spells[#All],4)))</f>
        <v>0</v>
      </c>
      <c r="I28" s="8">
        <v>10</v>
      </c>
      <c r="J28" s="70">
        <f t="shared" si="17"/>
        <v>0</v>
      </c>
      <c r="K28" s="67">
        <f t="shared" si="18"/>
        <v>0</v>
      </c>
      <c r="L28" s="68">
        <f t="shared" si="19"/>
        <v>0</v>
      </c>
      <c r="M28" s="69">
        <f t="shared" si="20"/>
        <v>0</v>
      </c>
      <c r="N28" s="66">
        <f t="shared" si="21"/>
        <v>0</v>
      </c>
      <c r="O28" s="67">
        <f t="shared" si="22"/>
        <v>0</v>
      </c>
    </row>
    <row r="30" spans="1:67" ht="12" thickBot="1" x14ac:dyDescent="0.25"/>
    <row r="31" spans="1:67" ht="30" customHeight="1" thickBot="1" x14ac:dyDescent="0.3">
      <c r="A31" s="1262" t="s">
        <v>402</v>
      </c>
      <c r="B31" s="1263"/>
      <c r="C31" s="1263"/>
      <c r="D31" s="1263"/>
      <c r="E31" s="1263"/>
      <c r="F31" s="1263"/>
      <c r="G31" s="1263"/>
      <c r="H31" s="1263"/>
      <c r="I31" s="1263"/>
      <c r="J31" s="1263"/>
      <c r="K31" s="1263"/>
      <c r="L31" s="1263"/>
      <c r="M31" s="1263"/>
      <c r="N31" s="1263"/>
      <c r="O31" s="1263"/>
      <c r="P31" s="1263"/>
      <c r="Q31" s="1263"/>
      <c r="R31" s="1263"/>
      <c r="S31" s="1263"/>
      <c r="T31" s="1263"/>
      <c r="U31" s="1264"/>
      <c r="W31" s="1262" t="s">
        <v>371</v>
      </c>
      <c r="X31" s="1263"/>
      <c r="Y31" s="1263"/>
      <c r="Z31" s="1263"/>
      <c r="AA31" s="1263"/>
      <c r="AB31" s="1263"/>
      <c r="AC31" s="1263"/>
      <c r="AD31" s="1263"/>
      <c r="AE31" s="1263"/>
      <c r="AF31" s="1263"/>
      <c r="AG31" s="1263"/>
      <c r="AH31" s="1263"/>
      <c r="AI31" s="1263"/>
      <c r="AJ31" s="1263"/>
      <c r="AK31" s="1263"/>
      <c r="AL31" s="1263"/>
      <c r="AM31" s="1263"/>
      <c r="AN31" s="1263"/>
      <c r="AO31" s="1263"/>
      <c r="AP31" s="1263"/>
      <c r="AQ31" s="1264"/>
      <c r="AS31" s="1262" t="s">
        <v>207</v>
      </c>
      <c r="AT31" s="1295"/>
      <c r="AU31" s="1295"/>
      <c r="AV31" s="1295"/>
      <c r="AW31" s="1295"/>
      <c r="AX31" s="1295"/>
      <c r="AY31" s="1297"/>
      <c r="AZ31" s="1297"/>
      <c r="BA31" s="1297"/>
      <c r="BB31" s="1297"/>
      <c r="BC31" s="1298"/>
      <c r="BE31" s="1262" t="s">
        <v>208</v>
      </c>
      <c r="BF31" s="1295"/>
      <c r="BG31" s="1295"/>
      <c r="BH31" s="1295"/>
      <c r="BI31" s="1295"/>
      <c r="BJ31" s="1295"/>
      <c r="BK31" s="1297"/>
      <c r="BL31" s="1297"/>
      <c r="BM31" s="1297"/>
      <c r="BN31" s="1297"/>
      <c r="BO31" s="1298"/>
    </row>
    <row r="32" spans="1:67" ht="34.5" thickBot="1" x14ac:dyDescent="0.25">
      <c r="A32" s="165" t="s">
        <v>291</v>
      </c>
      <c r="B32" s="17" t="s">
        <v>195</v>
      </c>
      <c r="C32" s="17" t="s">
        <v>15</v>
      </c>
      <c r="D32" s="17" t="s">
        <v>50</v>
      </c>
      <c r="E32" s="17" t="s">
        <v>21</v>
      </c>
      <c r="F32" s="17" t="s">
        <v>189</v>
      </c>
      <c r="G32" s="17" t="s">
        <v>22</v>
      </c>
      <c r="H32" s="17" t="s">
        <v>188</v>
      </c>
      <c r="I32" s="17" t="s">
        <v>23</v>
      </c>
      <c r="J32" s="17" t="s">
        <v>187</v>
      </c>
      <c r="K32" s="17" t="s">
        <v>24</v>
      </c>
      <c r="L32" s="17" t="s">
        <v>186</v>
      </c>
      <c r="M32" s="17" t="s">
        <v>25</v>
      </c>
      <c r="N32" s="17" t="s">
        <v>185</v>
      </c>
      <c r="O32" s="17" t="s">
        <v>26</v>
      </c>
      <c r="P32" s="17" t="s">
        <v>184</v>
      </c>
      <c r="Q32" s="17" t="s">
        <v>27</v>
      </c>
      <c r="R32" s="17" t="s">
        <v>57</v>
      </c>
      <c r="S32" s="17" t="s">
        <v>28</v>
      </c>
      <c r="T32" s="17" t="s">
        <v>58</v>
      </c>
      <c r="U32" s="58" t="s">
        <v>77</v>
      </c>
      <c r="W32" s="165" t="s">
        <v>291</v>
      </c>
      <c r="X32" s="17" t="s">
        <v>195</v>
      </c>
      <c r="Y32" s="17" t="s">
        <v>15</v>
      </c>
      <c r="Z32" s="17" t="s">
        <v>50</v>
      </c>
      <c r="AA32" s="17" t="s">
        <v>21</v>
      </c>
      <c r="AB32" s="17" t="s">
        <v>189</v>
      </c>
      <c r="AC32" s="17" t="s">
        <v>22</v>
      </c>
      <c r="AD32" s="17" t="s">
        <v>188</v>
      </c>
      <c r="AE32" s="17" t="s">
        <v>23</v>
      </c>
      <c r="AF32" s="17" t="s">
        <v>187</v>
      </c>
      <c r="AG32" s="17" t="s">
        <v>24</v>
      </c>
      <c r="AH32" s="17" t="s">
        <v>186</v>
      </c>
      <c r="AI32" s="17" t="s">
        <v>25</v>
      </c>
      <c r="AJ32" s="17" t="s">
        <v>185</v>
      </c>
      <c r="AK32" s="17" t="s">
        <v>26</v>
      </c>
      <c r="AL32" s="17" t="s">
        <v>184</v>
      </c>
      <c r="AM32" s="17" t="s">
        <v>27</v>
      </c>
      <c r="AN32" s="17" t="s">
        <v>57</v>
      </c>
      <c r="AO32" s="17" t="s">
        <v>28</v>
      </c>
      <c r="AP32" s="17" t="s">
        <v>58</v>
      </c>
      <c r="AQ32" s="58" t="s">
        <v>77</v>
      </c>
      <c r="AS32" s="12" t="s">
        <v>645</v>
      </c>
      <c r="AT32" s="17" t="s">
        <v>195</v>
      </c>
      <c r="AU32" s="17" t="s">
        <v>50</v>
      </c>
      <c r="AV32" s="17" t="s">
        <v>189</v>
      </c>
      <c r="AW32" s="17" t="s">
        <v>188</v>
      </c>
      <c r="AX32" s="17" t="s">
        <v>187</v>
      </c>
      <c r="AY32" s="668" t="s">
        <v>186</v>
      </c>
      <c r="AZ32" s="668" t="s">
        <v>185</v>
      </c>
      <c r="BA32" s="668" t="s">
        <v>184</v>
      </c>
      <c r="BB32" s="668" t="s">
        <v>57</v>
      </c>
      <c r="BC32" s="668" t="s">
        <v>58</v>
      </c>
      <c r="BE32" s="12" t="s">
        <v>616</v>
      </c>
      <c r="BF32" s="17" t="s">
        <v>195</v>
      </c>
      <c r="BG32" s="17" t="s">
        <v>50</v>
      </c>
      <c r="BH32" s="17" t="s">
        <v>189</v>
      </c>
      <c r="BI32" s="17" t="s">
        <v>188</v>
      </c>
      <c r="BJ32" s="17" t="s">
        <v>187</v>
      </c>
      <c r="BK32" s="668" t="s">
        <v>186</v>
      </c>
      <c r="BL32" s="668" t="s">
        <v>185</v>
      </c>
      <c r="BM32" s="668" t="s">
        <v>184</v>
      </c>
      <c r="BN32" s="668" t="s">
        <v>57</v>
      </c>
      <c r="BO32" s="668" t="s">
        <v>58</v>
      </c>
    </row>
    <row r="33" spans="1:67" x14ac:dyDescent="0.2">
      <c r="A33" s="52">
        <v>0</v>
      </c>
      <c r="B33" s="167">
        <f>IF(Paramètres!$H$46=0,0,VLOOKUP(Paramètres!$H$47,BARRACK_Normal_Troops[#All],2))</f>
        <v>0</v>
      </c>
      <c r="C33" s="9">
        <f>IF($B33=0,0,IF(SUM(Paramètres!$K$6:$K$45)&lt;&gt;Paramètres!$K$3,0,VLOOKUP(MATCH(1,Paramètres!$K$6:$K$45,0),LABO_Normal_Troops[#All],2)))</f>
        <v>0</v>
      </c>
      <c r="D33" s="172">
        <f>IF(Paramètres!$H$46=0,0,VLOOKUP(Paramètres!$H$47,BARRACK_Normal_Troops[#All],3))</f>
        <v>0</v>
      </c>
      <c r="E33" s="36">
        <f>IF($D33=0,0,IF(SUM(Paramètres!$K$6:$K$45)&lt;&gt;Paramètres!$K$3,0,VLOOKUP(MATCH(1,Paramètres!$K$6:$K$45,0),LABO_Normal_Troops[#All],3)))</f>
        <v>0</v>
      </c>
      <c r="F33" s="167">
        <f>IF(Paramètres!$H$46=0,0,VLOOKUP(Paramètres!$H$47,BARRACK_Normal_Troops[#All],4))</f>
        <v>0</v>
      </c>
      <c r="G33" s="9">
        <f>IF($F33=0,0,IF(SUM(Paramètres!$K$6:$K$45)&lt;&gt;Paramètres!$K$3,0,VLOOKUP(MATCH(1,Paramètres!$K$6:$K$45,0),LABO_Normal_Troops[#All],4)))</f>
        <v>0</v>
      </c>
      <c r="H33" s="172">
        <f>IF(Paramètres!$H$46=0,0,VLOOKUP(Paramètres!$H$47,BARRACK_Normal_Troops[#All],5))</f>
        <v>0</v>
      </c>
      <c r="I33" s="36">
        <f>IF($H33=0,0,IF(SUM(Paramètres!$K$6:$K$45)&lt;&gt;Paramètres!$K$3,0,VLOOKUP(MATCH(1,Paramètres!$K$6:$K$45,0),LABO_Normal_Troops[#All],5)))</f>
        <v>0</v>
      </c>
      <c r="J33" s="167">
        <f>IF(Paramètres!$H$46=0,0,VLOOKUP(Paramètres!$H$47,BARRACK_Normal_Troops[#All],6))</f>
        <v>0</v>
      </c>
      <c r="K33" s="9">
        <f>IF($J33=0,0,IF(SUM(Paramètres!$K$6:$K$45)&lt;&gt;Paramètres!$K$3,0,VLOOKUP(MATCH(1,Paramètres!$K$6:$K$45,0),LABO_Normal_Troops[#All],6)))</f>
        <v>0</v>
      </c>
      <c r="L33" s="172">
        <f>IF(Paramètres!$H$46=0,0,VLOOKUP(Paramètres!$H$47,BARRACK_Normal_Troops[#All],7))</f>
        <v>0</v>
      </c>
      <c r="M33" s="36">
        <f>IF($L33=0,0,IF(SUM(Paramètres!$K$6:$K$45)&lt;&gt;Paramètres!$K$3,0,VLOOKUP(MATCH(1,Paramètres!$K$6:$K$45,0),LABO_Normal_Troops[#All],7)))</f>
        <v>0</v>
      </c>
      <c r="N33" s="167">
        <f>IF(Paramètres!$H$46=0,0,VLOOKUP(Paramètres!$H$47,BARRACK_Normal_Troops[#All],8))</f>
        <v>0</v>
      </c>
      <c r="O33" s="9">
        <f>IF($N33=0,0,IF(SUM(Paramètres!$K$6:$K$45)&lt;&gt;Paramètres!$K$3,0,VLOOKUP(MATCH(1,Paramètres!$K$6:$K$45,0),LABO_Normal_Troops[#All],8)))</f>
        <v>0</v>
      </c>
      <c r="P33" s="172">
        <f>IF(Paramètres!$H$46=0,0,VLOOKUP(Paramètres!$H$47,BARRACK_Normal_Troops[#All],9))</f>
        <v>0</v>
      </c>
      <c r="Q33" s="36">
        <f>IF($P33=0,0,IF(SUM(Paramètres!$K$6:$K$45)&lt;&gt;Paramètres!$K$3,0,VLOOKUP(MATCH(1,Paramètres!$K$6:$K$45,0),LABO_Normal_Troops[#All],9)))</f>
        <v>0</v>
      </c>
      <c r="R33" s="167">
        <f>IF(Paramètres!$H$46=0,0,VLOOKUP(Paramètres!$H$47,BARRACK_Normal_Troops[#All],10))</f>
        <v>0</v>
      </c>
      <c r="S33" s="9">
        <f>IF($R33=0,0,IF(SUM(Paramètres!$K$6:$K$45)&lt;&gt;Paramètres!$K$3,0,VLOOKUP(MATCH(1,Paramètres!$K$6:$K$45,0),LABO_Normal_Troops[#All],10)))</f>
        <v>0</v>
      </c>
      <c r="T33" s="172">
        <f>IF(Paramètres!$H$46=0,0,VLOOKUP(Paramètres!$H$47,BARRACK_Normal_Troops[#All],11))</f>
        <v>0</v>
      </c>
      <c r="U33" s="36">
        <f>IF($T33=0,0,IF(SUM(Paramètres!$K$6:$K$45)&lt;&gt;Paramètres!$K$3,0,VLOOKUP(MATCH(1,Paramètres!$K$6:$K$45,0),LABO_Normal_Troops[#All],11)))</f>
        <v>0</v>
      </c>
      <c r="W33" s="52">
        <v>0</v>
      </c>
      <c r="X33" s="169">
        <f>'Améliorations - Sorts &amp; Troupes'!B33</f>
        <v>0</v>
      </c>
      <c r="Y33" s="170">
        <f>'Améliorations - Sorts &amp; Troupes'!C33</f>
        <v>0</v>
      </c>
      <c r="Z33" s="174">
        <f>'Améliorations - Sorts &amp; Troupes'!D33</f>
        <v>0</v>
      </c>
      <c r="AA33" s="175">
        <f>'Améliorations - Sorts &amp; Troupes'!E33</f>
        <v>0</v>
      </c>
      <c r="AB33" s="171">
        <f>'Améliorations - Sorts &amp; Troupes'!F33</f>
        <v>0</v>
      </c>
      <c r="AC33" s="170">
        <f>'Améliorations - Sorts &amp; Troupes'!G33</f>
        <v>0</v>
      </c>
      <c r="AD33" s="174">
        <f>'Améliorations - Sorts &amp; Troupes'!H33</f>
        <v>0</v>
      </c>
      <c r="AE33" s="175">
        <f>'Améliorations - Sorts &amp; Troupes'!I33</f>
        <v>0</v>
      </c>
      <c r="AF33" s="171">
        <f>'Améliorations - Sorts &amp; Troupes'!J33</f>
        <v>0</v>
      </c>
      <c r="AG33" s="170">
        <f>'Améliorations - Sorts &amp; Troupes'!K33</f>
        <v>0</v>
      </c>
      <c r="AH33" s="174">
        <f>'Améliorations - Sorts &amp; Troupes'!L33</f>
        <v>0</v>
      </c>
      <c r="AI33" s="175">
        <f>'Améliorations - Sorts &amp; Troupes'!M33</f>
        <v>0</v>
      </c>
      <c r="AJ33" s="171">
        <f>'Améliorations - Sorts &amp; Troupes'!N33</f>
        <v>0</v>
      </c>
      <c r="AK33" s="170">
        <f>'Améliorations - Sorts &amp; Troupes'!O33</f>
        <v>0</v>
      </c>
      <c r="AL33" s="174">
        <f>'Améliorations - Sorts &amp; Troupes'!P33</f>
        <v>0</v>
      </c>
      <c r="AM33" s="175">
        <f>'Améliorations - Sorts &amp; Troupes'!Q34</f>
        <v>0</v>
      </c>
      <c r="AN33" s="171">
        <f>'Améliorations - Sorts &amp; Troupes'!R33</f>
        <v>0</v>
      </c>
      <c r="AO33" s="170">
        <f>'Améliorations - Sorts &amp; Troupes'!S33</f>
        <v>0</v>
      </c>
      <c r="AP33" s="174">
        <f>'Améliorations - Sorts &amp; Troupes'!T33</f>
        <v>0</v>
      </c>
      <c r="AQ33" s="176">
        <f>'Améliorations - Sorts &amp; Troupes'!U33</f>
        <v>0</v>
      </c>
      <c r="AS33" s="13">
        <v>0</v>
      </c>
      <c r="AT33" s="790">
        <v>0</v>
      </c>
      <c r="AU33" s="35">
        <v>0</v>
      </c>
      <c r="AV33" s="6">
        <v>0</v>
      </c>
      <c r="AW33" s="37">
        <v>0</v>
      </c>
      <c r="AX33" s="47">
        <v>0</v>
      </c>
      <c r="AY33" s="35">
        <v>0</v>
      </c>
      <c r="AZ33" s="6">
        <v>0</v>
      </c>
      <c r="BA33" s="35">
        <v>0</v>
      </c>
      <c r="BB33" s="6">
        <v>0</v>
      </c>
      <c r="BC33" s="35">
        <v>0</v>
      </c>
      <c r="BE33" s="13">
        <v>0</v>
      </c>
      <c r="BF33" s="790">
        <v>0</v>
      </c>
      <c r="BG33" s="35">
        <v>0</v>
      </c>
      <c r="BH33" s="6">
        <v>0</v>
      </c>
      <c r="BI33" s="35">
        <v>0</v>
      </c>
      <c r="BJ33" s="47">
        <v>0</v>
      </c>
      <c r="BK33" s="173">
        <v>0</v>
      </c>
      <c r="BL33" s="168">
        <v>0</v>
      </c>
      <c r="BM33" s="173">
        <v>0</v>
      </c>
      <c r="BN33" s="168">
        <v>0</v>
      </c>
      <c r="BO33" s="173">
        <v>0</v>
      </c>
    </row>
    <row r="34" spans="1:67" x14ac:dyDescent="0.2">
      <c r="A34" s="166">
        <v>1</v>
      </c>
      <c r="B34" s="11">
        <f>IF(Paramètres!$H$46=0,0,VLOOKUP(Paramètres!$H$47,BARRACK_Normal_Troops[#All],2))</f>
        <v>0</v>
      </c>
      <c r="C34" s="9">
        <f>IF($B34=0,0,IF(SUM(Paramètres!$K$6:$K$45)&lt;&gt;Paramètres!$K$3,0,VLOOKUP(MATCH(1,Paramètres!$K$6:$K$45,0),LABO_Normal_Troops[#All],2)))</f>
        <v>0</v>
      </c>
      <c r="D34" s="10">
        <f>IF(Paramètres!$H$46=0,0,VLOOKUP(Paramètres!$H$47,BARRACK_Normal_Troops[#All],3))</f>
        <v>0</v>
      </c>
      <c r="E34" s="36">
        <f>IF($D34=0,0,IF(SUM(Paramètres!$K$6:$K$45)&lt;&gt;Paramètres!$K$3,0,VLOOKUP(MATCH(1,Paramètres!$K$6:$K$45,0),LABO_Normal_Troops[#All],3)))</f>
        <v>0</v>
      </c>
      <c r="F34" s="11">
        <f>IF(Paramètres!$H$46=0,0,VLOOKUP(Paramètres!$H$47,BARRACK_Normal_Troops[#All],4))</f>
        <v>0</v>
      </c>
      <c r="G34" s="9">
        <f>IF($F34=0,0,IF(SUM(Paramètres!$K$6:$K$45)&lt;&gt;Paramètres!$K$3,0,VLOOKUP(MATCH(1,Paramètres!$K$6:$K$45,0),LABO_Normal_Troops[#All],4)))</f>
        <v>0</v>
      </c>
      <c r="H34" s="10">
        <f>IF(Paramètres!$H$46=0,0,VLOOKUP(Paramètres!$H$47,BARRACK_Normal_Troops[#All],5))</f>
        <v>0</v>
      </c>
      <c r="I34" s="173">
        <f>IF($H34=0,0,IF(SUM(Paramètres!$K$6:$K$45)&lt;&gt;Paramètres!$K$3,0,VLOOKUP(MATCH(1,Paramètres!$K$6:$K$45,0),LABO_Normal_Troops[#All],5)))</f>
        <v>0</v>
      </c>
      <c r="J34" s="11">
        <f>IF(Paramètres!$H$46=0,0,VLOOKUP(Paramètres!$H$47,BARRACK_Normal_Troops[#All],6))</f>
        <v>0</v>
      </c>
      <c r="K34" s="168">
        <f>IF($J34=0,0,IF(SUM(Paramètres!$K$6:$K$45)&lt;&gt;Paramètres!$K$3,0,VLOOKUP(MATCH(1,Paramètres!$K$6:$K$45,0),LABO_Normal_Troops[#All],6)))</f>
        <v>0</v>
      </c>
      <c r="L34" s="10">
        <f>IF(Paramètres!$H$46=0,0,VLOOKUP(Paramètres!$H$47,BARRACK_Normal_Troops[#All],7))</f>
        <v>0</v>
      </c>
      <c r="M34" s="173">
        <f>IF($L34=0,0,IF(SUM(Paramètres!$K$6:$K$45)&lt;&gt;Paramètres!$K$3,0,VLOOKUP(MATCH(1,Paramètres!$K$6:$K$45,0),LABO_Normal_Troops[#All],7)))</f>
        <v>0</v>
      </c>
      <c r="N34" s="11">
        <f>IF(Paramètres!$H$46=0,0,VLOOKUP(Paramètres!$H$47,BARRACK_Normal_Troops[#All],8))</f>
        <v>0</v>
      </c>
      <c r="O34" s="168">
        <f>IF($N34=0,0,IF(SUM(Paramètres!$K$6:$K$45)&lt;&gt;Paramètres!$K$3,0,VLOOKUP(MATCH(1,Paramètres!$K$6:$K$45,0),LABO_Normal_Troops[#All],8)))</f>
        <v>0</v>
      </c>
      <c r="P34" s="10">
        <f>IF(Paramètres!$H$46=0,0,VLOOKUP(Paramètres!$H$47,BARRACK_Normal_Troops[#All],9))</f>
        <v>0</v>
      </c>
      <c r="Q34" s="173">
        <f>IF($P34=0,0,IF(SUM(Paramètres!$K$6:$K$45)&lt;&gt;Paramètres!$K$3,0,VLOOKUP(MATCH(1,Paramètres!$K$6:$K$45,0),LABO_Normal_Troops[#All],9)))</f>
        <v>0</v>
      </c>
      <c r="R34" s="11">
        <f>IF(Paramètres!$H$46=0,0,VLOOKUP(Paramètres!$H$47,BARRACK_Normal_Troops[#All],10))</f>
        <v>0</v>
      </c>
      <c r="S34" s="9">
        <f>IF($R34=0,0,IF(SUM(Paramètres!$K$6:$K$45)&lt;&gt;Paramètres!$K$3,0,VLOOKUP(MATCH(1,Paramètres!$K$6:$K$45,0),LABO_Normal_Troops[#All],10)))</f>
        <v>0</v>
      </c>
      <c r="T34" s="172">
        <f>IF(Paramètres!$H$46=0,0,VLOOKUP(Paramètres!$H$47,BARRACK_Normal_Troops[#All],11))</f>
        <v>0</v>
      </c>
      <c r="U34" s="173">
        <f>IF($T34=0,0,IF(SUM(Paramètres!$K$6:$K$45)&lt;&gt;Paramètres!$K$3,0,VLOOKUP(MATCH(1,Paramètres!$K$6:$K$45,0),LABO_Normal_Troops[#All],11)))</f>
        <v>0</v>
      </c>
      <c r="W34" s="166">
        <v>1</v>
      </c>
      <c r="X34" s="169">
        <f>B34-B33</f>
        <v>0</v>
      </c>
      <c r="Y34" s="170">
        <f>C34-C33</f>
        <v>0</v>
      </c>
      <c r="Z34" s="174">
        <f t="shared" ref="Z34:AQ43" si="23">D34-D33</f>
        <v>0</v>
      </c>
      <c r="AA34" s="175">
        <f t="shared" si="23"/>
        <v>0</v>
      </c>
      <c r="AB34" s="171">
        <f t="shared" si="23"/>
        <v>0</v>
      </c>
      <c r="AC34" s="170">
        <f t="shared" si="23"/>
        <v>0</v>
      </c>
      <c r="AD34" s="174">
        <f t="shared" si="23"/>
        <v>0</v>
      </c>
      <c r="AE34" s="175">
        <f t="shared" si="23"/>
        <v>0</v>
      </c>
      <c r="AF34" s="171">
        <f t="shared" si="23"/>
        <v>0</v>
      </c>
      <c r="AG34" s="170">
        <f t="shared" si="23"/>
        <v>0</v>
      </c>
      <c r="AH34" s="174">
        <f t="shared" si="23"/>
        <v>0</v>
      </c>
      <c r="AI34" s="175">
        <f t="shared" si="23"/>
        <v>0</v>
      </c>
      <c r="AJ34" s="171">
        <f t="shared" si="23"/>
        <v>0</v>
      </c>
      <c r="AK34" s="170">
        <f t="shared" si="23"/>
        <v>0</v>
      </c>
      <c r="AL34" s="174">
        <f t="shared" si="23"/>
        <v>0</v>
      </c>
      <c r="AM34" s="175">
        <f t="shared" si="23"/>
        <v>0</v>
      </c>
      <c r="AN34" s="171">
        <f t="shared" si="23"/>
        <v>0</v>
      </c>
      <c r="AO34" s="170">
        <f t="shared" si="23"/>
        <v>0</v>
      </c>
      <c r="AP34" s="174">
        <f t="shared" si="23"/>
        <v>0</v>
      </c>
      <c r="AQ34" s="176">
        <f t="shared" si="23"/>
        <v>0</v>
      </c>
      <c r="AS34" s="13">
        <v>1</v>
      </c>
      <c r="AT34" s="791">
        <v>1</v>
      </c>
      <c r="AU34" s="37">
        <v>0</v>
      </c>
      <c r="AV34" s="6">
        <v>0</v>
      </c>
      <c r="AW34" s="37">
        <v>0</v>
      </c>
      <c r="AX34" s="47">
        <v>0</v>
      </c>
      <c r="AY34" s="35">
        <v>0</v>
      </c>
      <c r="AZ34" s="6">
        <v>0</v>
      </c>
      <c r="BA34" s="35">
        <v>0</v>
      </c>
      <c r="BB34" s="6">
        <v>0</v>
      </c>
      <c r="BC34" s="35">
        <v>0</v>
      </c>
      <c r="BE34" s="13">
        <v>1</v>
      </c>
      <c r="BF34" s="791">
        <v>2</v>
      </c>
      <c r="BG34" s="37">
        <v>2</v>
      </c>
      <c r="BH34" s="5">
        <v>2</v>
      </c>
      <c r="BI34" s="37">
        <v>1</v>
      </c>
      <c r="BJ34" s="46">
        <v>1</v>
      </c>
      <c r="BK34" s="35">
        <v>1</v>
      </c>
      <c r="BL34" s="6">
        <v>1</v>
      </c>
      <c r="BM34" s="35">
        <v>1</v>
      </c>
      <c r="BN34" s="6">
        <v>1</v>
      </c>
      <c r="BO34" s="35">
        <v>1</v>
      </c>
    </row>
    <row r="35" spans="1:67" x14ac:dyDescent="0.2">
      <c r="A35" s="7">
        <v>2</v>
      </c>
      <c r="B35" s="2">
        <f>IF(Paramètres!$H$46=0,0,VLOOKUP(Paramètres!$H$47,BARRACK_Normal_Troops[#All],2))</f>
        <v>0</v>
      </c>
      <c r="C35" s="9">
        <f>IF($B35=0,0,IF(SUM(Paramètres!$K$6:$K$45)&lt;&gt;Paramètres!$K$3,0,VLOOKUP(MATCH(1,Paramètres!$K$6:$K$45,0),LABO_Normal_Troops[#All],2)))</f>
        <v>0</v>
      </c>
      <c r="D35" s="4">
        <f>IF(Paramètres!$H$46=0,0,VLOOKUP(Paramètres!$H$47,BARRACK_Normal_Troops[#All],3))</f>
        <v>0</v>
      </c>
      <c r="E35" s="36">
        <f>IF($D35=0,0,IF(SUM(Paramètres!$K$6:$K$45)&lt;&gt;Paramètres!$K$3,0,VLOOKUP(MATCH(1,Paramètres!$K$6:$K$45,0),LABO_Normal_Troops[#All],3)))</f>
        <v>0</v>
      </c>
      <c r="F35" s="2">
        <f>IF(Paramètres!$H$46=0,0,VLOOKUP(Paramètres!$H$47,BARRACK_Normal_Troops[#All],4))</f>
        <v>0</v>
      </c>
      <c r="G35" s="9">
        <f>IF($F35=0,0,IF(SUM(Paramètres!$K$6:$K$45)&lt;&gt;Paramètres!$K$3,0,VLOOKUP(MATCH(1,Paramètres!$K$6:$K$45,0),LABO_Normal_Troops[#All],4)))</f>
        <v>0</v>
      </c>
      <c r="H35" s="4">
        <f>IF(Paramètres!$H$46=0,0,VLOOKUP(Paramètres!$H$47,BARRACK_Normal_Troops[#All],5))</f>
        <v>0</v>
      </c>
      <c r="I35" s="36">
        <f>IF($H35=0,0,IF(SUM(Paramètres!$K$6:$K$45)&lt;&gt;Paramètres!$K$3,0,VLOOKUP(MATCH(1,Paramètres!$K$6:$K$45,0),LABO_Normal_Troops[#All],5)))</f>
        <v>0</v>
      </c>
      <c r="J35" s="2">
        <f>IF(Paramètres!$H$46=0,0,VLOOKUP(Paramètres!$H$47,BARRACK_Normal_Troops[#All],6))</f>
        <v>0</v>
      </c>
      <c r="K35" s="9">
        <f>IF($J35=0,0,IF(SUM(Paramètres!$K$6:$K$45)&lt;&gt;Paramètres!$K$3,0,VLOOKUP(MATCH(1,Paramètres!$K$6:$K$45,0),LABO_Normal_Troops[#All],6)))</f>
        <v>0</v>
      </c>
      <c r="L35" s="4">
        <f>IF(Paramètres!$H$46=0,0,VLOOKUP(Paramètres!$H$47,BARRACK_Normal_Troops[#All],7))</f>
        <v>0</v>
      </c>
      <c r="M35" s="36">
        <f>IF($L35=0,0,IF(SUM(Paramètres!$K$6:$K$45)&lt;&gt;Paramètres!$K$3,0,VLOOKUP(MATCH(1,Paramètres!$K$6:$K$45,0),LABO_Normal_Troops[#All],7)))</f>
        <v>0</v>
      </c>
      <c r="N35" s="2">
        <f>IF(Paramètres!$H$46=0,0,VLOOKUP(Paramètres!$H$47,BARRACK_Normal_Troops[#All],8))</f>
        <v>0</v>
      </c>
      <c r="O35" s="168">
        <f>IF($N35=0,0,IF(SUM(Paramètres!$K$6:$K$45)&lt;&gt;Paramètres!$K$3,0,VLOOKUP(MATCH(1,Paramètres!$K$6:$K$45,0),LABO_Normal_Troops[#All],8)))</f>
        <v>0</v>
      </c>
      <c r="P35" s="4">
        <f>IF(Paramètres!$H$46=0,0,VLOOKUP(Paramètres!$H$47,BARRACK_Normal_Troops[#All],9))</f>
        <v>0</v>
      </c>
      <c r="Q35" s="36">
        <f>IF($P35=0,0,IF(SUM(Paramètres!$K$6:$K$45)&lt;&gt;Paramètres!$K$3,0,VLOOKUP(MATCH(1,Paramètres!$K$6:$K$45,0),LABO_Normal_Troops[#All],9)))</f>
        <v>0</v>
      </c>
      <c r="R35" s="2">
        <f>IF(Paramètres!$H$46=0,0,VLOOKUP(Paramètres!$H$47,BARRACK_Normal_Troops[#All],10))</f>
        <v>0</v>
      </c>
      <c r="S35" s="6">
        <f>IF($R35=0,0,IF(SUM(Paramètres!$K$6:$K$45)&lt;&gt;Paramètres!$K$3,0,VLOOKUP(MATCH(1,Paramètres!$K$6:$K$45,0),LABO_Normal_Troops[#All],10)))</f>
        <v>0</v>
      </c>
      <c r="T35" s="172">
        <f>IF(Paramètres!$H$46=0,0,VLOOKUP(Paramètres!$H$47,BARRACK_Normal_Troops[#All],11))</f>
        <v>0</v>
      </c>
      <c r="U35" s="173">
        <f>IF($T35=0,0,IF(SUM(Paramètres!$K$6:$K$45)&lt;&gt;Paramètres!$K$3,0,VLOOKUP(MATCH(1,Paramètres!$K$6:$K$45,0),LABO_Normal_Troops[#All],11)))</f>
        <v>0</v>
      </c>
      <c r="W35" s="7">
        <v>2</v>
      </c>
      <c r="X35" s="169">
        <f t="shared" ref="X35:Y43" si="24">B35-B34</f>
        <v>0</v>
      </c>
      <c r="Y35" s="170">
        <f t="shared" si="24"/>
        <v>0</v>
      </c>
      <c r="Z35" s="174">
        <f t="shared" si="23"/>
        <v>0</v>
      </c>
      <c r="AA35" s="175">
        <f t="shared" si="23"/>
        <v>0</v>
      </c>
      <c r="AB35" s="171">
        <f t="shared" si="23"/>
        <v>0</v>
      </c>
      <c r="AC35" s="170">
        <f t="shared" si="23"/>
        <v>0</v>
      </c>
      <c r="AD35" s="174">
        <f t="shared" si="23"/>
        <v>0</v>
      </c>
      <c r="AE35" s="175">
        <f t="shared" si="23"/>
        <v>0</v>
      </c>
      <c r="AF35" s="171">
        <f t="shared" si="23"/>
        <v>0</v>
      </c>
      <c r="AG35" s="170">
        <f t="shared" si="23"/>
        <v>0</v>
      </c>
      <c r="AH35" s="174">
        <f t="shared" si="23"/>
        <v>0</v>
      </c>
      <c r="AI35" s="175">
        <f t="shared" si="23"/>
        <v>0</v>
      </c>
      <c r="AJ35" s="171">
        <f t="shared" si="23"/>
        <v>0</v>
      </c>
      <c r="AK35" s="170">
        <f t="shared" si="23"/>
        <v>0</v>
      </c>
      <c r="AL35" s="174">
        <f t="shared" si="23"/>
        <v>0</v>
      </c>
      <c r="AM35" s="175">
        <f t="shared" si="23"/>
        <v>0</v>
      </c>
      <c r="AN35" s="171">
        <f t="shared" si="23"/>
        <v>0</v>
      </c>
      <c r="AO35" s="170">
        <f t="shared" si="23"/>
        <v>0</v>
      </c>
      <c r="AP35" s="174">
        <f t="shared" si="23"/>
        <v>0</v>
      </c>
      <c r="AQ35" s="176">
        <f t="shared" si="23"/>
        <v>0</v>
      </c>
      <c r="AS35" s="13">
        <v>2</v>
      </c>
      <c r="AT35" s="790">
        <v>1</v>
      </c>
      <c r="AU35" s="35">
        <v>1</v>
      </c>
      <c r="AV35" s="6">
        <v>0</v>
      </c>
      <c r="AW35" s="37">
        <v>0</v>
      </c>
      <c r="AX35" s="47">
        <v>0</v>
      </c>
      <c r="AY35" s="35">
        <v>0</v>
      </c>
      <c r="AZ35" s="6">
        <v>0</v>
      </c>
      <c r="BA35" s="35">
        <v>0</v>
      </c>
      <c r="BB35" s="6">
        <v>0</v>
      </c>
      <c r="BC35" s="35">
        <v>0</v>
      </c>
      <c r="BE35" s="13">
        <v>2</v>
      </c>
      <c r="BF35" s="790">
        <v>2</v>
      </c>
      <c r="BG35" s="35">
        <v>2</v>
      </c>
      <c r="BH35" s="6">
        <v>2</v>
      </c>
      <c r="BI35" s="35">
        <v>2</v>
      </c>
      <c r="BJ35" s="47">
        <v>2</v>
      </c>
      <c r="BK35" s="35">
        <v>2</v>
      </c>
      <c r="BL35" s="6">
        <v>1</v>
      </c>
      <c r="BM35" s="35">
        <v>1</v>
      </c>
      <c r="BN35" s="6">
        <v>1</v>
      </c>
      <c r="BO35" s="35">
        <v>1</v>
      </c>
    </row>
    <row r="36" spans="1:67" x14ac:dyDescent="0.2">
      <c r="A36" s="7">
        <v>3</v>
      </c>
      <c r="B36" s="1">
        <f>IF(Paramètres!$H$46=0,0,VLOOKUP(Paramètres!$H$47,BARRACK_Normal_Troops[#All],2))</f>
        <v>0</v>
      </c>
      <c r="C36" s="9">
        <f>IF($B36=0,0,IF(SUM(Paramètres!$K$6:$K$45)&lt;&gt;Paramètres!$K$3,0,VLOOKUP(MATCH(1,Paramètres!$K$6:$K$45,0),LABO_Normal_Troops[#All],2)))</f>
        <v>0</v>
      </c>
      <c r="D36" s="3">
        <f>IF(Paramètres!$H$46=0,0,VLOOKUP(Paramètres!$H$47,BARRACK_Normal_Troops[#All],3))</f>
        <v>0</v>
      </c>
      <c r="E36" s="36">
        <f>IF($D36=0,0,IF(SUM(Paramètres!$K$6:$K$45)&lt;&gt;Paramètres!$K$3,0,VLOOKUP(MATCH(1,Paramètres!$K$6:$K$45,0),LABO_Normal_Troops[#All],3)))</f>
        <v>0</v>
      </c>
      <c r="F36" s="1">
        <f>IF(Paramètres!$H$46=0,0,VLOOKUP(Paramètres!$H$47,BARRACK_Normal_Troops[#All],4))</f>
        <v>0</v>
      </c>
      <c r="G36" s="9">
        <f>IF($F36=0,0,IF(SUM(Paramètres!$K$6:$K$45)&lt;&gt;Paramètres!$K$3,0,VLOOKUP(MATCH(1,Paramètres!$K$6:$K$45,0),LABO_Normal_Troops[#All],4)))</f>
        <v>0</v>
      </c>
      <c r="H36" s="3">
        <f>IF(Paramètres!$H$46=0,0,VLOOKUP(Paramètres!$H$47,BARRACK_Normal_Troops[#All],5))</f>
        <v>0</v>
      </c>
      <c r="I36" s="36">
        <f>IF($H36=0,0,IF(SUM(Paramètres!$K$6:$K$45)&lt;&gt;Paramètres!$K$3,0,VLOOKUP(MATCH(1,Paramètres!$K$6:$K$45,0),LABO_Normal_Troops[#All],5)))</f>
        <v>0</v>
      </c>
      <c r="J36" s="1">
        <f>IF(Paramètres!$H$46=0,0,VLOOKUP(Paramètres!$H$47,BARRACK_Normal_Troops[#All],6))</f>
        <v>0</v>
      </c>
      <c r="K36" s="9">
        <f>IF($J36=0,0,IF(SUM(Paramètres!$K$6:$K$45)&lt;&gt;Paramètres!$K$3,0,VLOOKUP(MATCH(1,Paramètres!$K$6:$K$45,0),LABO_Normal_Troops[#All],6)))</f>
        <v>0</v>
      </c>
      <c r="L36" s="3">
        <f>IF(Paramètres!$H$46=0,0,VLOOKUP(Paramètres!$H$47,BARRACK_Normal_Troops[#All],7))</f>
        <v>0</v>
      </c>
      <c r="M36" s="36">
        <f>IF($L36=0,0,IF(SUM(Paramètres!$K$6:$K$45)&lt;&gt;Paramètres!$K$3,0,VLOOKUP(MATCH(1,Paramètres!$K$6:$K$45,0),LABO_Normal_Troops[#All],7)))</f>
        <v>0</v>
      </c>
      <c r="N36" s="1">
        <f>IF(Paramètres!$H$46=0,0,VLOOKUP(Paramètres!$H$47,BARRACK_Normal_Troops[#All],8))</f>
        <v>0</v>
      </c>
      <c r="O36" s="9">
        <f>IF($N36=0,0,IF(SUM(Paramètres!$K$6:$K$45)&lt;&gt;Paramètres!$K$3,0,VLOOKUP(MATCH(1,Paramètres!$K$6:$K$45,0),LABO_Normal_Troops[#All],8)))</f>
        <v>0</v>
      </c>
      <c r="P36" s="3">
        <f>IF(Paramètres!$H$46=0,0,VLOOKUP(Paramètres!$H$47,BARRACK_Normal_Troops[#All],9))</f>
        <v>0</v>
      </c>
      <c r="Q36" s="35">
        <f>IF($P36=0,0,IF(SUM(Paramètres!$K$6:$K$45)&lt;&gt;Paramètres!$K$3,0,VLOOKUP(MATCH(1,Paramètres!$K$6:$K$45,0),LABO_Normal_Troops[#All],9)))</f>
        <v>0</v>
      </c>
      <c r="R36" s="1">
        <f>IF(Paramètres!$H$46=0,0,VLOOKUP(Paramètres!$H$47,BARRACK_Normal_Troops[#All],10))</f>
        <v>0</v>
      </c>
      <c r="S36" s="5">
        <f>IF($R36=0,0,IF(SUM(Paramètres!$K$6:$K$45)&lt;&gt;Paramètres!$K$3,0,VLOOKUP(MATCH(1,Paramètres!$K$6:$K$45,0),LABO_Normal_Troops[#All],10)))</f>
        <v>0</v>
      </c>
      <c r="T36" s="172">
        <f>IF(Paramètres!$H$46=0,0,VLOOKUP(Paramètres!$H$47,BARRACK_Normal_Troops[#All],11))</f>
        <v>0</v>
      </c>
      <c r="U36" s="173">
        <f>IF($T36=0,0,IF(SUM(Paramètres!$K$6:$K$45)&lt;&gt;Paramètres!$K$3,0,VLOOKUP(MATCH(1,Paramètres!$K$6:$K$45,0),LABO_Normal_Troops[#All],11)))</f>
        <v>0</v>
      </c>
      <c r="W36" s="7">
        <v>3</v>
      </c>
      <c r="X36" s="169">
        <f t="shared" si="24"/>
        <v>0</v>
      </c>
      <c r="Y36" s="170">
        <f t="shared" si="24"/>
        <v>0</v>
      </c>
      <c r="Z36" s="174">
        <f t="shared" si="23"/>
        <v>0</v>
      </c>
      <c r="AA36" s="175">
        <f t="shared" si="23"/>
        <v>0</v>
      </c>
      <c r="AB36" s="171">
        <f t="shared" si="23"/>
        <v>0</v>
      </c>
      <c r="AC36" s="170">
        <f t="shared" si="23"/>
        <v>0</v>
      </c>
      <c r="AD36" s="174">
        <f t="shared" si="23"/>
        <v>0</v>
      </c>
      <c r="AE36" s="175">
        <f t="shared" si="23"/>
        <v>0</v>
      </c>
      <c r="AF36" s="171">
        <f t="shared" si="23"/>
        <v>0</v>
      </c>
      <c r="AG36" s="170">
        <f t="shared" si="23"/>
        <v>0</v>
      </c>
      <c r="AH36" s="174">
        <f t="shared" si="23"/>
        <v>0</v>
      </c>
      <c r="AI36" s="175">
        <f t="shared" si="23"/>
        <v>0</v>
      </c>
      <c r="AJ36" s="171">
        <f t="shared" si="23"/>
        <v>0</v>
      </c>
      <c r="AK36" s="170">
        <f t="shared" si="23"/>
        <v>0</v>
      </c>
      <c r="AL36" s="174">
        <f t="shared" si="23"/>
        <v>0</v>
      </c>
      <c r="AM36" s="175">
        <f t="shared" si="23"/>
        <v>0</v>
      </c>
      <c r="AN36" s="171">
        <f t="shared" si="23"/>
        <v>0</v>
      </c>
      <c r="AO36" s="170">
        <f t="shared" si="23"/>
        <v>0</v>
      </c>
      <c r="AP36" s="174">
        <f t="shared" si="23"/>
        <v>0</v>
      </c>
      <c r="AQ36" s="176">
        <f t="shared" si="23"/>
        <v>0</v>
      </c>
      <c r="AS36" s="13">
        <v>3</v>
      </c>
      <c r="AT36" s="791">
        <v>1</v>
      </c>
      <c r="AU36" s="37">
        <v>1</v>
      </c>
      <c r="AV36" s="5">
        <v>1</v>
      </c>
      <c r="AW36" s="37">
        <v>0</v>
      </c>
      <c r="AX36" s="47">
        <v>0</v>
      </c>
      <c r="AY36" s="35">
        <v>0</v>
      </c>
      <c r="AZ36" s="6">
        <v>0</v>
      </c>
      <c r="BA36" s="35">
        <v>0</v>
      </c>
      <c r="BB36" s="6">
        <v>0</v>
      </c>
      <c r="BC36" s="35">
        <v>0</v>
      </c>
      <c r="BE36" s="13">
        <v>3</v>
      </c>
      <c r="BF36" s="791">
        <v>3</v>
      </c>
      <c r="BG36" s="37">
        <v>3</v>
      </c>
      <c r="BH36" s="5">
        <v>3</v>
      </c>
      <c r="BI36" s="37">
        <v>2</v>
      </c>
      <c r="BJ36" s="46">
        <v>2</v>
      </c>
      <c r="BK36" s="35">
        <v>2</v>
      </c>
      <c r="BL36" s="6">
        <v>2</v>
      </c>
      <c r="BM36" s="35">
        <v>1</v>
      </c>
      <c r="BN36" s="6">
        <v>1</v>
      </c>
      <c r="BO36" s="35">
        <v>1</v>
      </c>
    </row>
    <row r="37" spans="1:67" x14ac:dyDescent="0.2">
      <c r="A37" s="7">
        <v>4</v>
      </c>
      <c r="B37" s="2">
        <f>IF(Paramètres!$H$46=0,0,VLOOKUP(Paramètres!$H$47,BARRACK_Normal_Troops[#All],2))</f>
        <v>0</v>
      </c>
      <c r="C37" s="9">
        <f>IF($B37=0,0,IF(SUM(Paramètres!$K$6:$K$45)&lt;&gt;Paramètres!$K$3,0,VLOOKUP(MATCH(1,Paramètres!$K$6:$K$45,0),LABO_Normal_Troops[#All],2)))</f>
        <v>0</v>
      </c>
      <c r="D37" s="4">
        <f>IF(Paramètres!$H$46=0,0,VLOOKUP(Paramètres!$H$47,BARRACK_Normal_Troops[#All],3))</f>
        <v>0</v>
      </c>
      <c r="E37" s="36">
        <f>IF($D37=0,0,IF(SUM(Paramètres!$K$6:$K$45)&lt;&gt;Paramètres!$K$3,0,VLOOKUP(MATCH(1,Paramètres!$K$6:$K$45,0),LABO_Normal_Troops[#All],3)))</f>
        <v>0</v>
      </c>
      <c r="F37" s="2">
        <f>IF(Paramètres!$H$46=0,0,VLOOKUP(Paramètres!$H$47,BARRACK_Normal_Troops[#All],4))</f>
        <v>0</v>
      </c>
      <c r="G37" s="9">
        <f>IF($F37=0,0,IF(SUM(Paramètres!$K$6:$K$45)&lt;&gt;Paramètres!$K$3,0,VLOOKUP(MATCH(1,Paramètres!$K$6:$K$45,0),LABO_Normal_Troops[#All],4)))</f>
        <v>0</v>
      </c>
      <c r="H37" s="4">
        <f>IF(Paramètres!$H$46=0,0,VLOOKUP(Paramètres!$H$47,BARRACK_Normal_Troops[#All],5))</f>
        <v>0</v>
      </c>
      <c r="I37" s="36">
        <f>IF($H37=0,0,IF(SUM(Paramètres!$K$6:$K$45)&lt;&gt;Paramètres!$K$3,0,VLOOKUP(MATCH(1,Paramètres!$K$6:$K$45,0),LABO_Normal_Troops[#All],5)))</f>
        <v>0</v>
      </c>
      <c r="J37" s="2">
        <f>IF(Paramètres!$H$46=0,0,VLOOKUP(Paramètres!$H$47,BARRACK_Normal_Troops[#All],6))</f>
        <v>0</v>
      </c>
      <c r="K37" s="9">
        <f>IF($J37=0,0,IF(SUM(Paramètres!$K$6:$K$45)&lt;&gt;Paramètres!$K$3,0,VLOOKUP(MATCH(1,Paramètres!$K$6:$K$45,0),LABO_Normal_Troops[#All],6)))</f>
        <v>0</v>
      </c>
      <c r="L37" s="4">
        <f>IF(Paramètres!$H$46=0,0,VLOOKUP(Paramètres!$H$47,BARRACK_Normal_Troops[#All],7))</f>
        <v>0</v>
      </c>
      <c r="M37" s="36">
        <f>IF($L37=0,0,IF(SUM(Paramètres!$K$6:$K$45)&lt;&gt;Paramètres!$K$3,0,VLOOKUP(MATCH(1,Paramètres!$K$6:$K$45,0),LABO_Normal_Troops[#All],7)))</f>
        <v>0</v>
      </c>
      <c r="N37" s="2">
        <f>IF(Paramètres!$H$46=0,0,VLOOKUP(Paramètres!$H$47,BARRACK_Normal_Troops[#All],8))</f>
        <v>0</v>
      </c>
      <c r="O37" s="9">
        <f>IF($N37=0,0,IF(SUM(Paramètres!$K$6:$K$45)&lt;&gt;Paramètres!$K$3,0,VLOOKUP(MATCH(1,Paramètres!$K$6:$K$45,0),LABO_Normal_Troops[#All],8)))</f>
        <v>0</v>
      </c>
      <c r="P37" s="4">
        <f>IF(Paramètres!$H$46=0,0,VLOOKUP(Paramètres!$H$47,BARRACK_Normal_Troops[#All],9))</f>
        <v>0</v>
      </c>
      <c r="Q37" s="173">
        <f>IF($P37=0,0,IF(SUM(Paramètres!$K$6:$K$45)&lt;&gt;Paramètres!$K$3,0,VLOOKUP(MATCH(1,Paramètres!$K$6:$K$45,0),LABO_Normal_Troops[#All],9)))</f>
        <v>0</v>
      </c>
      <c r="R37" s="2">
        <f>IF(Paramètres!$H$46=0,0,VLOOKUP(Paramètres!$H$47,BARRACK_Normal_Troops[#All],10))</f>
        <v>0</v>
      </c>
      <c r="S37" s="168">
        <f>IF($R37=0,0,IF(SUM(Paramètres!$K$6:$K$45)&lt;&gt;Paramètres!$K$3,0,VLOOKUP(MATCH(1,Paramètres!$K$6:$K$45,0),LABO_Normal_Troops[#All],10)))</f>
        <v>0</v>
      </c>
      <c r="T37" s="172">
        <f>IF(Paramètres!$H$46=0,0,VLOOKUP(Paramètres!$H$47,BARRACK_Normal_Troops[#All],11))</f>
        <v>0</v>
      </c>
      <c r="U37" s="173">
        <f>IF($T37=0,0,IF(SUM(Paramètres!$K$6:$K$45)&lt;&gt;Paramètres!$K$3,0,VLOOKUP(MATCH(1,Paramètres!$K$6:$K$45,0),LABO_Normal_Troops[#All],11)))</f>
        <v>0</v>
      </c>
      <c r="W37" s="7">
        <v>4</v>
      </c>
      <c r="X37" s="169">
        <f t="shared" si="24"/>
        <v>0</v>
      </c>
      <c r="Y37" s="170">
        <f t="shared" si="24"/>
        <v>0</v>
      </c>
      <c r="Z37" s="174">
        <f t="shared" si="23"/>
        <v>0</v>
      </c>
      <c r="AA37" s="175">
        <f t="shared" si="23"/>
        <v>0</v>
      </c>
      <c r="AB37" s="171">
        <f t="shared" si="23"/>
        <v>0</v>
      </c>
      <c r="AC37" s="170">
        <f t="shared" si="23"/>
        <v>0</v>
      </c>
      <c r="AD37" s="174">
        <f t="shared" si="23"/>
        <v>0</v>
      </c>
      <c r="AE37" s="175">
        <f t="shared" si="23"/>
        <v>0</v>
      </c>
      <c r="AF37" s="171">
        <f t="shared" si="23"/>
        <v>0</v>
      </c>
      <c r="AG37" s="170">
        <f t="shared" si="23"/>
        <v>0</v>
      </c>
      <c r="AH37" s="174">
        <f t="shared" si="23"/>
        <v>0</v>
      </c>
      <c r="AI37" s="175">
        <f t="shared" si="23"/>
        <v>0</v>
      </c>
      <c r="AJ37" s="171">
        <f t="shared" si="23"/>
        <v>0</v>
      </c>
      <c r="AK37" s="170">
        <f t="shared" si="23"/>
        <v>0</v>
      </c>
      <c r="AL37" s="174">
        <f t="shared" si="23"/>
        <v>0</v>
      </c>
      <c r="AM37" s="175">
        <f t="shared" si="23"/>
        <v>0</v>
      </c>
      <c r="AN37" s="171">
        <f t="shared" si="23"/>
        <v>0</v>
      </c>
      <c r="AO37" s="170">
        <f t="shared" si="23"/>
        <v>0</v>
      </c>
      <c r="AP37" s="174">
        <f t="shared" si="23"/>
        <v>0</v>
      </c>
      <c r="AQ37" s="176">
        <f t="shared" si="23"/>
        <v>0</v>
      </c>
      <c r="AS37" s="13">
        <v>4</v>
      </c>
      <c r="AT37" s="790">
        <v>1</v>
      </c>
      <c r="AU37" s="35">
        <v>1</v>
      </c>
      <c r="AV37" s="6">
        <v>1</v>
      </c>
      <c r="AW37" s="35">
        <v>1</v>
      </c>
      <c r="AX37" s="47">
        <v>0</v>
      </c>
      <c r="AY37" s="35">
        <v>0</v>
      </c>
      <c r="AZ37" s="6">
        <v>0</v>
      </c>
      <c r="BA37" s="35">
        <v>0</v>
      </c>
      <c r="BB37" s="6">
        <v>0</v>
      </c>
      <c r="BC37" s="35">
        <v>0</v>
      </c>
      <c r="BE37" s="13">
        <v>4</v>
      </c>
      <c r="BF37" s="790">
        <v>3</v>
      </c>
      <c r="BG37" s="35">
        <v>3</v>
      </c>
      <c r="BH37" s="6">
        <v>3</v>
      </c>
      <c r="BI37" s="35">
        <v>3</v>
      </c>
      <c r="BJ37" s="47">
        <v>3</v>
      </c>
      <c r="BK37" s="35">
        <v>3</v>
      </c>
      <c r="BL37" s="6">
        <v>3</v>
      </c>
      <c r="BM37" s="35">
        <v>1</v>
      </c>
      <c r="BN37" s="6">
        <v>1</v>
      </c>
      <c r="BO37" s="35">
        <v>1</v>
      </c>
    </row>
    <row r="38" spans="1:67" x14ac:dyDescent="0.2">
      <c r="A38" s="7">
        <v>5</v>
      </c>
      <c r="B38" s="1">
        <f>IF(Paramètres!$H$46=0,0,VLOOKUP(Paramètres!$H$47,BARRACK_Normal_Troops[#All],2))</f>
        <v>0</v>
      </c>
      <c r="C38" s="9">
        <f>IF($B38=0,0,IF(SUM(Paramètres!$K$6:$K$45)&lt;&gt;Paramètres!$K$3,0,VLOOKUP(MATCH(1,Paramètres!$K$6:$K$45,0),LABO_Normal_Troops[#All],2)))</f>
        <v>0</v>
      </c>
      <c r="D38" s="3">
        <f>IF(Paramètres!$H$46=0,0,VLOOKUP(Paramètres!$H$47,BARRACK_Normal_Troops[#All],3))</f>
        <v>0</v>
      </c>
      <c r="E38" s="36">
        <f>IF($D38=0,0,IF(SUM(Paramètres!$K$6:$K$45)&lt;&gt;Paramètres!$K$3,0,VLOOKUP(MATCH(1,Paramètres!$K$6:$K$45,0),LABO_Normal_Troops[#All],3)))</f>
        <v>0</v>
      </c>
      <c r="F38" s="1">
        <f>IF(Paramètres!$H$46=0,0,VLOOKUP(Paramètres!$H$47,BARRACK_Normal_Troops[#All],4))</f>
        <v>0</v>
      </c>
      <c r="G38" s="9">
        <f>IF($F38=0,0,IF(SUM(Paramètres!$K$6:$K$45)&lt;&gt;Paramètres!$K$3,0,VLOOKUP(MATCH(1,Paramètres!$K$6:$K$45,0),LABO_Normal_Troops[#All],4)))</f>
        <v>0</v>
      </c>
      <c r="H38" s="3">
        <f>IF(Paramètres!$H$46=0,0,VLOOKUP(Paramètres!$H$47,BARRACK_Normal_Troops[#All],5))</f>
        <v>0</v>
      </c>
      <c r="I38" s="36">
        <f>IF($H38=0,0,IF(SUM(Paramètres!$K$6:$K$45)&lt;&gt;Paramètres!$K$3,0,VLOOKUP(MATCH(1,Paramètres!$K$6:$K$45,0),LABO_Normal_Troops[#All],5)))</f>
        <v>0</v>
      </c>
      <c r="J38" s="1">
        <f>IF(Paramètres!$H$46=0,0,VLOOKUP(Paramètres!$H$47,BARRACK_Normal_Troops[#All],6))</f>
        <v>0</v>
      </c>
      <c r="K38" s="9">
        <f>IF($J38=0,0,IF(SUM(Paramètres!$K$6:$K$45)&lt;&gt;Paramètres!$K$3,0,VLOOKUP(MATCH(1,Paramètres!$K$6:$K$45,0),LABO_Normal_Troops[#All],6)))</f>
        <v>0</v>
      </c>
      <c r="L38" s="3">
        <f>IF(Paramètres!$H$46=0,0,VLOOKUP(Paramètres!$H$47,BARRACK_Normal_Troops[#All],7))</f>
        <v>0</v>
      </c>
      <c r="M38" s="36">
        <f>IF($L38=0,0,IF(SUM(Paramètres!$K$6:$K$45)&lt;&gt;Paramètres!$K$3,0,VLOOKUP(MATCH(1,Paramètres!$K$6:$K$45,0),LABO_Normal_Troops[#All],7)))</f>
        <v>0</v>
      </c>
      <c r="N38" s="1">
        <f>IF(Paramètres!$H$46=0,0,VLOOKUP(Paramètres!$H$47,BARRACK_Normal_Troops[#All],8))</f>
        <v>0</v>
      </c>
      <c r="O38" s="9">
        <f>IF($N38=0,0,IF(SUM(Paramètres!$K$6:$K$45)&lt;&gt;Paramètres!$K$3,0,VLOOKUP(MATCH(1,Paramètres!$K$6:$K$45,0),LABO_Normal_Troops[#All],8)))</f>
        <v>0</v>
      </c>
      <c r="P38" s="3">
        <f>IF(Paramètres!$H$46=0,0,VLOOKUP(Paramètres!$H$47,BARRACK_Normal_Troops[#All],9))</f>
        <v>0</v>
      </c>
      <c r="Q38" s="36">
        <f>IF($P38=0,0,IF(SUM(Paramètres!$K$6:$K$45)&lt;&gt;Paramètres!$K$3,0,VLOOKUP(MATCH(1,Paramètres!$K$6:$K$45,0),LABO_Normal_Troops[#All],9)))</f>
        <v>0</v>
      </c>
      <c r="R38" s="1">
        <f>IF(Paramètres!$H$46=0,0,VLOOKUP(Paramètres!$H$47,BARRACK_Normal_Troops[#All],10))</f>
        <v>0</v>
      </c>
      <c r="S38" s="9">
        <f>IF($R38=0,0,IF(SUM(Paramètres!$K$6:$K$45)&lt;&gt;Paramètres!$K$3,0,VLOOKUP(MATCH(1,Paramètres!$K$6:$K$45,0),LABO_Normal_Troops[#All],10)))</f>
        <v>0</v>
      </c>
      <c r="T38" s="172">
        <f>IF(Paramètres!$H$46=0,0,VLOOKUP(Paramètres!$H$47,BARRACK_Normal_Troops[#All],11))</f>
        <v>0</v>
      </c>
      <c r="U38" s="173">
        <f>IF($T38=0,0,IF(SUM(Paramètres!$K$6:$K$45)&lt;&gt;Paramètres!$K$3,0,VLOOKUP(MATCH(1,Paramètres!$K$6:$K$45,0),LABO_Normal_Troops[#All],11)))</f>
        <v>0</v>
      </c>
      <c r="W38" s="7">
        <v>5</v>
      </c>
      <c r="X38" s="169">
        <f t="shared" si="24"/>
        <v>0</v>
      </c>
      <c r="Y38" s="170">
        <f t="shared" si="24"/>
        <v>0</v>
      </c>
      <c r="Z38" s="174">
        <f t="shared" si="23"/>
        <v>0</v>
      </c>
      <c r="AA38" s="175">
        <f t="shared" si="23"/>
        <v>0</v>
      </c>
      <c r="AB38" s="171">
        <f t="shared" si="23"/>
        <v>0</v>
      </c>
      <c r="AC38" s="170">
        <f t="shared" si="23"/>
        <v>0</v>
      </c>
      <c r="AD38" s="174">
        <f t="shared" si="23"/>
        <v>0</v>
      </c>
      <c r="AE38" s="175">
        <f t="shared" si="23"/>
        <v>0</v>
      </c>
      <c r="AF38" s="171">
        <f t="shared" si="23"/>
        <v>0</v>
      </c>
      <c r="AG38" s="170">
        <f t="shared" si="23"/>
        <v>0</v>
      </c>
      <c r="AH38" s="174">
        <f t="shared" si="23"/>
        <v>0</v>
      </c>
      <c r="AI38" s="175">
        <f t="shared" si="23"/>
        <v>0</v>
      </c>
      <c r="AJ38" s="171">
        <f t="shared" si="23"/>
        <v>0</v>
      </c>
      <c r="AK38" s="170">
        <f t="shared" si="23"/>
        <v>0</v>
      </c>
      <c r="AL38" s="174">
        <f t="shared" si="23"/>
        <v>0</v>
      </c>
      <c r="AM38" s="175">
        <f t="shared" si="23"/>
        <v>0</v>
      </c>
      <c r="AN38" s="171">
        <f t="shared" si="23"/>
        <v>0</v>
      </c>
      <c r="AO38" s="170">
        <f t="shared" si="23"/>
        <v>0</v>
      </c>
      <c r="AP38" s="174">
        <f t="shared" si="23"/>
        <v>0</v>
      </c>
      <c r="AQ38" s="176">
        <f t="shared" si="23"/>
        <v>0</v>
      </c>
      <c r="AS38" s="13">
        <v>5</v>
      </c>
      <c r="AT38" s="791">
        <v>1</v>
      </c>
      <c r="AU38" s="37">
        <v>1</v>
      </c>
      <c r="AV38" s="5">
        <v>1</v>
      </c>
      <c r="AW38" s="37">
        <v>1</v>
      </c>
      <c r="AX38" s="46">
        <v>1</v>
      </c>
      <c r="AY38" s="35">
        <v>0</v>
      </c>
      <c r="AZ38" s="6">
        <v>0</v>
      </c>
      <c r="BA38" s="35">
        <v>0</v>
      </c>
      <c r="BB38" s="6">
        <v>0</v>
      </c>
      <c r="BC38" s="35">
        <v>0</v>
      </c>
      <c r="BE38" s="13">
        <v>5</v>
      </c>
      <c r="BF38" s="791">
        <v>4</v>
      </c>
      <c r="BG38" s="37">
        <v>4</v>
      </c>
      <c r="BH38" s="5">
        <v>4</v>
      </c>
      <c r="BI38" s="37">
        <v>4</v>
      </c>
      <c r="BJ38" s="46">
        <v>4</v>
      </c>
      <c r="BK38" s="35">
        <v>4</v>
      </c>
      <c r="BL38" s="6">
        <v>4</v>
      </c>
      <c r="BM38" s="35">
        <v>2</v>
      </c>
      <c r="BN38" s="6">
        <v>2</v>
      </c>
      <c r="BO38" s="35">
        <v>1</v>
      </c>
    </row>
    <row r="39" spans="1:67" x14ac:dyDescent="0.2">
      <c r="A39" s="7">
        <v>6</v>
      </c>
      <c r="B39" s="2">
        <f>IF(Paramètres!$H$46=0,0,VLOOKUP(Paramètres!$H$47,BARRACK_Normal_Troops[#All],2))</f>
        <v>0</v>
      </c>
      <c r="C39" s="9">
        <f>IF($B39=0,0,IF(SUM(Paramètres!$K$6:$K$45)&lt;&gt;Paramètres!$K$3,0,VLOOKUP(MATCH(1,Paramètres!$K$6:$K$45,0),LABO_Normal_Troops[#All],2)))</f>
        <v>0</v>
      </c>
      <c r="D39" s="4">
        <f>IF(Paramètres!$H$46=0,0,VLOOKUP(Paramètres!$H$47,BARRACK_Normal_Troops[#All],3))</f>
        <v>0</v>
      </c>
      <c r="E39" s="36">
        <f>IF($D39=0,0,IF(SUM(Paramètres!$K$6:$K$45)&lt;&gt;Paramètres!$K$3,0,VLOOKUP(MATCH(1,Paramètres!$K$6:$K$45,0),LABO_Normal_Troops[#All],3)))</f>
        <v>0</v>
      </c>
      <c r="F39" s="2">
        <f>IF(Paramètres!$H$46=0,0,VLOOKUP(Paramètres!$H$47,BARRACK_Normal_Troops[#All],4))</f>
        <v>0</v>
      </c>
      <c r="G39" s="9">
        <f>IF($F39=0,0,IF(SUM(Paramètres!$K$6:$K$45)&lt;&gt;Paramètres!$K$3,0,VLOOKUP(MATCH(1,Paramètres!$K$6:$K$45,0),LABO_Normal_Troops[#All],4)))</f>
        <v>0</v>
      </c>
      <c r="H39" s="4">
        <f>IF(Paramètres!$H$46=0,0,VLOOKUP(Paramètres!$H$47,BARRACK_Normal_Troops[#All],5))</f>
        <v>0</v>
      </c>
      <c r="I39" s="36">
        <f>IF($H39=0,0,IF(SUM(Paramètres!$K$6:$K$45)&lt;&gt;Paramètres!$K$3,0,VLOOKUP(MATCH(1,Paramètres!$K$6:$K$45,0),LABO_Normal_Troops[#All],5)))</f>
        <v>0</v>
      </c>
      <c r="J39" s="2">
        <f>IF(Paramètres!$H$46=0,0,VLOOKUP(Paramètres!$H$47,BARRACK_Normal_Troops[#All],6))</f>
        <v>0</v>
      </c>
      <c r="K39" s="9">
        <f>IF($J39=0,0,IF(SUM(Paramètres!$K$6:$K$45)&lt;&gt;Paramètres!$K$3,0,VLOOKUP(MATCH(1,Paramètres!$K$6:$K$45,0),LABO_Normal_Troops[#All],6)))</f>
        <v>0</v>
      </c>
      <c r="L39" s="4">
        <f>IF(Paramètres!$H$46=0,0,VLOOKUP(Paramètres!$H$47,BARRACK_Normal_Troops[#All],7))</f>
        <v>0</v>
      </c>
      <c r="M39" s="36">
        <f>IF($L39=0,0,IF(SUM(Paramètres!$K$6:$K$45)&lt;&gt;Paramètres!$K$3,0,VLOOKUP(MATCH(1,Paramètres!$K$6:$K$45,0),LABO_Normal_Troops[#All],7)))</f>
        <v>0</v>
      </c>
      <c r="N39" s="2">
        <f>IF(Paramètres!$H$46=0,0,VLOOKUP(Paramètres!$H$47,BARRACK_Normal_Troops[#All],8))</f>
        <v>0</v>
      </c>
      <c r="O39" s="9">
        <f>IF($N39=0,0,IF(SUM(Paramètres!$K$6:$K$45)&lt;&gt;Paramètres!$K$3,0,VLOOKUP(MATCH(1,Paramètres!$K$6:$K$45,0),LABO_Normal_Troops[#All],8)))</f>
        <v>0</v>
      </c>
      <c r="P39" s="4">
        <f>IF(Paramètres!$H$46=0,0,VLOOKUP(Paramètres!$H$47,BARRACK_Normal_Troops[#All],9))</f>
        <v>0</v>
      </c>
      <c r="Q39" s="36">
        <f>IF($P39=0,0,IF(SUM(Paramètres!$K$6:$K$45)&lt;&gt;Paramètres!$K$3,0,VLOOKUP(MATCH(1,Paramètres!$K$6:$K$45,0),LABO_Normal_Troops[#All],9)))</f>
        <v>0</v>
      </c>
      <c r="R39" s="2">
        <f>IF(Paramètres!$H$46=0,0,VLOOKUP(Paramètres!$H$47,BARRACK_Normal_Troops[#All],10))</f>
        <v>0</v>
      </c>
      <c r="S39" s="9">
        <f>IF($R39=0,0,IF(SUM(Paramètres!$K$6:$K$45)&lt;&gt;Paramètres!$K$3,0,VLOOKUP(MATCH(1,Paramètres!$K$6:$K$45,0),LABO_Normal_Troops[#All],10)))</f>
        <v>0</v>
      </c>
      <c r="T39" s="172">
        <f>IF(Paramètres!$H$46=0,0,VLOOKUP(Paramètres!$H$47,BARRACK_Normal_Troops[#All],11))</f>
        <v>0</v>
      </c>
      <c r="U39" s="35">
        <f>IF($T39=0,0,IF(SUM(Paramètres!$K$6:$K$45)&lt;&gt;Paramètres!$K$3,0,VLOOKUP(MATCH(1,Paramètres!$K$6:$K$45,0),LABO_Normal_Troops[#All],11)))</f>
        <v>0</v>
      </c>
      <c r="W39" s="7">
        <v>6</v>
      </c>
      <c r="X39" s="169">
        <f t="shared" si="24"/>
        <v>0</v>
      </c>
      <c r="Y39" s="170">
        <f t="shared" si="24"/>
        <v>0</v>
      </c>
      <c r="Z39" s="174">
        <f t="shared" si="23"/>
        <v>0</v>
      </c>
      <c r="AA39" s="175">
        <f t="shared" si="23"/>
        <v>0</v>
      </c>
      <c r="AB39" s="171">
        <f t="shared" si="23"/>
        <v>0</v>
      </c>
      <c r="AC39" s="170">
        <f t="shared" si="23"/>
        <v>0</v>
      </c>
      <c r="AD39" s="174">
        <f t="shared" si="23"/>
        <v>0</v>
      </c>
      <c r="AE39" s="175">
        <f t="shared" si="23"/>
        <v>0</v>
      </c>
      <c r="AF39" s="171">
        <f t="shared" si="23"/>
        <v>0</v>
      </c>
      <c r="AG39" s="170">
        <f t="shared" si="23"/>
        <v>0</v>
      </c>
      <c r="AH39" s="174">
        <f t="shared" si="23"/>
        <v>0</v>
      </c>
      <c r="AI39" s="175">
        <f t="shared" si="23"/>
        <v>0</v>
      </c>
      <c r="AJ39" s="171">
        <f t="shared" si="23"/>
        <v>0</v>
      </c>
      <c r="AK39" s="170">
        <f t="shared" si="23"/>
        <v>0</v>
      </c>
      <c r="AL39" s="174">
        <f t="shared" si="23"/>
        <v>0</v>
      </c>
      <c r="AM39" s="175">
        <f t="shared" si="23"/>
        <v>0</v>
      </c>
      <c r="AN39" s="171">
        <f t="shared" si="23"/>
        <v>0</v>
      </c>
      <c r="AO39" s="170">
        <f t="shared" si="23"/>
        <v>0</v>
      </c>
      <c r="AP39" s="174">
        <f t="shared" si="23"/>
        <v>0</v>
      </c>
      <c r="AQ39" s="176">
        <f t="shared" si="23"/>
        <v>0</v>
      </c>
      <c r="AS39" s="13">
        <v>6</v>
      </c>
      <c r="AT39" s="790">
        <v>1</v>
      </c>
      <c r="AU39" s="35">
        <v>1</v>
      </c>
      <c r="AV39" s="6">
        <v>1</v>
      </c>
      <c r="AW39" s="35">
        <v>1</v>
      </c>
      <c r="AX39" s="47">
        <v>1</v>
      </c>
      <c r="AY39" s="35">
        <v>1</v>
      </c>
      <c r="AZ39" s="6">
        <v>0</v>
      </c>
      <c r="BA39" s="35">
        <v>0</v>
      </c>
      <c r="BB39" s="6">
        <v>0</v>
      </c>
      <c r="BC39" s="35">
        <v>0</v>
      </c>
      <c r="BE39" s="13">
        <v>6</v>
      </c>
      <c r="BF39" s="790">
        <v>5</v>
      </c>
      <c r="BG39" s="35">
        <v>5</v>
      </c>
      <c r="BH39" s="6">
        <v>5</v>
      </c>
      <c r="BI39" s="35">
        <v>5</v>
      </c>
      <c r="BJ39" s="47">
        <v>5</v>
      </c>
      <c r="BK39" s="35">
        <v>5</v>
      </c>
      <c r="BL39" s="6">
        <v>5</v>
      </c>
      <c r="BM39" s="35">
        <v>3</v>
      </c>
      <c r="BN39" s="6">
        <v>3</v>
      </c>
      <c r="BO39" s="35">
        <v>3</v>
      </c>
    </row>
    <row r="40" spans="1:67" x14ac:dyDescent="0.2">
      <c r="A40" s="7">
        <v>7</v>
      </c>
      <c r="B40" s="1">
        <f>IF(Paramètres!$H$46=0,0,VLOOKUP(Paramètres!$H$47,BARRACK_Normal_Troops[#All],2))</f>
        <v>0</v>
      </c>
      <c r="C40" s="9">
        <f>IF($B40=0,0,IF(SUM(Paramètres!$K$6:$K$45)&lt;&gt;Paramètres!$K$3,0,VLOOKUP(MATCH(1,Paramètres!$K$6:$K$45,0),LABO_Normal_Troops[#All],2)))</f>
        <v>0</v>
      </c>
      <c r="D40" s="3">
        <f>IF(Paramètres!$H$46=0,0,VLOOKUP(Paramètres!$H$47,BARRACK_Normal_Troops[#All],3))</f>
        <v>0</v>
      </c>
      <c r="E40" s="36">
        <f>IF($D40=0,0,IF(SUM(Paramètres!$K$6:$K$45)&lt;&gt;Paramètres!$K$3,0,VLOOKUP(MATCH(1,Paramètres!$K$6:$K$45,0),LABO_Normal_Troops[#All],3)))</f>
        <v>0</v>
      </c>
      <c r="F40" s="1">
        <f>IF(Paramètres!$H$46=0,0,VLOOKUP(Paramètres!$H$47,BARRACK_Normal_Troops[#All],4))</f>
        <v>0</v>
      </c>
      <c r="G40" s="9">
        <f>IF($F40=0,0,IF(SUM(Paramètres!$K$6:$K$45)&lt;&gt;Paramètres!$K$3,0,VLOOKUP(MATCH(1,Paramètres!$K$6:$K$45,0),LABO_Normal_Troops[#All],4)))</f>
        <v>0</v>
      </c>
      <c r="H40" s="3">
        <f>IF(Paramètres!$H$46=0,0,VLOOKUP(Paramètres!$H$47,BARRACK_Normal_Troops[#All],5))</f>
        <v>0</v>
      </c>
      <c r="I40" s="36">
        <f>IF($H40=0,0,IF(SUM(Paramètres!$K$6:$K$45)&lt;&gt;Paramètres!$K$3,0,VLOOKUP(MATCH(1,Paramètres!$K$6:$K$45,0),LABO_Normal_Troops[#All],5)))</f>
        <v>0</v>
      </c>
      <c r="J40" s="1">
        <f>IF(Paramètres!$H$46=0,0,VLOOKUP(Paramètres!$H$47,BARRACK_Normal_Troops[#All],6))</f>
        <v>0</v>
      </c>
      <c r="K40" s="9">
        <f>IF($J40=0,0,IF(SUM(Paramètres!$K$6:$K$45)&lt;&gt;Paramètres!$K$3,0,VLOOKUP(MATCH(1,Paramètres!$K$6:$K$45,0),LABO_Normal_Troops[#All],6)))</f>
        <v>0</v>
      </c>
      <c r="L40" s="3">
        <f>IF(Paramètres!$H$46=0,0,VLOOKUP(Paramètres!$H$47,BARRACK_Normal_Troops[#All],7))</f>
        <v>0</v>
      </c>
      <c r="M40" s="36">
        <f>IF($L40=0,0,IF(SUM(Paramètres!$K$6:$K$45)&lt;&gt;Paramètres!$K$3,0,VLOOKUP(MATCH(1,Paramètres!$K$6:$K$45,0),LABO_Normal_Troops[#All],7)))</f>
        <v>0</v>
      </c>
      <c r="N40" s="1">
        <f>IF(Paramètres!$H$46=0,0,VLOOKUP(Paramètres!$H$47,BARRACK_Normal_Troops[#All],8))</f>
        <v>0</v>
      </c>
      <c r="O40" s="9">
        <f>IF($N40=0,0,IF(SUM(Paramètres!$K$6:$K$45)&lt;&gt;Paramètres!$K$3,0,VLOOKUP(MATCH(1,Paramètres!$K$6:$K$45,0),LABO_Normal_Troops[#All],8)))</f>
        <v>0</v>
      </c>
      <c r="P40" s="3">
        <f>IF(Paramètres!$H$46=0,0,VLOOKUP(Paramètres!$H$47,BARRACK_Normal_Troops[#All],9))</f>
        <v>0</v>
      </c>
      <c r="Q40" s="36">
        <f>IF($P40=0,0,IF(SUM(Paramètres!$K$6:$K$45)&lt;&gt;Paramètres!$K$3,0,VLOOKUP(MATCH(1,Paramètres!$K$6:$K$45,0),LABO_Normal_Troops[#All],9)))</f>
        <v>0</v>
      </c>
      <c r="R40" s="1">
        <f>IF(Paramètres!$H$46=0,0,VLOOKUP(Paramètres!$H$47,BARRACK_Normal_Troops[#All],10))</f>
        <v>0</v>
      </c>
      <c r="S40" s="9">
        <f>IF($R40=0,0,IF(SUM(Paramètres!$K$6:$K$45)&lt;&gt;Paramètres!$K$3,0,VLOOKUP(MATCH(1,Paramètres!$K$6:$K$45,0),LABO_Normal_Troops[#All],10)))</f>
        <v>0</v>
      </c>
      <c r="T40" s="172">
        <f>IF(Paramètres!$H$46=0,0,VLOOKUP(Paramètres!$H$47,BARRACK_Normal_Troops[#All],11))</f>
        <v>0</v>
      </c>
      <c r="U40" s="35">
        <f>IF($T40=0,0,IF(SUM(Paramètres!$K$6:$K$45)&lt;&gt;Paramètres!$K$3,0,VLOOKUP(MATCH(1,Paramètres!$K$6:$K$45,0),LABO_Normal_Troops[#All],11)))</f>
        <v>0</v>
      </c>
      <c r="W40" s="7">
        <v>7</v>
      </c>
      <c r="X40" s="169">
        <f t="shared" si="24"/>
        <v>0</v>
      </c>
      <c r="Y40" s="170">
        <f t="shared" si="24"/>
        <v>0</v>
      </c>
      <c r="Z40" s="174">
        <f t="shared" si="23"/>
        <v>0</v>
      </c>
      <c r="AA40" s="175">
        <f t="shared" si="23"/>
        <v>0</v>
      </c>
      <c r="AB40" s="171">
        <f t="shared" si="23"/>
        <v>0</v>
      </c>
      <c r="AC40" s="170">
        <f t="shared" si="23"/>
        <v>0</v>
      </c>
      <c r="AD40" s="174">
        <f t="shared" si="23"/>
        <v>0</v>
      </c>
      <c r="AE40" s="175">
        <f t="shared" si="23"/>
        <v>0</v>
      </c>
      <c r="AF40" s="171">
        <f t="shared" si="23"/>
        <v>0</v>
      </c>
      <c r="AG40" s="170">
        <f t="shared" si="23"/>
        <v>0</v>
      </c>
      <c r="AH40" s="174">
        <f t="shared" si="23"/>
        <v>0</v>
      </c>
      <c r="AI40" s="175">
        <f t="shared" si="23"/>
        <v>0</v>
      </c>
      <c r="AJ40" s="171">
        <f t="shared" si="23"/>
        <v>0</v>
      </c>
      <c r="AK40" s="170">
        <f t="shared" si="23"/>
        <v>0</v>
      </c>
      <c r="AL40" s="174">
        <f t="shared" si="23"/>
        <v>0</v>
      </c>
      <c r="AM40" s="175">
        <f t="shared" si="23"/>
        <v>0</v>
      </c>
      <c r="AN40" s="171">
        <f t="shared" si="23"/>
        <v>0</v>
      </c>
      <c r="AO40" s="170">
        <f t="shared" si="23"/>
        <v>0</v>
      </c>
      <c r="AP40" s="174">
        <f t="shared" si="23"/>
        <v>0</v>
      </c>
      <c r="AQ40" s="176">
        <f t="shared" si="23"/>
        <v>0</v>
      </c>
      <c r="AS40" s="13">
        <v>7</v>
      </c>
      <c r="AT40" s="791">
        <v>1</v>
      </c>
      <c r="AU40" s="37">
        <v>1</v>
      </c>
      <c r="AV40" s="5">
        <v>1</v>
      </c>
      <c r="AW40" s="37">
        <v>1</v>
      </c>
      <c r="AX40" s="46">
        <v>1</v>
      </c>
      <c r="AY40" s="35">
        <v>1</v>
      </c>
      <c r="AZ40" s="6">
        <v>1</v>
      </c>
      <c r="BA40" s="35">
        <v>0</v>
      </c>
      <c r="BB40" s="6">
        <v>0</v>
      </c>
      <c r="BC40" s="35">
        <v>0</v>
      </c>
      <c r="BE40" s="13">
        <v>7</v>
      </c>
      <c r="BF40" s="791">
        <v>6</v>
      </c>
      <c r="BG40" s="37">
        <v>6</v>
      </c>
      <c r="BH40" s="5">
        <v>5</v>
      </c>
      <c r="BI40" s="37">
        <v>6</v>
      </c>
      <c r="BJ40" s="46">
        <v>5</v>
      </c>
      <c r="BK40" s="35">
        <v>6</v>
      </c>
      <c r="BL40" s="6">
        <v>5</v>
      </c>
      <c r="BM40" s="35">
        <v>4</v>
      </c>
      <c r="BN40" s="6">
        <v>4</v>
      </c>
      <c r="BO40" s="35">
        <v>3</v>
      </c>
    </row>
    <row r="41" spans="1:67" x14ac:dyDescent="0.2">
      <c r="A41" s="7">
        <v>8</v>
      </c>
      <c r="B41" s="2">
        <f>IF(Paramètres!$H$46=0,0,VLOOKUP(Paramètres!$H$47,BARRACK_Normal_Troops[#All],2))</f>
        <v>0</v>
      </c>
      <c r="C41" s="9">
        <f>IF($B41=0,0,IF(SUM(Paramètres!$K$6:$K$45)&lt;&gt;Paramètres!$K$3,0,VLOOKUP(MATCH(1,Paramètres!$K$6:$K$45,0),LABO_Normal_Troops[#All],2)))</f>
        <v>0</v>
      </c>
      <c r="D41" s="4">
        <f>IF(Paramètres!$H$46=0,0,VLOOKUP(Paramètres!$H$47,BARRACK_Normal_Troops[#All],3))</f>
        <v>0</v>
      </c>
      <c r="E41" s="36">
        <f>IF($D41=0,0,IF(SUM(Paramètres!$K$6:$K$45)&lt;&gt;Paramètres!$K$3,0,VLOOKUP(MATCH(1,Paramètres!$K$6:$K$45,0),LABO_Normal_Troops[#All],3)))</f>
        <v>0</v>
      </c>
      <c r="F41" s="2">
        <f>IF(Paramètres!$H$46=0,0,VLOOKUP(Paramètres!$H$47,BARRACK_Normal_Troops[#All],4))</f>
        <v>0</v>
      </c>
      <c r="G41" s="9">
        <f>IF($F41=0,0,IF(SUM(Paramètres!$K$6:$K$45)&lt;&gt;Paramètres!$K$3,0,VLOOKUP(MATCH(1,Paramètres!$K$6:$K$45,0),LABO_Normal_Troops[#All],4)))</f>
        <v>0</v>
      </c>
      <c r="H41" s="4">
        <f>IF(Paramètres!$H$46=0,0,VLOOKUP(Paramètres!$H$47,BARRACK_Normal_Troops[#All],5))</f>
        <v>0</v>
      </c>
      <c r="I41" s="36">
        <f>IF($H41=0,0,IF(SUM(Paramètres!$K$6:$K$45)&lt;&gt;Paramètres!$K$3,0,VLOOKUP(MATCH(1,Paramètres!$K$6:$K$45,0),LABO_Normal_Troops[#All],5)))</f>
        <v>0</v>
      </c>
      <c r="J41" s="2">
        <f>IF(Paramètres!$H$46=0,0,VLOOKUP(Paramètres!$H$47,BARRACK_Normal_Troops[#All],6))</f>
        <v>0</v>
      </c>
      <c r="K41" s="9">
        <f>IF($J41=0,0,IF(SUM(Paramètres!$K$6:$K$45)&lt;&gt;Paramètres!$K$3,0,VLOOKUP(MATCH(1,Paramètres!$K$6:$K$45,0),LABO_Normal_Troops[#All],6)))</f>
        <v>0</v>
      </c>
      <c r="L41" s="4">
        <f>IF(Paramètres!$H$46=0,0,VLOOKUP(Paramètres!$H$47,BARRACK_Normal_Troops[#All],7))</f>
        <v>0</v>
      </c>
      <c r="M41" s="36">
        <f>IF($L41=0,0,IF(SUM(Paramètres!$K$6:$K$45)&lt;&gt;Paramètres!$K$3,0,VLOOKUP(MATCH(1,Paramètres!$K$6:$K$45,0),LABO_Normal_Troops[#All],7)))</f>
        <v>0</v>
      </c>
      <c r="N41" s="2">
        <f>IF(Paramètres!$H$46=0,0,VLOOKUP(Paramètres!$H$47,BARRACK_Normal_Troops[#All],8))</f>
        <v>0</v>
      </c>
      <c r="O41" s="9">
        <f>IF($N41=0,0,IF(SUM(Paramètres!$K$6:$K$45)&lt;&gt;Paramètres!$K$3,0,VLOOKUP(MATCH(1,Paramètres!$K$6:$K$45,0),LABO_Normal_Troops[#All],8)))</f>
        <v>0</v>
      </c>
      <c r="P41" s="4">
        <f>IF(Paramètres!$H$46=0,0,VLOOKUP(Paramètres!$H$47,BARRACK_Normal_Troops[#All],9))</f>
        <v>0</v>
      </c>
      <c r="Q41" s="36">
        <f>IF($P41=0,0,IF(SUM(Paramètres!$K$6:$K$45)&lt;&gt;Paramètres!$K$3,0,VLOOKUP(MATCH(1,Paramètres!$K$6:$K$45,0),LABO_Normal_Troops[#All],9)))</f>
        <v>0</v>
      </c>
      <c r="R41" s="2">
        <f>IF(Paramètres!$H$46=0,0,VLOOKUP(Paramètres!$H$47,BARRACK_Normal_Troops[#All],10))</f>
        <v>0</v>
      </c>
      <c r="S41" s="9">
        <f>IF($R41=0,0,IF(SUM(Paramètres!$K$6:$K$45)&lt;&gt;Paramètres!$K$3,0,VLOOKUP(MATCH(1,Paramètres!$K$6:$K$45,0),LABO_Normal_Troops[#All],10)))</f>
        <v>0</v>
      </c>
      <c r="T41" s="172">
        <f>IF(Paramètres!$H$46=0,0,VLOOKUP(Paramètres!$H$47,BARRACK_Normal_Troops[#All],11))</f>
        <v>0</v>
      </c>
      <c r="U41" s="35">
        <f>IF($T41=0,0,IF(SUM(Paramètres!$K$6:$K$45)&lt;&gt;Paramètres!$K$3,0,VLOOKUP(MATCH(1,Paramètres!$K$6:$K$45,0),LABO_Normal_Troops[#All],11)))</f>
        <v>0</v>
      </c>
      <c r="W41" s="7">
        <v>8</v>
      </c>
      <c r="X41" s="169">
        <f t="shared" si="24"/>
        <v>0</v>
      </c>
      <c r="Y41" s="170">
        <f t="shared" si="24"/>
        <v>0</v>
      </c>
      <c r="Z41" s="174">
        <f t="shared" si="23"/>
        <v>0</v>
      </c>
      <c r="AA41" s="175">
        <f t="shared" si="23"/>
        <v>0</v>
      </c>
      <c r="AB41" s="171">
        <f t="shared" si="23"/>
        <v>0</v>
      </c>
      <c r="AC41" s="170">
        <f t="shared" si="23"/>
        <v>0</v>
      </c>
      <c r="AD41" s="174">
        <f t="shared" si="23"/>
        <v>0</v>
      </c>
      <c r="AE41" s="175">
        <f t="shared" si="23"/>
        <v>0</v>
      </c>
      <c r="AF41" s="171">
        <f t="shared" si="23"/>
        <v>0</v>
      </c>
      <c r="AG41" s="170">
        <f t="shared" si="23"/>
        <v>0</v>
      </c>
      <c r="AH41" s="174">
        <f t="shared" si="23"/>
        <v>0</v>
      </c>
      <c r="AI41" s="175">
        <f t="shared" si="23"/>
        <v>0</v>
      </c>
      <c r="AJ41" s="171">
        <f t="shared" si="23"/>
        <v>0</v>
      </c>
      <c r="AK41" s="170">
        <f t="shared" si="23"/>
        <v>0</v>
      </c>
      <c r="AL41" s="174">
        <f t="shared" si="23"/>
        <v>0</v>
      </c>
      <c r="AM41" s="175">
        <f t="shared" si="23"/>
        <v>0</v>
      </c>
      <c r="AN41" s="171">
        <f t="shared" si="23"/>
        <v>0</v>
      </c>
      <c r="AO41" s="170">
        <f t="shared" si="23"/>
        <v>0</v>
      </c>
      <c r="AP41" s="174">
        <f t="shared" si="23"/>
        <v>0</v>
      </c>
      <c r="AQ41" s="176">
        <f t="shared" si="23"/>
        <v>0</v>
      </c>
      <c r="AS41" s="13">
        <v>8</v>
      </c>
      <c r="AT41" s="790">
        <v>1</v>
      </c>
      <c r="AU41" s="35">
        <v>1</v>
      </c>
      <c r="AV41" s="6">
        <v>1</v>
      </c>
      <c r="AW41" s="35">
        <v>1</v>
      </c>
      <c r="AX41" s="47">
        <v>1</v>
      </c>
      <c r="AY41" s="35">
        <v>1</v>
      </c>
      <c r="AZ41" s="6">
        <v>1</v>
      </c>
      <c r="BA41" s="35">
        <v>1</v>
      </c>
      <c r="BB41" s="6">
        <v>0</v>
      </c>
      <c r="BC41" s="35">
        <v>0</v>
      </c>
      <c r="BE41" s="13">
        <v>8</v>
      </c>
      <c r="BF41" s="790">
        <v>7</v>
      </c>
      <c r="BG41" s="35">
        <v>7</v>
      </c>
      <c r="BH41" s="6">
        <v>6</v>
      </c>
      <c r="BI41" s="35">
        <v>7</v>
      </c>
      <c r="BJ41" s="47">
        <v>6</v>
      </c>
      <c r="BK41" s="35">
        <v>6</v>
      </c>
      <c r="BL41" s="6">
        <v>6</v>
      </c>
      <c r="BM41" s="35">
        <v>4</v>
      </c>
      <c r="BN41" s="6">
        <v>5</v>
      </c>
      <c r="BO41" s="35">
        <v>5</v>
      </c>
    </row>
    <row r="42" spans="1:67" x14ac:dyDescent="0.2">
      <c r="A42" s="7">
        <v>9</v>
      </c>
      <c r="B42" s="1">
        <f>IF(Paramètres!$H$46=0,0,VLOOKUP(Paramètres!$H$47,BARRACK_Normal_Troops[#All],2))</f>
        <v>0</v>
      </c>
      <c r="C42" s="9">
        <f>IF($B42=0,0,IF(SUM(Paramètres!$K$6:$K$45)&lt;&gt;Paramètres!$K$3,0,VLOOKUP(MATCH(1,Paramètres!$K$6:$K$45,0),LABO_Normal_Troops[#All],2)))</f>
        <v>0</v>
      </c>
      <c r="D42" s="3">
        <f>IF(Paramètres!$H$46=0,0,VLOOKUP(Paramètres!$H$47,BARRACK_Normal_Troops[#All],3))</f>
        <v>0</v>
      </c>
      <c r="E42" s="37">
        <f>IF($D42=0,0,IF(SUM(Paramètres!$K$6:$K$45)&lt;&gt;Paramètres!$K$3,0,VLOOKUP(MATCH(1,Paramètres!$K$6:$K$45,0),LABO_Normal_Troops[#All],3)))</f>
        <v>0</v>
      </c>
      <c r="F42" s="1">
        <f>IF(Paramètres!$H$46=0,0,VLOOKUP(Paramètres!$H$47,BARRACK_Normal_Troops[#All],4))</f>
        <v>0</v>
      </c>
      <c r="G42" s="5">
        <f>IF($F42=0,0,IF(SUM(Paramètres!$K$6:$K$45)&lt;&gt;Paramètres!$K$3,0,VLOOKUP(MATCH(1,Paramètres!$K$6:$K$45,0),LABO_Normal_Troops[#All],4)))</f>
        <v>0</v>
      </c>
      <c r="H42" s="3">
        <f>IF(Paramètres!$H$46=0,0,VLOOKUP(Paramètres!$H$47,BARRACK_Normal_Troops[#All],5))</f>
        <v>0</v>
      </c>
      <c r="I42" s="37">
        <f>IF($H42=0,0,IF(SUM(Paramètres!$K$6:$K$45)&lt;&gt;Paramètres!$K$3,0,VLOOKUP(MATCH(1,Paramètres!$K$6:$K$45,0),LABO_Normal_Troops[#All],5)))</f>
        <v>0</v>
      </c>
      <c r="J42" s="1">
        <f>IF(Paramètres!$H$46=0,0,VLOOKUP(Paramètres!$H$47,BARRACK_Normal_Troops[#All],6))</f>
        <v>0</v>
      </c>
      <c r="K42" s="5">
        <f>IF($J42=0,0,IF(SUM(Paramètres!$K$6:$K$45)&lt;&gt;Paramètres!$K$3,0,VLOOKUP(MATCH(1,Paramètres!$K$6:$K$45,0),LABO_Normal_Troops[#All],6)))</f>
        <v>0</v>
      </c>
      <c r="L42" s="3">
        <f>IF(Paramètres!$H$46=0,0,VLOOKUP(Paramètres!$H$47,BARRACK_Normal_Troops[#All],7))</f>
        <v>0</v>
      </c>
      <c r="M42" s="37">
        <f>IF($L42=0,0,IF(SUM(Paramètres!$K$6:$K$45)&lt;&gt;Paramètres!$K$3,0,VLOOKUP(MATCH(1,Paramètres!$K$6:$K$45,0),LABO_Normal_Troops[#All],7)))</f>
        <v>0</v>
      </c>
      <c r="N42" s="1">
        <f>IF(Paramètres!$H$46=0,0,VLOOKUP(Paramètres!$H$47,BARRACK_Normal_Troops[#All],8))</f>
        <v>0</v>
      </c>
      <c r="O42" s="5">
        <f>IF($N42=0,0,IF(SUM(Paramètres!$K$6:$K$45)&lt;&gt;Paramètres!$K$3,0,VLOOKUP(MATCH(1,Paramètres!$K$6:$K$45,0),LABO_Normal_Troops[#All],8)))</f>
        <v>0</v>
      </c>
      <c r="P42" s="3">
        <f>IF(Paramètres!$H$46=0,0,VLOOKUP(Paramètres!$H$47,BARRACK_Normal_Troops[#All],9))</f>
        <v>0</v>
      </c>
      <c r="Q42" s="35">
        <f>IF($P42=0,0,IF(SUM(Paramètres!$K$6:$K$45)&lt;&gt;Paramètres!$K$3,0,VLOOKUP(MATCH(1,Paramètres!$K$6:$K$45,0),LABO_Normal_Troops[#All],9)))</f>
        <v>0</v>
      </c>
      <c r="R42" s="1">
        <f>IF(Paramètres!$H$46=0,0,VLOOKUP(Paramètres!$H$47,BARRACK_Normal_Troops[#All],10))</f>
        <v>0</v>
      </c>
      <c r="S42" s="5">
        <f>IF($R42=0,0,IF(SUM(Paramètres!$K$6:$K$45)&lt;&gt;Paramètres!$K$3,0,VLOOKUP(MATCH(1,Paramètres!$K$6:$K$45,0),LABO_Normal_Troops[#All],10)))</f>
        <v>0</v>
      </c>
      <c r="T42" s="172">
        <f>IF(Paramètres!$H$46=0,0,VLOOKUP(Paramètres!$H$47,BARRACK_Normal_Troops[#All],11))</f>
        <v>0</v>
      </c>
      <c r="U42" s="37">
        <f>IF($T42=0,0,IF(SUM(Paramètres!$K$6:$K$45)&lt;&gt;Paramètres!$K$3,0,VLOOKUP(MATCH(1,Paramètres!$K$6:$K$45,0),LABO_Normal_Troops[#All],11)))</f>
        <v>0</v>
      </c>
      <c r="W42" s="7">
        <v>9</v>
      </c>
      <c r="X42" s="169">
        <f t="shared" si="24"/>
        <v>0</v>
      </c>
      <c r="Y42" s="170">
        <f t="shared" si="24"/>
        <v>0</v>
      </c>
      <c r="Z42" s="174">
        <f t="shared" si="23"/>
        <v>0</v>
      </c>
      <c r="AA42" s="175">
        <f t="shared" si="23"/>
        <v>0</v>
      </c>
      <c r="AB42" s="171">
        <f t="shared" si="23"/>
        <v>0</v>
      </c>
      <c r="AC42" s="170">
        <f t="shared" si="23"/>
        <v>0</v>
      </c>
      <c r="AD42" s="174">
        <f t="shared" si="23"/>
        <v>0</v>
      </c>
      <c r="AE42" s="175">
        <f t="shared" si="23"/>
        <v>0</v>
      </c>
      <c r="AF42" s="171">
        <f t="shared" si="23"/>
        <v>0</v>
      </c>
      <c r="AG42" s="170">
        <f t="shared" si="23"/>
        <v>0</v>
      </c>
      <c r="AH42" s="174">
        <f t="shared" si="23"/>
        <v>0</v>
      </c>
      <c r="AI42" s="175">
        <f t="shared" si="23"/>
        <v>0</v>
      </c>
      <c r="AJ42" s="171">
        <f t="shared" si="23"/>
        <v>0</v>
      </c>
      <c r="AK42" s="170">
        <f t="shared" si="23"/>
        <v>0</v>
      </c>
      <c r="AL42" s="174">
        <f t="shared" si="23"/>
        <v>0</v>
      </c>
      <c r="AM42" s="175">
        <f t="shared" si="23"/>
        <v>0</v>
      </c>
      <c r="AN42" s="171">
        <f t="shared" si="23"/>
        <v>0</v>
      </c>
      <c r="AO42" s="170">
        <f t="shared" si="23"/>
        <v>0</v>
      </c>
      <c r="AP42" s="174">
        <f t="shared" si="23"/>
        <v>0</v>
      </c>
      <c r="AQ42" s="176">
        <f t="shared" si="23"/>
        <v>0</v>
      </c>
      <c r="AS42" s="13">
        <v>9</v>
      </c>
      <c r="AT42" s="791">
        <v>1</v>
      </c>
      <c r="AU42" s="37">
        <v>1</v>
      </c>
      <c r="AV42" s="5">
        <v>1</v>
      </c>
      <c r="AW42" s="37">
        <v>1</v>
      </c>
      <c r="AX42" s="46">
        <v>1</v>
      </c>
      <c r="AY42" s="35">
        <v>1</v>
      </c>
      <c r="AZ42" s="6">
        <v>1</v>
      </c>
      <c r="BA42" s="35">
        <v>1</v>
      </c>
      <c r="BB42" s="6">
        <v>1</v>
      </c>
      <c r="BC42" s="35">
        <v>0</v>
      </c>
    </row>
    <row r="43" spans="1:67" ht="12" thickBot="1" x14ac:dyDescent="0.25">
      <c r="A43" s="8">
        <v>10</v>
      </c>
      <c r="B43" s="22">
        <f>IF(Paramètres!$H$46=0,0,VLOOKUP(Paramètres!$H$47,BARRACK_Normal_Troops[#All],2))</f>
        <v>0</v>
      </c>
      <c r="C43" s="9">
        <f>IF($B43=0,0,IF(SUM(Paramètres!$K$6:$K$45)&lt;&gt;Paramètres!$K$3,0,VLOOKUP(MATCH(1,Paramètres!$K$6:$K$45,0),LABO_Normal_Troops[#All],2)))</f>
        <v>0</v>
      </c>
      <c r="D43" s="21">
        <f>IF(Paramètres!$H$46=0,0,VLOOKUP(Paramètres!$H$47,BARRACK_Normal_Troops[#All],3))</f>
        <v>0</v>
      </c>
      <c r="E43" s="38">
        <f>IF($D43=0,0,IF(SUM(Paramètres!$K$6:$K$45)&lt;&gt;Paramètres!$K$3,0,VLOOKUP(MATCH(1,Paramètres!$K$6:$K$45,0),LABO_Normal_Troops[#All],3)))</f>
        <v>0</v>
      </c>
      <c r="F43" s="22">
        <f>IF(Paramètres!$H$46=0,0,VLOOKUP(Paramètres!$H$47,BARRACK_Normal_Troops[#All],4))</f>
        <v>0</v>
      </c>
      <c r="G43" s="20">
        <f>IF($F43=0,0,IF(SUM(Paramètres!$K$6:$K$45)&lt;&gt;Paramètres!$K$3,0,VLOOKUP(MATCH(1,Paramètres!$K$6:$K$45,0),LABO_Normal_Troops[#All],4)))</f>
        <v>0</v>
      </c>
      <c r="H43" s="21">
        <f>IF(Paramètres!$H$46=0,0,VLOOKUP(Paramètres!$H$47,BARRACK_Normal_Troops[#All],5))</f>
        <v>0</v>
      </c>
      <c r="I43" s="38">
        <f>IF($H43=0,0,IF(SUM(Paramètres!$K$6:$K$45)&lt;&gt;Paramètres!$K$3,0,VLOOKUP(MATCH(1,Paramètres!$K$6:$K$45,0),LABO_Normal_Troops[#All],5)))</f>
        <v>0</v>
      </c>
      <c r="J43" s="22">
        <f>IF(Paramètres!$H$46=0,0,VLOOKUP(Paramètres!$H$47,BARRACK_Normal_Troops[#All],6))</f>
        <v>0</v>
      </c>
      <c r="K43" s="20">
        <f>IF($J43=0,0,IF(SUM(Paramètres!$K$6:$K$45)&lt;&gt;Paramètres!$K$3,0,VLOOKUP(MATCH(1,Paramètres!$K$6:$K$45,0),LABO_Normal_Troops[#All],6)))</f>
        <v>0</v>
      </c>
      <c r="L43" s="21">
        <f>IF(Paramètres!$H$46=0,0,VLOOKUP(Paramètres!$H$47,BARRACK_Normal_Troops[#All],7))</f>
        <v>0</v>
      </c>
      <c r="M43" s="38">
        <f>IF($L43=0,0,IF(SUM(Paramètres!$K$6:$K$45)&lt;&gt;Paramètres!$K$3,0,VLOOKUP(MATCH(1,Paramètres!$K$6:$K$45,0),LABO_Normal_Troops[#All],7)))</f>
        <v>0</v>
      </c>
      <c r="N43" s="22">
        <f>IF(Paramètres!$H$46=0,0,VLOOKUP(Paramètres!$H$47,BARRACK_Normal_Troops[#All],8))</f>
        <v>0</v>
      </c>
      <c r="O43" s="20">
        <f>IF($N43=0,0,IF(SUM(Paramètres!$K$6:$K$45)&lt;&gt;Paramètres!$K$3,0,VLOOKUP(MATCH(1,Paramètres!$K$6:$K$45,0),LABO_Normal_Troops[#All],8)))</f>
        <v>0</v>
      </c>
      <c r="P43" s="21">
        <f>IF(Paramètres!$H$46=0,0,VLOOKUP(Paramètres!$H$47,BARRACK_Normal_Troops[#All],9))</f>
        <v>0</v>
      </c>
      <c r="Q43" s="37">
        <f>IF($P43=0,0,IF(SUM(Paramètres!$K$6:$K$45)&lt;&gt;Paramètres!$K$3,0,VLOOKUP(MATCH(1,Paramètres!$K$6:$K$45,0),LABO_Normal_Troops[#All],9)))</f>
        <v>0</v>
      </c>
      <c r="R43" s="22">
        <f>IF(Paramètres!$H$46=0,0,VLOOKUP(Paramètres!$H$47,BARRACK_Normal_Troops[#All],10))</f>
        <v>0</v>
      </c>
      <c r="S43" s="20">
        <f>IF($R43=0,0,IF(SUM(Paramètres!$K$6:$K$45)&lt;&gt;Paramètres!$K$3,0,VLOOKUP(MATCH(1,Paramètres!$K$6:$K$45,0),LABO_Normal_Troops[#All],10)))</f>
        <v>0</v>
      </c>
      <c r="T43" s="172">
        <f>IF(Paramètres!$H$46=0,0,VLOOKUP(Paramètres!$H$47,BARRACK_Normal_Troops[#All],11))</f>
        <v>0</v>
      </c>
      <c r="U43" s="38">
        <f>IF($T43=0,0,IF(SUM(Paramètres!$K$6:$K$45)&lt;&gt;Paramètres!$K$3,0,VLOOKUP(MATCH(1,Paramètres!$K$6:$K$45,0),LABO_Normal_Troops[#All],11)))</f>
        <v>0</v>
      </c>
      <c r="W43" s="8">
        <v>10</v>
      </c>
      <c r="X43" s="169">
        <f t="shared" si="24"/>
        <v>0</v>
      </c>
      <c r="Y43" s="170">
        <f t="shared" si="24"/>
        <v>0</v>
      </c>
      <c r="Z43" s="174">
        <f t="shared" si="23"/>
        <v>0</v>
      </c>
      <c r="AA43" s="175">
        <f t="shared" si="23"/>
        <v>0</v>
      </c>
      <c r="AB43" s="171">
        <f t="shared" si="23"/>
        <v>0</v>
      </c>
      <c r="AC43" s="170">
        <f t="shared" si="23"/>
        <v>0</v>
      </c>
      <c r="AD43" s="174">
        <f t="shared" si="23"/>
        <v>0</v>
      </c>
      <c r="AE43" s="175">
        <f t="shared" si="23"/>
        <v>0</v>
      </c>
      <c r="AF43" s="171">
        <f t="shared" si="23"/>
        <v>0</v>
      </c>
      <c r="AG43" s="170">
        <f t="shared" si="23"/>
        <v>0</v>
      </c>
      <c r="AH43" s="174">
        <f t="shared" si="23"/>
        <v>0</v>
      </c>
      <c r="AI43" s="175">
        <f t="shared" si="23"/>
        <v>0</v>
      </c>
      <c r="AJ43" s="171">
        <f t="shared" si="23"/>
        <v>0</v>
      </c>
      <c r="AK43" s="170">
        <f t="shared" si="23"/>
        <v>0</v>
      </c>
      <c r="AL43" s="174">
        <f t="shared" si="23"/>
        <v>0</v>
      </c>
      <c r="AM43" s="175">
        <f t="shared" si="23"/>
        <v>0</v>
      </c>
      <c r="AN43" s="171">
        <f t="shared" si="23"/>
        <v>0</v>
      </c>
      <c r="AO43" s="170">
        <f t="shared" si="23"/>
        <v>0</v>
      </c>
      <c r="AP43" s="174">
        <f t="shared" si="23"/>
        <v>0</v>
      </c>
      <c r="AQ43" s="176">
        <f t="shared" si="23"/>
        <v>0</v>
      </c>
      <c r="AS43" s="19">
        <v>10</v>
      </c>
      <c r="AT43" s="792">
        <v>1</v>
      </c>
      <c r="AU43" s="38">
        <v>1</v>
      </c>
      <c r="AV43" s="20">
        <v>1</v>
      </c>
      <c r="AW43" s="38">
        <v>1</v>
      </c>
      <c r="AX43" s="60">
        <v>1</v>
      </c>
      <c r="AY43" s="38">
        <v>1</v>
      </c>
      <c r="AZ43" s="20">
        <v>1</v>
      </c>
      <c r="BA43" s="38">
        <v>1</v>
      </c>
      <c r="BB43" s="20">
        <v>1</v>
      </c>
      <c r="BC43" s="38">
        <v>1</v>
      </c>
    </row>
    <row r="44" spans="1:67" x14ac:dyDescent="0.2">
      <c r="AS44" s="13">
        <v>11</v>
      </c>
      <c r="AT44" s="790">
        <v>1</v>
      </c>
      <c r="AU44" s="35">
        <v>1</v>
      </c>
      <c r="AV44" s="6">
        <v>1</v>
      </c>
      <c r="AW44" s="35">
        <v>1</v>
      </c>
      <c r="AX44" s="6">
        <v>1</v>
      </c>
      <c r="AY44" s="35">
        <v>1</v>
      </c>
      <c r="AZ44" s="6">
        <v>1</v>
      </c>
      <c r="BA44" s="35">
        <v>1</v>
      </c>
      <c r="BB44" s="6">
        <v>1</v>
      </c>
      <c r="BC44" s="38">
        <v>1</v>
      </c>
    </row>
    <row r="45" spans="1:67" ht="12" thickBot="1" x14ac:dyDescent="0.25"/>
    <row r="46" spans="1:67" ht="30" customHeight="1" thickBot="1" x14ac:dyDescent="0.3">
      <c r="A46" s="1262" t="s">
        <v>400</v>
      </c>
      <c r="B46" s="1263"/>
      <c r="C46" s="1263"/>
      <c r="D46" s="1263"/>
      <c r="E46" s="1263"/>
      <c r="F46" s="1263"/>
      <c r="G46" s="1263"/>
      <c r="H46" s="1263"/>
      <c r="I46" s="1263"/>
      <c r="J46" s="1263"/>
      <c r="K46" s="1263"/>
      <c r="L46" s="1263"/>
      <c r="M46" s="1264"/>
      <c r="O46" s="1262" t="s">
        <v>373</v>
      </c>
      <c r="P46" s="1263"/>
      <c r="Q46" s="1263"/>
      <c r="R46" s="1263"/>
      <c r="S46" s="1263"/>
      <c r="T46" s="1263"/>
      <c r="U46" s="1263"/>
      <c r="V46" s="1263"/>
      <c r="W46" s="1263"/>
      <c r="X46" s="1263"/>
      <c r="Y46" s="1263"/>
      <c r="Z46" s="1263"/>
      <c r="AA46" s="1264"/>
      <c r="AD46" s="1262" t="s">
        <v>343</v>
      </c>
      <c r="AE46" s="1297"/>
      <c r="AF46" s="1297"/>
      <c r="AG46" s="1297"/>
      <c r="AH46" s="1297"/>
      <c r="AI46" s="1297"/>
      <c r="AJ46" s="1298"/>
      <c r="AL46" s="1262" t="s">
        <v>208</v>
      </c>
      <c r="AM46" s="1297"/>
      <c r="AN46" s="1297"/>
      <c r="AO46" s="1297"/>
      <c r="AP46" s="1297"/>
      <c r="AQ46" s="1297"/>
      <c r="AR46" s="1298"/>
    </row>
    <row r="47" spans="1:67" ht="34.5" thickBot="1" x14ac:dyDescent="0.25">
      <c r="A47" s="530" t="s">
        <v>616</v>
      </c>
      <c r="B47" s="922" t="s">
        <v>183</v>
      </c>
      <c r="C47" s="921" t="s">
        <v>15</v>
      </c>
      <c r="D47" s="921" t="s">
        <v>245</v>
      </c>
      <c r="E47" s="526" t="s">
        <v>21</v>
      </c>
      <c r="F47" s="921" t="s">
        <v>66</v>
      </c>
      <c r="G47" s="526" t="s">
        <v>22</v>
      </c>
      <c r="H47" s="921" t="s">
        <v>67</v>
      </c>
      <c r="I47" s="526" t="s">
        <v>23</v>
      </c>
      <c r="J47" s="921" t="s">
        <v>539</v>
      </c>
      <c r="K47" s="611" t="s">
        <v>566</v>
      </c>
      <c r="L47" s="921" t="s">
        <v>576</v>
      </c>
      <c r="M47" s="524" t="s">
        <v>24</v>
      </c>
      <c r="O47" s="530" t="s">
        <v>616</v>
      </c>
      <c r="P47" s="474" t="s">
        <v>183</v>
      </c>
      <c r="Q47" s="475" t="s">
        <v>15</v>
      </c>
      <c r="R47" s="475" t="s">
        <v>245</v>
      </c>
      <c r="S47" s="475" t="s">
        <v>21</v>
      </c>
      <c r="T47" s="475" t="s">
        <v>66</v>
      </c>
      <c r="U47" s="475" t="s">
        <v>22</v>
      </c>
      <c r="V47" s="475" t="s">
        <v>67</v>
      </c>
      <c r="W47" s="475" t="s">
        <v>23</v>
      </c>
      <c r="X47" s="475" t="s">
        <v>539</v>
      </c>
      <c r="Y47" s="477" t="s">
        <v>24</v>
      </c>
      <c r="Z47" s="475" t="s">
        <v>576</v>
      </c>
      <c r="AA47" s="477" t="s">
        <v>568</v>
      </c>
      <c r="AD47" s="12" t="s">
        <v>646</v>
      </c>
      <c r="AE47" s="922" t="s">
        <v>183</v>
      </c>
      <c r="AF47" s="921" t="s">
        <v>245</v>
      </c>
      <c r="AG47" s="921" t="s">
        <v>66</v>
      </c>
      <c r="AH47" s="921" t="s">
        <v>67</v>
      </c>
      <c r="AI47" s="921" t="s">
        <v>539</v>
      </c>
      <c r="AJ47" s="921" t="s">
        <v>576</v>
      </c>
      <c r="AL47" s="12" t="s">
        <v>616</v>
      </c>
      <c r="AM47" s="922" t="s">
        <v>183</v>
      </c>
      <c r="AN47" s="921" t="s">
        <v>245</v>
      </c>
      <c r="AO47" s="921" t="s">
        <v>66</v>
      </c>
      <c r="AP47" s="921" t="s">
        <v>67</v>
      </c>
      <c r="AQ47" s="921" t="s">
        <v>539</v>
      </c>
      <c r="AR47" s="921" t="s">
        <v>576</v>
      </c>
    </row>
    <row r="48" spans="1:67" x14ac:dyDescent="0.2">
      <c r="A48" s="531">
        <v>0</v>
      </c>
      <c r="B48" s="167">
        <f>IF(Paramètres!$I$46=0,0,VLOOKUP(Paramètres!$I$47,BARRACK_DARK_Troops[#All],2))</f>
        <v>0</v>
      </c>
      <c r="C48" s="9">
        <f>IF($B48=0,0,IF(SUM(Paramètres!$K$6:$K$45)&lt;&gt;Paramètres!$K$3,0,VLOOKUP(MATCH(1,Paramètres!$K$6:$K$45,0),LABO_Dark_Troops[#All],2)))</f>
        <v>0</v>
      </c>
      <c r="D48" s="172">
        <f>IF(Paramètres!$I$46=0,0,VLOOKUP(Paramètres!$I$47,BARRACK_DARK_Troops[#All],3))</f>
        <v>0</v>
      </c>
      <c r="E48" s="36">
        <f>IF($D48=0,0,IF(SUM(Paramètres!$K$6:$K$45)&lt;&gt;Paramètres!$K$3,0,VLOOKUP(MATCH(1,Paramètres!$K$6:$K$45,0),LABO_Dark_Troops[#All],3)))</f>
        <v>0</v>
      </c>
      <c r="F48" s="167">
        <f>IF(Paramètres!$I$46=0,0,VLOOKUP(Paramètres!$I$47,BARRACK_DARK_Troops[#All],4))</f>
        <v>0</v>
      </c>
      <c r="G48" s="9">
        <f>IF($F48=0,0,IF(SUM(Paramètres!$K$6:$K$45)&lt;&gt;Paramètres!$K$3,0,VLOOKUP(MATCH(1,Paramètres!$K$6:$K$45,0),LABO_Dark_Troops[#All],4)))</f>
        <v>0</v>
      </c>
      <c r="H48" s="172">
        <f>IF(Paramètres!$I$46=0,0,VLOOKUP(Paramètres!$I$47,BARRACK_DARK_Troops[#All],5))</f>
        <v>0</v>
      </c>
      <c r="I48" s="36">
        <f>IF($H48=0,0,IF(SUM(Paramètres!$K$6:$K$45)&lt;&gt;Paramètres!$K$3,0,VLOOKUP(MATCH(1,Paramètres!$K$6:$K$45,0),LABO_Dark_Troops[#All],5)))</f>
        <v>0</v>
      </c>
      <c r="J48" s="167">
        <f>IF(Paramètres!$I$46=0,0,VLOOKUP(Paramètres!$I$47,BARRACK_DARK_Troops[#All],6))</f>
        <v>0</v>
      </c>
      <c r="K48" s="9">
        <f>IF($J48=0,0,IF(SUM(Paramètres!$K$6:$K$45)&lt;&gt;Paramètres!$K$3,0,VLOOKUP(MATCH(1,Paramètres!$K$6:$K$45,0),LABO_Dark_Troops[#All],6)))</f>
        <v>0</v>
      </c>
      <c r="L48" s="172">
        <f>IF(Paramètres!$I$46=0,0,VLOOKUP(Paramètres!$I$47,BARRACK_DARK_Troops[#All],7))</f>
        <v>0</v>
      </c>
      <c r="M48" s="36">
        <f>IF($L48=0,0,IF(SUM(Paramètres!$K$6:$K$45)&lt;&gt;Paramètres!$K$3,0,VLOOKUP(MATCH(1,Paramètres!$K$6:$K$45,0),LABO_Dark_Troops[#All],7)))</f>
        <v>0</v>
      </c>
      <c r="O48" s="531">
        <v>0</v>
      </c>
      <c r="P48" s="793">
        <f>B48</f>
        <v>0</v>
      </c>
      <c r="Q48" s="794">
        <f t="shared" ref="Q48:AA48" si="25">C48</f>
        <v>0</v>
      </c>
      <c r="R48" s="795">
        <f t="shared" si="25"/>
        <v>0</v>
      </c>
      <c r="S48" s="796">
        <f t="shared" si="25"/>
        <v>0</v>
      </c>
      <c r="T48" s="797">
        <f t="shared" si="25"/>
        <v>0</v>
      </c>
      <c r="U48" s="794">
        <f t="shared" si="25"/>
        <v>0</v>
      </c>
      <c r="V48" s="795">
        <f t="shared" si="25"/>
        <v>0</v>
      </c>
      <c r="W48" s="796">
        <f t="shared" si="25"/>
        <v>0</v>
      </c>
      <c r="X48" s="797">
        <f t="shared" si="25"/>
        <v>0</v>
      </c>
      <c r="Y48" s="794">
        <f t="shared" si="25"/>
        <v>0</v>
      </c>
      <c r="Z48" s="795">
        <f t="shared" si="25"/>
        <v>0</v>
      </c>
      <c r="AA48" s="798">
        <f t="shared" si="25"/>
        <v>0</v>
      </c>
      <c r="AD48" s="13">
        <v>0</v>
      </c>
      <c r="AE48" s="790">
        <v>0</v>
      </c>
      <c r="AF48" s="35">
        <v>0</v>
      </c>
      <c r="AG48" s="6">
        <v>0</v>
      </c>
      <c r="AH48" s="37">
        <v>0</v>
      </c>
      <c r="AI48" s="47">
        <v>0</v>
      </c>
      <c r="AJ48" s="35">
        <v>0</v>
      </c>
      <c r="AL48" s="13">
        <v>0</v>
      </c>
      <c r="AM48" s="790">
        <v>0</v>
      </c>
      <c r="AN48" s="35">
        <v>0</v>
      </c>
      <c r="AO48" s="6">
        <v>0</v>
      </c>
      <c r="AP48" s="35">
        <v>0</v>
      </c>
      <c r="AQ48" s="47">
        <v>0</v>
      </c>
      <c r="AR48" s="173">
        <v>0</v>
      </c>
    </row>
    <row r="49" spans="1:44" x14ac:dyDescent="0.2">
      <c r="A49" s="532">
        <v>1</v>
      </c>
      <c r="B49" s="536">
        <f>IF(Paramètres!$I$46=0,0,VLOOKUP(Paramètres!$I$47,BARRACK_DARK_Troops[#All],2))</f>
        <v>0</v>
      </c>
      <c r="C49" s="5">
        <f>IF($B49=0,0,IF(SUM(Paramètres!$K$6:$K$45)&lt;&gt;Paramètres!$K$3,0,VLOOKUP(MATCH(1,Paramètres!$K$6:$K$45,0),LABO_Dark_Troops[#All],2)))</f>
        <v>0</v>
      </c>
      <c r="D49" s="3">
        <f>IF(Paramètres!$I$46=0,0,VLOOKUP(Paramètres!$I$47,BARRACK_DARK_Troops[#All],3))</f>
        <v>0</v>
      </c>
      <c r="E49" s="37">
        <f>IF($D49=0,0,IF(SUM(Paramètres!$K$6:$K$45)&lt;&gt;Paramètres!$K$3,0,VLOOKUP(MATCH(1,Paramètres!$K$6:$K$45,0),LABO_Dark_Troops[#All],3)))</f>
        <v>0</v>
      </c>
      <c r="F49" s="1">
        <f>IF(Paramètres!$I$46=0,0,VLOOKUP(Paramètres!$I$47,BARRACK_DARK_Troops[#All],4))</f>
        <v>0</v>
      </c>
      <c r="G49" s="5">
        <f>IF($F49=0,0,IF(SUM(Paramètres!$K$6:$K$45)&lt;&gt;Paramètres!$K$3,0,VLOOKUP(MATCH(1,Paramètres!$K$6:$K$45,0),LABO_Dark_Troops[#All],4)))</f>
        <v>0</v>
      </c>
      <c r="H49" s="3">
        <f>IF(Paramètres!$I$46=0,0,VLOOKUP(Paramètres!$I$47,BARRACK_DARK_Troops[#All],5))</f>
        <v>0</v>
      </c>
      <c r="I49" s="37">
        <f>IF($H49=0,0,IF(SUM(Paramètres!$K$6:$K$45)&lt;&gt;Paramètres!$K$3,0,VLOOKUP(MATCH(1,Paramètres!$K$6:$K$45,0),LABO_Dark_Troops[#All],5)))</f>
        <v>0</v>
      </c>
      <c r="J49" s="1">
        <f>IF(Paramètres!$I$46=0,0,VLOOKUP(Paramètres!$I$47,BARRACK_DARK_Troops[#All],6))</f>
        <v>0</v>
      </c>
      <c r="K49" s="5">
        <f>IF($J49=0,0,IF(SUM(Paramètres!$K$6:$K$45)&lt;&gt;Paramètres!$K$3,0,VLOOKUP(MATCH(1,Paramètres!$K$6:$K$45,0),LABO_Dark_Troops[#All],6)))</f>
        <v>0</v>
      </c>
      <c r="L49" s="3">
        <f>IF(Paramètres!$I$46=0,0,VLOOKUP(Paramètres!$I$47,BARRACK_DARK_Troops[#All],7))</f>
        <v>0</v>
      </c>
      <c r="M49" s="37">
        <f>IF($L49=0,0,IF(SUM(Paramètres!$K$6:$K$45)&lt;&gt;Paramètres!$K$3,0,VLOOKUP(MATCH(1,Paramètres!$K$6:$K$45,0),LABO_Dark_Troops[#All],7)))</f>
        <v>0</v>
      </c>
      <c r="O49" s="532">
        <v>1</v>
      </c>
      <c r="P49" s="70">
        <f>B49-B48</f>
        <v>0</v>
      </c>
      <c r="Q49" s="67">
        <f t="shared" ref="Q49:AA58" si="26">C49-C48</f>
        <v>0</v>
      </c>
      <c r="R49" s="68">
        <f t="shared" si="26"/>
        <v>0</v>
      </c>
      <c r="S49" s="69">
        <f t="shared" si="26"/>
        <v>0</v>
      </c>
      <c r="T49" s="66">
        <f t="shared" si="26"/>
        <v>0</v>
      </c>
      <c r="U49" s="67">
        <f t="shared" si="26"/>
        <v>0</v>
      </c>
      <c r="V49" s="68">
        <f t="shared" si="26"/>
        <v>0</v>
      </c>
      <c r="W49" s="69">
        <f t="shared" si="26"/>
        <v>0</v>
      </c>
      <c r="X49" s="66">
        <f t="shared" si="26"/>
        <v>0</v>
      </c>
      <c r="Y49" s="67">
        <f t="shared" si="26"/>
        <v>0</v>
      </c>
      <c r="Z49" s="68">
        <f t="shared" si="26"/>
        <v>0</v>
      </c>
      <c r="AA49" s="71">
        <f t="shared" si="26"/>
        <v>0</v>
      </c>
      <c r="AD49" s="13">
        <v>1</v>
      </c>
      <c r="AE49" s="791">
        <v>1</v>
      </c>
      <c r="AF49" s="37">
        <v>0</v>
      </c>
      <c r="AG49" s="6">
        <v>0</v>
      </c>
      <c r="AH49" s="37">
        <v>0</v>
      </c>
      <c r="AI49" s="47">
        <v>0</v>
      </c>
      <c r="AJ49" s="35">
        <v>0</v>
      </c>
      <c r="AL49" s="13">
        <v>1</v>
      </c>
      <c r="AM49" s="791">
        <v>1</v>
      </c>
      <c r="AN49" s="37">
        <v>1</v>
      </c>
      <c r="AO49" s="5">
        <v>1</v>
      </c>
      <c r="AP49" s="37">
        <v>1</v>
      </c>
      <c r="AQ49" s="46">
        <v>1</v>
      </c>
      <c r="AR49" s="35">
        <v>1</v>
      </c>
    </row>
    <row r="50" spans="1:44" x14ac:dyDescent="0.2">
      <c r="A50" s="533">
        <v>2</v>
      </c>
      <c r="B50" s="535">
        <f>IF(Paramètres!$I$46=0,0,VLOOKUP(Paramètres!$I$47,BARRACK_DARK_Troops[#All],2))</f>
        <v>0</v>
      </c>
      <c r="C50" s="6">
        <f>IF($B50=0,0,IF(SUM(Paramètres!$K$6:$K$45)&lt;&gt;Paramètres!$K$3,0,VLOOKUP(MATCH(1,Paramètres!$K$6:$K$45,0),LABO_Dark_Troops[#All],2)))</f>
        <v>0</v>
      </c>
      <c r="D50" s="4">
        <f>IF(Paramètres!$I$46=0,0,VLOOKUP(Paramètres!$I$47,BARRACK_DARK_Troops[#All],3))</f>
        <v>0</v>
      </c>
      <c r="E50" s="35">
        <f>IF($D50=0,0,IF(SUM(Paramètres!$K$6:$K$45)&lt;&gt;Paramètres!$K$3,0,VLOOKUP(MATCH(1,Paramètres!$K$6:$K$45,0),LABO_Dark_Troops[#All],3)))</f>
        <v>0</v>
      </c>
      <c r="F50" s="2">
        <f>IF(Paramètres!$I$46=0,0,VLOOKUP(Paramètres!$I$47,BARRACK_DARK_Troops[#All],4))</f>
        <v>0</v>
      </c>
      <c r="G50" s="6">
        <f>IF($F50=0,0,IF(SUM(Paramètres!$K$6:$K$45)&lt;&gt;Paramètres!$K$3,0,VLOOKUP(MATCH(1,Paramètres!$K$6:$K$45,0),LABO_Dark_Troops[#All],4)))</f>
        <v>0</v>
      </c>
      <c r="H50" s="4">
        <f>IF(Paramètres!$I$46=0,0,VLOOKUP(Paramètres!$I$47,BARRACK_DARK_Troops[#All],5))</f>
        <v>0</v>
      </c>
      <c r="I50" s="35">
        <f>IF($H50=0,0,IF(SUM(Paramètres!$K$6:$K$45)&lt;&gt;Paramètres!$K$3,0,VLOOKUP(MATCH(1,Paramètres!$K$6:$K$45,0),LABO_Dark_Troops[#All],5)))</f>
        <v>0</v>
      </c>
      <c r="J50" s="2">
        <f>IF(Paramètres!$I$46=0,0,VLOOKUP(Paramètres!$I$47,BARRACK_DARK_Troops[#All],6))</f>
        <v>0</v>
      </c>
      <c r="K50" s="6">
        <f>IF($J50=0,0,IF(SUM(Paramètres!$K$6:$K$45)&lt;&gt;Paramètres!$K$3,0,VLOOKUP(MATCH(1,Paramètres!$K$6:$K$45,0),LABO_Dark_Troops[#All],6)))</f>
        <v>0</v>
      </c>
      <c r="L50" s="4">
        <f>IF(Paramètres!$I$46=0,0,VLOOKUP(Paramètres!$I$47,BARRACK_DARK_Troops[#All],7))</f>
        <v>0</v>
      </c>
      <c r="M50" s="35">
        <f>IF($L50=0,0,IF(SUM(Paramètres!$K$6:$K$45)&lt;&gt;Paramètres!$K$3,0,VLOOKUP(MATCH(1,Paramètres!$K$6:$K$45,0),LABO_Dark_Troops[#All],7)))</f>
        <v>0</v>
      </c>
      <c r="O50" s="533">
        <v>2</v>
      </c>
      <c r="P50" s="70">
        <f t="shared" ref="P50:P58" si="27">B50-B49</f>
        <v>0</v>
      </c>
      <c r="Q50" s="67">
        <f t="shared" si="26"/>
        <v>0</v>
      </c>
      <c r="R50" s="68">
        <f t="shared" si="26"/>
        <v>0</v>
      </c>
      <c r="S50" s="69">
        <f t="shared" si="26"/>
        <v>0</v>
      </c>
      <c r="T50" s="66">
        <f t="shared" si="26"/>
        <v>0</v>
      </c>
      <c r="U50" s="67">
        <f t="shared" si="26"/>
        <v>0</v>
      </c>
      <c r="V50" s="68">
        <f t="shared" si="26"/>
        <v>0</v>
      </c>
      <c r="W50" s="69">
        <f t="shared" si="26"/>
        <v>0</v>
      </c>
      <c r="X50" s="66">
        <f t="shared" si="26"/>
        <v>0</v>
      </c>
      <c r="Y50" s="67">
        <f t="shared" si="26"/>
        <v>0</v>
      </c>
      <c r="Z50" s="68">
        <f t="shared" si="26"/>
        <v>0</v>
      </c>
      <c r="AA50" s="71">
        <f t="shared" si="26"/>
        <v>0</v>
      </c>
      <c r="AD50" s="13">
        <v>2</v>
      </c>
      <c r="AE50" s="790">
        <v>1</v>
      </c>
      <c r="AF50" s="35">
        <v>1</v>
      </c>
      <c r="AG50" s="6">
        <v>0</v>
      </c>
      <c r="AH50" s="37">
        <v>0</v>
      </c>
      <c r="AI50" s="47">
        <v>0</v>
      </c>
      <c r="AJ50" s="35">
        <v>0</v>
      </c>
      <c r="AL50" s="13">
        <v>2</v>
      </c>
      <c r="AM50" s="790">
        <v>1</v>
      </c>
      <c r="AN50" s="35">
        <v>1</v>
      </c>
      <c r="AO50" s="6">
        <v>1</v>
      </c>
      <c r="AP50" s="35">
        <v>1</v>
      </c>
      <c r="AQ50" s="47">
        <v>1</v>
      </c>
      <c r="AR50" s="35">
        <v>1</v>
      </c>
    </row>
    <row r="51" spans="1:44" x14ac:dyDescent="0.2">
      <c r="A51" s="533">
        <v>3</v>
      </c>
      <c r="B51" s="536">
        <f>IF(Paramètres!$I$46=0,0,VLOOKUP(Paramètres!$I$47,BARRACK_DARK_Troops[#All],2))</f>
        <v>0</v>
      </c>
      <c r="C51" s="5">
        <f>IF($B51=0,0,IF(SUM(Paramètres!$K$6:$K$45)&lt;&gt;Paramètres!$K$3,0,VLOOKUP(MATCH(1,Paramètres!$K$6:$K$45,0),LABO_Dark_Troops[#All],2)))</f>
        <v>0</v>
      </c>
      <c r="D51" s="3">
        <f>IF(Paramètres!$I$46=0,0,VLOOKUP(Paramètres!$I$47,BARRACK_DARK_Troops[#All],3))</f>
        <v>0</v>
      </c>
      <c r="E51" s="37">
        <f>IF($D51=0,0,IF(SUM(Paramètres!$K$6:$K$45)&lt;&gt;Paramètres!$K$3,0,VLOOKUP(MATCH(1,Paramètres!$K$6:$K$45,0),LABO_Dark_Troops[#All],3)))</f>
        <v>0</v>
      </c>
      <c r="F51" s="1">
        <f>IF(Paramètres!$I$46=0,0,VLOOKUP(Paramètres!$I$47,BARRACK_DARK_Troops[#All],4))</f>
        <v>0</v>
      </c>
      <c r="G51" s="5">
        <f>IF($F51=0,0,IF(SUM(Paramètres!$K$6:$K$45)&lt;&gt;Paramètres!$K$3,0,VLOOKUP(MATCH(1,Paramètres!$K$6:$K$45,0),LABO_Dark_Troops[#All],4)))</f>
        <v>0</v>
      </c>
      <c r="H51" s="3">
        <f>IF(Paramètres!$I$46=0,0,VLOOKUP(Paramètres!$I$47,BARRACK_DARK_Troops[#All],5))</f>
        <v>0</v>
      </c>
      <c r="I51" s="37">
        <f>IF($H51=0,0,IF(SUM(Paramètres!$K$6:$K$45)&lt;&gt;Paramètres!$K$3,0,VLOOKUP(MATCH(1,Paramètres!$K$6:$K$45,0),LABO_Dark_Troops[#All],5)))</f>
        <v>0</v>
      </c>
      <c r="J51" s="1">
        <f>IF(Paramètres!$I$46=0,0,VLOOKUP(Paramètres!$I$47,BARRACK_DARK_Troops[#All],6))</f>
        <v>0</v>
      </c>
      <c r="K51" s="5">
        <f>IF($J51=0,0,IF(SUM(Paramètres!$K$6:$K$45)&lt;&gt;Paramètres!$K$3,0,VLOOKUP(MATCH(1,Paramètres!$K$6:$K$45,0),LABO_Dark_Troops[#All],6)))</f>
        <v>0</v>
      </c>
      <c r="L51" s="3">
        <f>IF(Paramètres!$I$46=0,0,VLOOKUP(Paramètres!$I$47,BARRACK_DARK_Troops[#All],7))</f>
        <v>0</v>
      </c>
      <c r="M51" s="37">
        <f>IF($L51=0,0,IF(SUM(Paramètres!$K$6:$K$45)&lt;&gt;Paramètres!$K$3,0,VLOOKUP(MATCH(1,Paramètres!$K$6:$K$45,0),LABO_Dark_Troops[#All],7)))</f>
        <v>0</v>
      </c>
      <c r="O51" s="533">
        <v>3</v>
      </c>
      <c r="P51" s="70">
        <f t="shared" si="27"/>
        <v>0</v>
      </c>
      <c r="Q51" s="67">
        <f t="shared" si="26"/>
        <v>0</v>
      </c>
      <c r="R51" s="68">
        <f t="shared" si="26"/>
        <v>0</v>
      </c>
      <c r="S51" s="69">
        <f t="shared" si="26"/>
        <v>0</v>
      </c>
      <c r="T51" s="66">
        <f t="shared" si="26"/>
        <v>0</v>
      </c>
      <c r="U51" s="67">
        <f t="shared" si="26"/>
        <v>0</v>
      </c>
      <c r="V51" s="68">
        <f t="shared" si="26"/>
        <v>0</v>
      </c>
      <c r="W51" s="69">
        <f t="shared" si="26"/>
        <v>0</v>
      </c>
      <c r="X51" s="66">
        <f t="shared" si="26"/>
        <v>0</v>
      </c>
      <c r="Y51" s="67">
        <f t="shared" si="26"/>
        <v>0</v>
      </c>
      <c r="Z51" s="68">
        <f t="shared" si="26"/>
        <v>0</v>
      </c>
      <c r="AA51" s="71">
        <f t="shared" si="26"/>
        <v>0</v>
      </c>
      <c r="AD51" s="13">
        <v>3</v>
      </c>
      <c r="AE51" s="791">
        <v>1</v>
      </c>
      <c r="AF51" s="37">
        <v>1</v>
      </c>
      <c r="AG51" s="5">
        <v>1</v>
      </c>
      <c r="AH51" s="37">
        <v>0</v>
      </c>
      <c r="AI51" s="47">
        <v>0</v>
      </c>
      <c r="AJ51" s="35">
        <v>0</v>
      </c>
      <c r="AL51" s="13">
        <v>3</v>
      </c>
      <c r="AM51" s="791">
        <v>1</v>
      </c>
      <c r="AN51" s="37">
        <v>1</v>
      </c>
      <c r="AO51" s="5">
        <v>1</v>
      </c>
      <c r="AP51" s="37">
        <v>1</v>
      </c>
      <c r="AQ51" s="46">
        <v>1</v>
      </c>
      <c r="AR51" s="35">
        <v>1</v>
      </c>
    </row>
    <row r="52" spans="1:44" x14ac:dyDescent="0.2">
      <c r="A52" s="533">
        <v>4</v>
      </c>
      <c r="B52" s="535">
        <f>IF(Paramètres!$I$46=0,0,VLOOKUP(Paramètres!$I$47,BARRACK_DARK_Troops[#All],2))</f>
        <v>0</v>
      </c>
      <c r="C52" s="6">
        <f>IF($B52=0,0,IF(SUM(Paramètres!$K$6:$K$45)&lt;&gt;Paramètres!$K$3,0,VLOOKUP(MATCH(1,Paramètres!$K$6:$K$45,0),LABO_Dark_Troops[#All],2)))</f>
        <v>0</v>
      </c>
      <c r="D52" s="4">
        <f>IF(Paramètres!$I$46=0,0,VLOOKUP(Paramètres!$I$47,BARRACK_DARK_Troops[#All],3))</f>
        <v>0</v>
      </c>
      <c r="E52" s="35">
        <f>IF($D52=0,0,IF(SUM(Paramètres!$K$6:$K$45)&lt;&gt;Paramètres!$K$3,0,VLOOKUP(MATCH(1,Paramètres!$K$6:$K$45,0),LABO_Dark_Troops[#All],3)))</f>
        <v>0</v>
      </c>
      <c r="F52" s="2">
        <f>IF(Paramètres!$I$46=0,0,VLOOKUP(Paramètres!$I$47,BARRACK_DARK_Troops[#All],4))</f>
        <v>0</v>
      </c>
      <c r="G52" s="6">
        <f>IF($F52=0,0,IF(SUM(Paramètres!$K$6:$K$45)&lt;&gt;Paramètres!$K$3,0,VLOOKUP(MATCH(1,Paramètres!$K$6:$K$45,0),LABO_Dark_Troops[#All],4)))</f>
        <v>0</v>
      </c>
      <c r="H52" s="4">
        <f>IF(Paramètres!$I$46=0,0,VLOOKUP(Paramètres!$I$47,BARRACK_DARK_Troops[#All],5))</f>
        <v>0</v>
      </c>
      <c r="I52" s="35">
        <f>IF($H52=0,0,IF(SUM(Paramètres!$K$6:$K$45)&lt;&gt;Paramètres!$K$3,0,VLOOKUP(MATCH(1,Paramètres!$K$6:$K$45,0),LABO_Dark_Troops[#All],5)))</f>
        <v>0</v>
      </c>
      <c r="J52" s="2">
        <f>IF(Paramètres!$I$46=0,0,VLOOKUP(Paramètres!$I$47,BARRACK_DARK_Troops[#All],6))</f>
        <v>0</v>
      </c>
      <c r="K52" s="6">
        <f>IF($J52=0,0,IF(SUM(Paramètres!$K$6:$K$45)&lt;&gt;Paramètres!$K$3,0,VLOOKUP(MATCH(1,Paramètres!$K$6:$K$45,0),LABO_Dark_Troops[#All],6)))</f>
        <v>0</v>
      </c>
      <c r="L52" s="4">
        <f>IF(Paramètres!$I$46=0,0,VLOOKUP(Paramètres!$I$47,BARRACK_DARK_Troops[#All],7))</f>
        <v>0</v>
      </c>
      <c r="M52" s="35">
        <f>IF($L52=0,0,IF(SUM(Paramètres!$K$6:$K$45)&lt;&gt;Paramètres!$K$3,0,VLOOKUP(MATCH(1,Paramètres!$K$6:$K$45,0),LABO_Dark_Troops[#All],7)))</f>
        <v>0</v>
      </c>
      <c r="O52" s="533">
        <v>4</v>
      </c>
      <c r="P52" s="70">
        <f t="shared" si="27"/>
        <v>0</v>
      </c>
      <c r="Q52" s="67">
        <f t="shared" si="26"/>
        <v>0</v>
      </c>
      <c r="R52" s="68">
        <f t="shared" si="26"/>
        <v>0</v>
      </c>
      <c r="S52" s="69">
        <f t="shared" si="26"/>
        <v>0</v>
      </c>
      <c r="T52" s="66">
        <f t="shared" si="26"/>
        <v>0</v>
      </c>
      <c r="U52" s="67">
        <f t="shared" si="26"/>
        <v>0</v>
      </c>
      <c r="V52" s="68">
        <f t="shared" si="26"/>
        <v>0</v>
      </c>
      <c r="W52" s="69">
        <f t="shared" si="26"/>
        <v>0</v>
      </c>
      <c r="X52" s="66">
        <f t="shared" si="26"/>
        <v>0</v>
      </c>
      <c r="Y52" s="67">
        <f t="shared" si="26"/>
        <v>0</v>
      </c>
      <c r="Z52" s="68">
        <f t="shared" si="26"/>
        <v>0</v>
      </c>
      <c r="AA52" s="71">
        <f t="shared" si="26"/>
        <v>0</v>
      </c>
      <c r="AD52" s="13">
        <v>4</v>
      </c>
      <c r="AE52" s="790">
        <v>1</v>
      </c>
      <c r="AF52" s="35">
        <v>1</v>
      </c>
      <c r="AG52" s="6">
        <v>1</v>
      </c>
      <c r="AH52" s="35">
        <v>1</v>
      </c>
      <c r="AI52" s="47">
        <v>0</v>
      </c>
      <c r="AJ52" s="35">
        <v>0</v>
      </c>
      <c r="AL52" s="13">
        <v>4</v>
      </c>
      <c r="AM52" s="790">
        <v>1</v>
      </c>
      <c r="AN52" s="35">
        <v>1</v>
      </c>
      <c r="AO52" s="6">
        <v>1</v>
      </c>
      <c r="AP52" s="35">
        <v>1</v>
      </c>
      <c r="AQ52" s="47">
        <v>1</v>
      </c>
      <c r="AR52" s="35">
        <v>1</v>
      </c>
    </row>
    <row r="53" spans="1:44" x14ac:dyDescent="0.2">
      <c r="A53" s="533">
        <v>5</v>
      </c>
      <c r="B53" s="536">
        <f>IF(Paramètres!$I$46=0,0,VLOOKUP(Paramètres!$I$47,BARRACK_DARK_Troops[#All],2))</f>
        <v>0</v>
      </c>
      <c r="C53" s="9">
        <f>IF($B53=0,0,IF(SUM(Paramètres!$K$6:$K$45)&lt;&gt;Paramètres!$K$3,0,VLOOKUP(MATCH(1,Paramètres!$K$6:$K$45,0),LABO_Dark_Troops[#All],2)))</f>
        <v>0</v>
      </c>
      <c r="D53" s="3">
        <f>IF(Paramètres!$I$46=0,0,VLOOKUP(Paramètres!$I$47,BARRACK_DARK_Troops[#All],3))</f>
        <v>0</v>
      </c>
      <c r="E53" s="36">
        <f>IF($D53=0,0,IF(SUM(Paramètres!$K$6:$K$45)&lt;&gt;Paramètres!$K$3,0,VLOOKUP(MATCH(1,Paramètres!$K$6:$K$45,0),LABO_Dark_Troops[#All],3)))</f>
        <v>0</v>
      </c>
      <c r="F53" s="1">
        <f>IF(Paramètres!$I$46=0,0,VLOOKUP(Paramètres!$I$47,BARRACK_DARK_Troops[#All],4))</f>
        <v>0</v>
      </c>
      <c r="G53" s="6">
        <f>IF($F53=0,0,IF(SUM(Paramètres!$K$6:$K$45)&lt;&gt;Paramètres!$K$3,0,VLOOKUP(MATCH(1,Paramètres!$K$6:$K$45,0),LABO_Dark_Troops[#All],4)))</f>
        <v>0</v>
      </c>
      <c r="H53" s="3">
        <f>IF(Paramètres!$I$46=0,0,VLOOKUP(Paramètres!$I$47,BARRACK_DARK_Troops[#All],5))</f>
        <v>0</v>
      </c>
      <c r="I53" s="35">
        <f>IF($H53=0,0,IF(SUM(Paramètres!$K$6:$K$45)&lt;&gt;Paramètres!$K$3,0,VLOOKUP(MATCH(1,Paramètres!$K$6:$K$45,0),LABO_Dark_Troops[#All],5)))</f>
        <v>0</v>
      </c>
      <c r="J53" s="1">
        <f>IF(Paramètres!$I$46=0,0,VLOOKUP(Paramètres!$I$47,BARRACK_DARK_Troops[#All],6))</f>
        <v>0</v>
      </c>
      <c r="K53" s="5">
        <f>IF($J53=0,0,IF(SUM(Paramètres!$K$6:$K$45)&lt;&gt;Paramètres!$K$3,0,VLOOKUP(MATCH(1,Paramètres!$K$6:$K$45,0),LABO_Dark_Troops[#All],6)))</f>
        <v>0</v>
      </c>
      <c r="L53" s="3">
        <f>IF(Paramètres!$I$46=0,0,VLOOKUP(Paramètres!$I$47,BARRACK_DARK_Troops[#All],7))</f>
        <v>0</v>
      </c>
      <c r="M53" s="37">
        <f>IF($L53=0,0,IF(SUM(Paramètres!$K$6:$K$45)&lt;&gt;Paramètres!$K$3,0,VLOOKUP(MATCH(1,Paramètres!$K$6:$K$45,0),LABO_Dark_Troops[#All],7)))</f>
        <v>0</v>
      </c>
      <c r="O53" s="533">
        <v>5</v>
      </c>
      <c r="P53" s="70">
        <f t="shared" si="27"/>
        <v>0</v>
      </c>
      <c r="Q53" s="67">
        <f t="shared" si="26"/>
        <v>0</v>
      </c>
      <c r="R53" s="68">
        <f t="shared" si="26"/>
        <v>0</v>
      </c>
      <c r="S53" s="69">
        <f t="shared" si="26"/>
        <v>0</v>
      </c>
      <c r="T53" s="66">
        <f t="shared" si="26"/>
        <v>0</v>
      </c>
      <c r="U53" s="67">
        <f t="shared" si="26"/>
        <v>0</v>
      </c>
      <c r="V53" s="68">
        <f t="shared" si="26"/>
        <v>0</v>
      </c>
      <c r="W53" s="69">
        <f t="shared" si="26"/>
        <v>0</v>
      </c>
      <c r="X53" s="66">
        <f t="shared" si="26"/>
        <v>0</v>
      </c>
      <c r="Y53" s="67">
        <f t="shared" si="26"/>
        <v>0</v>
      </c>
      <c r="Z53" s="68">
        <f t="shared" si="26"/>
        <v>0</v>
      </c>
      <c r="AA53" s="71">
        <f t="shared" si="26"/>
        <v>0</v>
      </c>
      <c r="AD53" s="13">
        <v>5</v>
      </c>
      <c r="AE53" s="791">
        <v>1</v>
      </c>
      <c r="AF53" s="37">
        <v>1</v>
      </c>
      <c r="AG53" s="5">
        <v>1</v>
      </c>
      <c r="AH53" s="37">
        <v>1</v>
      </c>
      <c r="AI53" s="46">
        <v>1</v>
      </c>
      <c r="AJ53" s="35">
        <v>0</v>
      </c>
      <c r="AL53" s="13">
        <v>5</v>
      </c>
      <c r="AM53" s="791">
        <v>2</v>
      </c>
      <c r="AN53" s="37">
        <v>2</v>
      </c>
      <c r="AO53" s="5">
        <v>1</v>
      </c>
      <c r="AP53" s="37">
        <v>1</v>
      </c>
      <c r="AQ53" s="46">
        <v>1</v>
      </c>
      <c r="AR53" s="35">
        <v>1</v>
      </c>
    </row>
    <row r="54" spans="1:44" x14ac:dyDescent="0.2">
      <c r="A54" s="533">
        <v>6</v>
      </c>
      <c r="B54" s="535">
        <f>IF(Paramètres!$I$46=0,0,VLOOKUP(Paramètres!$I$47,BARRACK_DARK_Troops[#All],2))</f>
        <v>0</v>
      </c>
      <c r="C54" s="9">
        <f>IF($B54=0,0,IF(SUM(Paramètres!$K$6:$K$45)&lt;&gt;Paramètres!$K$3,0,VLOOKUP(MATCH(1,Paramètres!$K$6:$K$45,0),LABO_Dark_Troops[#All],2)))</f>
        <v>0</v>
      </c>
      <c r="D54" s="4">
        <f>IF(Paramètres!$I$46=0,0,VLOOKUP(Paramètres!$I$47,BARRACK_DARK_Troops[#All],3))</f>
        <v>0</v>
      </c>
      <c r="E54" s="36">
        <f>IF($D54=0,0,IF(SUM(Paramètres!$K$6:$K$45)&lt;&gt;Paramètres!$K$3,0,VLOOKUP(MATCH(1,Paramètres!$K$6:$K$45,0),LABO_Dark_Troops[#All],3)))</f>
        <v>0</v>
      </c>
      <c r="F54" s="2">
        <f>IF(Paramètres!$I$46=0,0,VLOOKUP(Paramètres!$I$47,BARRACK_DARK_Troops[#All],4))</f>
        <v>0</v>
      </c>
      <c r="G54" s="9">
        <f>IF($F54=0,0,IF(SUM(Paramètres!$K$6:$K$45)&lt;&gt;Paramètres!$K$3,0,VLOOKUP(MATCH(1,Paramètres!$K$6:$K$45,0),LABO_Dark_Troops[#All],4)))</f>
        <v>0</v>
      </c>
      <c r="H54" s="4">
        <f>IF(Paramètres!$I$46=0,0,VLOOKUP(Paramètres!$I$47,BARRACK_DARK_Troops[#All],5))</f>
        <v>0</v>
      </c>
      <c r="I54" s="36">
        <f>IF($H54=0,0,IF(SUM(Paramètres!$K$6:$K$45)&lt;&gt;Paramètres!$K$3,0,VLOOKUP(MATCH(1,Paramètres!$K$6:$K$45,0),LABO_Dark_Troops[#All],5)))</f>
        <v>0</v>
      </c>
      <c r="J54" s="2">
        <f>IF(Paramètres!$I$46=0,0,VLOOKUP(Paramètres!$I$47,BARRACK_DARK_Troops[#All],6))</f>
        <v>0</v>
      </c>
      <c r="K54" s="6">
        <f>IF($J54=0,0,IF(SUM(Paramètres!$K$6:$K$45)&lt;&gt;Paramètres!$K$3,0,VLOOKUP(MATCH(1,Paramètres!$K$6:$K$45,0),LABO_Dark_Troops[#All],6)))</f>
        <v>0</v>
      </c>
      <c r="L54" s="4">
        <f>IF(Paramètres!$I$46=0,0,VLOOKUP(Paramètres!$I$47,BARRACK_DARK_Troops[#All],7))</f>
        <v>0</v>
      </c>
      <c r="M54" s="35">
        <f>IF($L54=0,0,IF(SUM(Paramètres!$K$6:$K$45)&lt;&gt;Paramètres!$K$3,0,VLOOKUP(MATCH(1,Paramètres!$K$6:$K$45,0),LABO_Dark_Troops[#All],7)))</f>
        <v>0</v>
      </c>
      <c r="O54" s="533">
        <v>6</v>
      </c>
      <c r="P54" s="70">
        <f t="shared" si="27"/>
        <v>0</v>
      </c>
      <c r="Q54" s="67">
        <f t="shared" si="26"/>
        <v>0</v>
      </c>
      <c r="R54" s="68">
        <f t="shared" si="26"/>
        <v>0</v>
      </c>
      <c r="S54" s="69">
        <f t="shared" si="26"/>
        <v>0</v>
      </c>
      <c r="T54" s="66">
        <f t="shared" si="26"/>
        <v>0</v>
      </c>
      <c r="U54" s="67">
        <f t="shared" si="26"/>
        <v>0</v>
      </c>
      <c r="V54" s="68">
        <f t="shared" si="26"/>
        <v>0</v>
      </c>
      <c r="W54" s="69">
        <f t="shared" si="26"/>
        <v>0</v>
      </c>
      <c r="X54" s="66">
        <f t="shared" si="26"/>
        <v>0</v>
      </c>
      <c r="Y54" s="67">
        <f t="shared" si="26"/>
        <v>0</v>
      </c>
      <c r="Z54" s="68">
        <f t="shared" si="26"/>
        <v>0</v>
      </c>
      <c r="AA54" s="71">
        <f t="shared" si="26"/>
        <v>0</v>
      </c>
      <c r="AD54" s="13">
        <v>6</v>
      </c>
      <c r="AE54" s="790">
        <v>1</v>
      </c>
      <c r="AF54" s="35">
        <v>1</v>
      </c>
      <c r="AG54" s="6">
        <v>1</v>
      </c>
      <c r="AH54" s="35">
        <v>1</v>
      </c>
      <c r="AI54" s="47">
        <v>1</v>
      </c>
      <c r="AJ54" s="35">
        <v>1</v>
      </c>
      <c r="AL54" s="13">
        <v>6</v>
      </c>
      <c r="AM54" s="790">
        <v>4</v>
      </c>
      <c r="AN54" s="35">
        <v>4</v>
      </c>
      <c r="AO54" s="6">
        <v>2</v>
      </c>
      <c r="AP54" s="35">
        <v>2</v>
      </c>
      <c r="AQ54" s="47">
        <v>1</v>
      </c>
      <c r="AR54" s="35">
        <v>1</v>
      </c>
    </row>
    <row r="55" spans="1:44" x14ac:dyDescent="0.2">
      <c r="A55" s="533">
        <v>7</v>
      </c>
      <c r="B55" s="536">
        <f>IF(Paramètres!$I$46=0,0,VLOOKUP(Paramètres!$I$47,BARRACK_DARK_Troops[#All],2))</f>
        <v>0</v>
      </c>
      <c r="C55" s="9">
        <f>IF($B55=0,0,IF(SUM(Paramètres!$K$6:$K$45)&lt;&gt;Paramètres!$K$3,0,VLOOKUP(MATCH(1,Paramètres!$K$6:$K$45,0),LABO_Dark_Troops[#All],2)))</f>
        <v>0</v>
      </c>
      <c r="D55" s="3">
        <f>IF(Paramètres!$I$46=0,0,VLOOKUP(Paramètres!$I$47,BARRACK_DARK_Troops[#All],3))</f>
        <v>0</v>
      </c>
      <c r="E55" s="36">
        <f>IF($D55=0,0,IF(SUM(Paramètres!$K$6:$K$45)&lt;&gt;Paramètres!$K$3,0,VLOOKUP(MATCH(1,Paramètres!$K$6:$K$45,0),LABO_Dark_Troops[#All],3)))</f>
        <v>0</v>
      </c>
      <c r="F55" s="1">
        <f>IF(Paramètres!$I$46=0,0,VLOOKUP(Paramètres!$I$47,BARRACK_DARK_Troops[#All],4))</f>
        <v>0</v>
      </c>
      <c r="G55" s="9">
        <f>IF($F55=0,0,IF(SUM(Paramètres!$K$6:$K$45)&lt;&gt;Paramètres!$K$3,0,VLOOKUP(MATCH(1,Paramètres!$K$6:$K$45,0),LABO_Dark_Troops[#All],4)))</f>
        <v>0</v>
      </c>
      <c r="H55" s="3">
        <f>IF(Paramètres!$I$46=0,0,VLOOKUP(Paramètres!$I$47,BARRACK_DARK_Troops[#All],5))</f>
        <v>0</v>
      </c>
      <c r="I55" s="36">
        <f>IF($H55=0,0,IF(SUM(Paramètres!$K$6:$K$45)&lt;&gt;Paramètres!$K$3,0,VLOOKUP(MATCH(1,Paramètres!$K$6:$K$45,0),LABO_Dark_Troops[#All],5)))</f>
        <v>0</v>
      </c>
      <c r="J55" s="1">
        <f>IF(Paramètres!$I$46=0,0,VLOOKUP(Paramètres!$I$47,BARRACK_DARK_Troops[#All],6))</f>
        <v>0</v>
      </c>
      <c r="K55" s="9">
        <f>IF($J55=0,0,IF(SUM(Paramètres!$K$6:$K$45)&lt;&gt;Paramètres!$K$3,0,VLOOKUP(MATCH(1,Paramètres!$K$6:$K$45,0),LABO_Dark_Troops[#All],6)))</f>
        <v>0</v>
      </c>
      <c r="L55" s="3">
        <f>IF(Paramètres!$I$46=0,0,VLOOKUP(Paramètres!$I$47,BARRACK_DARK_Troops[#All],7))</f>
        <v>0</v>
      </c>
      <c r="M55" s="36">
        <f>IF($L55=0,0,IF(SUM(Paramètres!$K$6:$K$45)&lt;&gt;Paramètres!$K$3,0,VLOOKUP(MATCH(1,Paramètres!$K$6:$K$45,0),LABO_Dark_Troops[#All],7)))</f>
        <v>0</v>
      </c>
      <c r="O55" s="533">
        <v>7</v>
      </c>
      <c r="P55" s="70">
        <f t="shared" si="27"/>
        <v>0</v>
      </c>
      <c r="Q55" s="67">
        <f t="shared" si="26"/>
        <v>0</v>
      </c>
      <c r="R55" s="68">
        <f t="shared" si="26"/>
        <v>0</v>
      </c>
      <c r="S55" s="69">
        <f t="shared" si="26"/>
        <v>0</v>
      </c>
      <c r="T55" s="66">
        <f t="shared" si="26"/>
        <v>0</v>
      </c>
      <c r="U55" s="67">
        <f t="shared" si="26"/>
        <v>0</v>
      </c>
      <c r="V55" s="68">
        <f t="shared" si="26"/>
        <v>0</v>
      </c>
      <c r="W55" s="69">
        <f t="shared" si="26"/>
        <v>0</v>
      </c>
      <c r="X55" s="66">
        <f t="shared" si="26"/>
        <v>0</v>
      </c>
      <c r="Y55" s="67">
        <f t="shared" si="26"/>
        <v>0</v>
      </c>
      <c r="Z55" s="68">
        <f t="shared" si="26"/>
        <v>0</v>
      </c>
      <c r="AA55" s="71">
        <f t="shared" si="26"/>
        <v>0</v>
      </c>
      <c r="AD55" s="13">
        <v>7</v>
      </c>
      <c r="AE55" s="791">
        <v>1</v>
      </c>
      <c r="AF55" s="37">
        <v>1</v>
      </c>
      <c r="AG55" s="5">
        <v>1</v>
      </c>
      <c r="AH55" s="37">
        <v>1</v>
      </c>
      <c r="AI55" s="46">
        <v>1</v>
      </c>
      <c r="AJ55" s="35">
        <v>1</v>
      </c>
      <c r="AL55" s="13">
        <v>7</v>
      </c>
      <c r="AM55" s="791">
        <v>5</v>
      </c>
      <c r="AN55" s="37">
        <v>5</v>
      </c>
      <c r="AO55" s="5">
        <v>4</v>
      </c>
      <c r="AP55" s="37">
        <v>4</v>
      </c>
      <c r="AQ55" s="46">
        <v>2</v>
      </c>
      <c r="AR55" s="35">
        <v>2</v>
      </c>
    </row>
    <row r="56" spans="1:44" x14ac:dyDescent="0.2">
      <c r="A56" s="533">
        <v>8</v>
      </c>
      <c r="B56" s="535">
        <f>IF(Paramètres!$I$46=0,0,VLOOKUP(Paramètres!$I$47,BARRACK_DARK_Troops[#All],2))</f>
        <v>0</v>
      </c>
      <c r="C56" s="9">
        <f>IF($B56=0,0,IF(SUM(Paramètres!$K$6:$K$45)&lt;&gt;Paramètres!$K$3,0,VLOOKUP(MATCH(1,Paramètres!$K$6:$K$45,0),LABO_Dark_Troops[#All],2)))</f>
        <v>0</v>
      </c>
      <c r="D56" s="4">
        <f>IF(Paramètres!$I$46=0,0,VLOOKUP(Paramètres!$I$47,BARRACK_DARK_Troops[#All],3))</f>
        <v>0</v>
      </c>
      <c r="E56" s="36">
        <f>IF($D56=0,0,IF(SUM(Paramètres!$K$6:$K$45)&lt;&gt;Paramètres!$K$3,0,VLOOKUP(MATCH(1,Paramètres!$K$6:$K$45,0),LABO_Dark_Troops[#All],3)))</f>
        <v>0</v>
      </c>
      <c r="F56" s="2">
        <f>IF(Paramètres!$I$46=0,0,VLOOKUP(Paramètres!$I$47,BARRACK_DARK_Troops[#All],4))</f>
        <v>0</v>
      </c>
      <c r="G56" s="9">
        <f>IF($F56=0,0,IF(SUM(Paramètres!$K$6:$K$45)&lt;&gt;Paramètres!$K$3,0,VLOOKUP(MATCH(1,Paramètres!$K$6:$K$45,0),LABO_Dark_Troops[#All],4)))</f>
        <v>0</v>
      </c>
      <c r="H56" s="4">
        <f>IF(Paramètres!$I$46=0,0,VLOOKUP(Paramètres!$I$47,BARRACK_DARK_Troops[#All],5))</f>
        <v>0</v>
      </c>
      <c r="I56" s="36">
        <f>IF($H56=0,0,IF(SUM(Paramètres!$K$6:$K$45)&lt;&gt;Paramètres!$K$3,0,VLOOKUP(MATCH(1,Paramètres!$K$6:$K$45,0),LABO_Dark_Troops[#All],5)))</f>
        <v>0</v>
      </c>
      <c r="J56" s="2">
        <f>IF(Paramètres!$I$46=0,0,VLOOKUP(Paramètres!$I$47,BARRACK_DARK_Troops[#All],6))</f>
        <v>0</v>
      </c>
      <c r="K56" s="9">
        <f>IF($J56=0,0,IF(SUM(Paramètres!$K$6:$K$45)&lt;&gt;Paramètres!$K$3,0,VLOOKUP(MATCH(1,Paramètres!$K$6:$K$45,0),LABO_Dark_Troops[#All],6)))</f>
        <v>0</v>
      </c>
      <c r="L56" s="4">
        <f>IF(Paramètres!$I$46=0,0,VLOOKUP(Paramètres!$I$47,BARRACK_DARK_Troops[#All],7))</f>
        <v>0</v>
      </c>
      <c r="M56" s="36">
        <f>IF($L56=0,0,IF(SUM(Paramètres!$K$6:$K$45)&lt;&gt;Paramètres!$K$3,0,VLOOKUP(MATCH(1,Paramètres!$K$6:$K$45,0),LABO_Dark_Troops[#All],7)))</f>
        <v>0</v>
      </c>
      <c r="O56" s="533">
        <v>8</v>
      </c>
      <c r="P56" s="70">
        <f t="shared" si="27"/>
        <v>0</v>
      </c>
      <c r="Q56" s="67">
        <f t="shared" si="26"/>
        <v>0</v>
      </c>
      <c r="R56" s="68">
        <f t="shared" si="26"/>
        <v>0</v>
      </c>
      <c r="S56" s="69">
        <f t="shared" si="26"/>
        <v>0</v>
      </c>
      <c r="T56" s="66">
        <f t="shared" si="26"/>
        <v>0</v>
      </c>
      <c r="U56" s="67">
        <f t="shared" si="26"/>
        <v>0</v>
      </c>
      <c r="V56" s="68">
        <f t="shared" si="26"/>
        <v>0</v>
      </c>
      <c r="W56" s="69">
        <f t="shared" si="26"/>
        <v>0</v>
      </c>
      <c r="X56" s="66">
        <f t="shared" si="26"/>
        <v>0</v>
      </c>
      <c r="Y56" s="67">
        <f t="shared" si="26"/>
        <v>0</v>
      </c>
      <c r="Z56" s="68">
        <f t="shared" si="26"/>
        <v>0</v>
      </c>
      <c r="AA56" s="71">
        <f t="shared" si="26"/>
        <v>0</v>
      </c>
      <c r="AL56" s="13">
        <v>8</v>
      </c>
      <c r="AM56" s="790">
        <v>6</v>
      </c>
      <c r="AN56" s="35">
        <v>5</v>
      </c>
      <c r="AO56" s="6">
        <v>4</v>
      </c>
      <c r="AP56" s="35">
        <v>5</v>
      </c>
      <c r="AQ56" s="47">
        <v>2</v>
      </c>
      <c r="AR56" s="35">
        <v>3</v>
      </c>
    </row>
    <row r="57" spans="1:44" x14ac:dyDescent="0.2">
      <c r="A57" s="533">
        <v>9</v>
      </c>
      <c r="B57" s="536">
        <f>IF(Paramètres!$I$46=0,0,VLOOKUP(Paramètres!$I$47,BARRACK_DARK_Troops[#All],2))</f>
        <v>0</v>
      </c>
      <c r="C57" s="6">
        <f>IF($B57=0,0,IF(SUM(Paramètres!$K$6:$K$45)&lt;&gt;Paramètres!$K$3,0,VLOOKUP(MATCH(1,Paramètres!$K$6:$K$45,0),LABO_Dark_Troops[#All],2)))</f>
        <v>0</v>
      </c>
      <c r="D57" s="3">
        <f>IF(Paramètres!$I$46=0,0,VLOOKUP(Paramètres!$I$47,BARRACK_DARK_Troops[#All],3))</f>
        <v>0</v>
      </c>
      <c r="E57" s="35">
        <f>IF($D57=0,0,IF(SUM(Paramètres!$K$6:$K$45)&lt;&gt;Paramètres!$K$3,0,VLOOKUP(MATCH(1,Paramètres!$K$6:$K$45,0),LABO_Dark_Troops[#All],3)))</f>
        <v>0</v>
      </c>
      <c r="F57" s="1">
        <f>IF(Paramètres!$I$46=0,0,VLOOKUP(Paramètres!$I$47,BARRACK_DARK_Troops[#All],4))</f>
        <v>0</v>
      </c>
      <c r="G57" s="5">
        <f>IF($F57=0,0,IF(SUM(Paramètres!$K$6:$K$45)&lt;&gt;Paramètres!$K$3,0,VLOOKUP(MATCH(1,Paramètres!$K$6:$K$45,0),LABO_Dark_Troops[#All],4)))</f>
        <v>0</v>
      </c>
      <c r="H57" s="3">
        <f>IF(Paramètres!$I$46=0,0,VLOOKUP(Paramètres!$I$47,BARRACK_DARK_Troops[#All],5))</f>
        <v>0</v>
      </c>
      <c r="I57" s="37">
        <f>IF($H57=0,0,IF(SUM(Paramètres!$K$6:$K$45)&lt;&gt;Paramètres!$K$3,0,VLOOKUP(MATCH(1,Paramètres!$K$6:$K$45,0),LABO_Dark_Troops[#All],5)))</f>
        <v>0</v>
      </c>
      <c r="J57" s="1">
        <f>IF(Paramètres!$I$46=0,0,VLOOKUP(Paramètres!$I$47,BARRACK_DARK_Troops[#All],6))</f>
        <v>0</v>
      </c>
      <c r="K57" s="5">
        <f>IF($J57=0,0,IF(SUM(Paramètres!$K$6:$K$45)&lt;&gt;Paramètres!$K$3,0,VLOOKUP(MATCH(1,Paramètres!$K$6:$K$45,0),LABO_Dark_Troops[#All],6)))</f>
        <v>0</v>
      </c>
      <c r="L57" s="3">
        <f>IF(Paramètres!$I$46=0,0,VLOOKUP(Paramètres!$I$47,BARRACK_DARK_Troops[#All],7))</f>
        <v>0</v>
      </c>
      <c r="M57" s="37">
        <f>IF($L57=0,0,IF(SUM(Paramètres!$K$6:$K$45)&lt;&gt;Paramètres!$K$3,0,VLOOKUP(MATCH(1,Paramètres!$K$6:$K$45,0),LABO_Dark_Troops[#All],7)))</f>
        <v>0</v>
      </c>
      <c r="O57" s="533">
        <v>9</v>
      </c>
      <c r="P57" s="70">
        <f t="shared" si="27"/>
        <v>0</v>
      </c>
      <c r="Q57" s="67">
        <f t="shared" si="26"/>
        <v>0</v>
      </c>
      <c r="R57" s="68">
        <f t="shared" si="26"/>
        <v>0</v>
      </c>
      <c r="S57" s="69">
        <f t="shared" si="26"/>
        <v>0</v>
      </c>
      <c r="T57" s="66">
        <f t="shared" si="26"/>
        <v>0</v>
      </c>
      <c r="U57" s="67">
        <f t="shared" si="26"/>
        <v>0</v>
      </c>
      <c r="V57" s="68">
        <f t="shared" si="26"/>
        <v>0</v>
      </c>
      <c r="W57" s="69">
        <f t="shared" si="26"/>
        <v>0</v>
      </c>
      <c r="X57" s="66">
        <f t="shared" si="26"/>
        <v>0</v>
      </c>
      <c r="Y57" s="67">
        <f t="shared" si="26"/>
        <v>0</v>
      </c>
      <c r="Z57" s="68">
        <f t="shared" si="26"/>
        <v>0</v>
      </c>
      <c r="AA57" s="71">
        <f t="shared" si="26"/>
        <v>0</v>
      </c>
    </row>
    <row r="58" spans="1:44" ht="12" thickBot="1" x14ac:dyDescent="0.25">
      <c r="A58" s="534">
        <v>10</v>
      </c>
      <c r="B58" s="537">
        <f>IF(Paramètres!$I$46=0,0,VLOOKUP(Paramètres!$I$47,BARRACK_DARK_Troops[#All],2))</f>
        <v>0</v>
      </c>
      <c r="C58" s="5">
        <f>IF($B58=0,0,IF(SUM(Paramètres!$K$6:$K$45)&lt;&gt;Paramètres!$K$3,0,VLOOKUP(MATCH(1,Paramètres!$K$6:$K$45,0),LABO_Dark_Troops[#All],2)))</f>
        <v>0</v>
      </c>
      <c r="D58" s="44">
        <f>IF(Paramètres!$I$46=0,0,VLOOKUP(Paramètres!$I$47,BARRACK_DARK_Troops[#All],3))</f>
        <v>0</v>
      </c>
      <c r="E58" s="37">
        <f>IF($D58=0,0,IF(SUM(Paramètres!$K$6:$K$45)&lt;&gt;Paramètres!$K$3,0,VLOOKUP(MATCH(1,Paramètres!$K$6:$K$45,0),LABO_Dark_Troops[#All],3)))</f>
        <v>0</v>
      </c>
      <c r="F58" s="42">
        <f>IF(Paramètres!$I$46=0,0,VLOOKUP(Paramètres!$I$47,BARRACK_DARK_Troops[#All],4))</f>
        <v>0</v>
      </c>
      <c r="G58" s="43">
        <f>IF($F58=0,0,IF(SUM(Paramètres!$K$6:$K$45)&lt;&gt;Paramètres!$K$3,0,VLOOKUP(MATCH(1,Paramètres!$K$6:$K$45,0),LABO_Dark_Troops[#All],4)))</f>
        <v>0</v>
      </c>
      <c r="H58" s="44">
        <f>IF(Paramètres!$I$46=0,0,VLOOKUP(Paramètres!$I$47,BARRACK_DARK_Troops[#All],5))</f>
        <v>0</v>
      </c>
      <c r="I58" s="45">
        <f>IF($H58=0,0,IF(SUM(Paramètres!$K$6:$K$45)&lt;&gt;Paramètres!$K$3,0,VLOOKUP(MATCH(1,Paramètres!$K$6:$K$45,0),LABO_Dark_Troops[#All],5)))</f>
        <v>0</v>
      </c>
      <c r="J58" s="42">
        <f>IF(Paramètres!$I$46=0,0,VLOOKUP(Paramètres!$I$47,BARRACK_DARK_Troops[#All],6))</f>
        <v>0</v>
      </c>
      <c r="K58" s="43">
        <f>IF($J58=0,0,IF(SUM(Paramètres!$K$6:$K$45)&lt;&gt;Paramètres!$K$3,0,VLOOKUP(MATCH(1,Paramètres!$K$6:$K$45,0),LABO_Dark_Troops[#All],6)))</f>
        <v>0</v>
      </c>
      <c r="L58" s="44">
        <f>IF(Paramètres!$I$46=0,0,VLOOKUP(Paramètres!$I$47,BARRACK_DARK_Troops[#All],7))</f>
        <v>0</v>
      </c>
      <c r="M58" s="45">
        <f>IF($L58=0,0,IF(SUM(Paramètres!$K$6:$K$45)&lt;&gt;Paramètres!$K$3,0,VLOOKUP(MATCH(1,Paramètres!$K$6:$K$45,0),LABO_Dark_Troops[#All],7)))</f>
        <v>0</v>
      </c>
      <c r="O58" s="534">
        <v>10</v>
      </c>
      <c r="P58" s="72">
        <f t="shared" si="27"/>
        <v>0</v>
      </c>
      <c r="Q58" s="73">
        <f t="shared" si="26"/>
        <v>0</v>
      </c>
      <c r="R58" s="74">
        <f t="shared" si="26"/>
        <v>0</v>
      </c>
      <c r="S58" s="75">
        <f t="shared" si="26"/>
        <v>0</v>
      </c>
      <c r="T58" s="76">
        <f t="shared" si="26"/>
        <v>0</v>
      </c>
      <c r="U58" s="73">
        <f t="shared" si="26"/>
        <v>0</v>
      </c>
      <c r="V58" s="74">
        <f t="shared" si="26"/>
        <v>0</v>
      </c>
      <c r="W58" s="75">
        <f t="shared" si="26"/>
        <v>0</v>
      </c>
      <c r="X58" s="76">
        <f t="shared" si="26"/>
        <v>0</v>
      </c>
      <c r="Y58" s="73">
        <f t="shared" si="26"/>
        <v>0</v>
      </c>
      <c r="Z58" s="74">
        <f t="shared" si="26"/>
        <v>0</v>
      </c>
      <c r="AA58" s="77">
        <f t="shared" si="26"/>
        <v>0</v>
      </c>
    </row>
  </sheetData>
  <sheetProtection selectLockedCells="1"/>
  <mergeCells count="16">
    <mergeCell ref="AS31:BC31"/>
    <mergeCell ref="BE31:BO31"/>
    <mergeCell ref="AD46:AJ46"/>
    <mergeCell ref="AL46:AR46"/>
    <mergeCell ref="O46:AA46"/>
    <mergeCell ref="A46:M46"/>
    <mergeCell ref="M1:W1"/>
    <mergeCell ref="A1:K1"/>
    <mergeCell ref="A31:U31"/>
    <mergeCell ref="W31:AQ31"/>
    <mergeCell ref="Y1:AD1"/>
    <mergeCell ref="AF1:AK1"/>
    <mergeCell ref="A16:G16"/>
    <mergeCell ref="I16:O16"/>
    <mergeCell ref="Q16:T16"/>
    <mergeCell ref="V16:Y16"/>
  </mergeCells>
  <pageMargins left="0.7" right="0.7" top="0.75" bottom="0.75" header="0.3" footer="0.3"/>
  <pageSetup paperSize="9" orientation="portrait" r:id="rId1"/>
  <ignoredErrors>
    <ignoredError sqref="N3:O3 X33:Y33 Q3:U3 Z33:AQ33 X34:AQ39 X43:AQ43 Y41:AQ41 P48:AA58 Y40:AQ40 Y42:AQ42 X40:X42" calculatedColumn="1"/>
  </ignoredErrors>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0000"/>
  </sheetPr>
  <dimension ref="A1:K13"/>
  <sheetViews>
    <sheetView showGridLines="0" workbookViewId="0">
      <selection sqref="A1:E1"/>
    </sheetView>
  </sheetViews>
  <sheetFormatPr baseColWidth="10" defaultColWidth="11.42578125" defaultRowHeight="11.25" x14ac:dyDescent="0.25"/>
  <cols>
    <col min="1" max="2" width="8.7109375" style="177" customWidth="1"/>
    <col min="3" max="3" width="4.7109375" style="177" customWidth="1"/>
    <col min="4" max="4" width="8.7109375" style="177" customWidth="1"/>
    <col min="5" max="5" width="4.7109375" style="177" customWidth="1"/>
    <col min="6" max="8" width="8.7109375" style="177" customWidth="1"/>
    <col min="9" max="9" width="4.7109375" style="177" customWidth="1"/>
    <col min="10" max="10" width="8.7109375" style="177" customWidth="1"/>
    <col min="11" max="11" width="4.7109375" style="177" customWidth="1"/>
    <col min="12" max="16384" width="11.42578125" style="177"/>
  </cols>
  <sheetData>
    <row r="1" spans="1:11" ht="30" customHeight="1" thickBot="1" x14ac:dyDescent="0.3">
      <c r="A1" s="1262" t="s">
        <v>401</v>
      </c>
      <c r="B1" s="1263"/>
      <c r="C1" s="1263"/>
      <c r="D1" s="1263"/>
      <c r="E1" s="1264"/>
      <c r="G1" s="1022" t="s">
        <v>372</v>
      </c>
      <c r="H1" s="1023"/>
      <c r="I1" s="1023"/>
      <c r="J1" s="1023"/>
      <c r="K1" s="1024"/>
    </row>
    <row r="2" spans="1:11" ht="23.25" thickBot="1" x14ac:dyDescent="0.3">
      <c r="A2" s="165" t="s">
        <v>291</v>
      </c>
      <c r="B2" s="17" t="s">
        <v>196</v>
      </c>
      <c r="C2" s="17" t="s">
        <v>15</v>
      </c>
      <c r="D2" s="17" t="s">
        <v>182</v>
      </c>
      <c r="E2" s="58" t="s">
        <v>21</v>
      </c>
      <c r="G2" s="165" t="s">
        <v>291</v>
      </c>
      <c r="H2" s="53" t="s">
        <v>196</v>
      </c>
      <c r="I2" s="53" t="s">
        <v>15</v>
      </c>
      <c r="J2" s="53" t="s">
        <v>182</v>
      </c>
      <c r="K2" s="26" t="s">
        <v>21</v>
      </c>
    </row>
    <row r="3" spans="1:11" x14ac:dyDescent="0.25">
      <c r="A3" s="52">
        <v>0</v>
      </c>
      <c r="B3" s="167">
        <v>0</v>
      </c>
      <c r="C3" s="168">
        <v>0</v>
      </c>
      <c r="D3" s="172">
        <v>0</v>
      </c>
      <c r="E3" s="173">
        <v>0</v>
      </c>
      <c r="G3" s="52">
        <v>0</v>
      </c>
      <c r="H3" s="178">
        <f>B3</f>
        <v>0</v>
      </c>
      <c r="I3" s="170">
        <f>C3</f>
        <v>0</v>
      </c>
      <c r="J3" s="179">
        <f>D3</f>
        <v>0</v>
      </c>
      <c r="K3" s="180">
        <f>E3</f>
        <v>0</v>
      </c>
    </row>
    <row r="4" spans="1:11" x14ac:dyDescent="0.25">
      <c r="A4" s="166">
        <v>1</v>
      </c>
      <c r="B4" s="11">
        <v>0</v>
      </c>
      <c r="C4" s="9">
        <v>0</v>
      </c>
      <c r="D4" s="10">
        <v>0</v>
      </c>
      <c r="E4" s="36">
        <v>0</v>
      </c>
      <c r="G4" s="166">
        <v>1</v>
      </c>
      <c r="H4" s="31">
        <f t="shared" ref="H4:H13" si="0">B4-B3</f>
        <v>0</v>
      </c>
      <c r="I4" s="32">
        <f t="shared" ref="I4:I13" si="1">C4-C3</f>
        <v>0</v>
      </c>
      <c r="J4" s="33">
        <f t="shared" ref="J4:J13" si="2">D4-D3</f>
        <v>0</v>
      </c>
      <c r="K4" s="61">
        <f t="shared" ref="K4:K13" si="3">E4-E3</f>
        <v>0</v>
      </c>
    </row>
    <row r="5" spans="1:11" x14ac:dyDescent="0.25">
      <c r="A5" s="7">
        <v>2</v>
      </c>
      <c r="B5" s="2">
        <v>0</v>
      </c>
      <c r="C5" s="6">
        <v>0</v>
      </c>
      <c r="D5" s="4">
        <v>0</v>
      </c>
      <c r="E5" s="35">
        <v>0</v>
      </c>
      <c r="G5" s="7">
        <v>2</v>
      </c>
      <c r="H5" s="31">
        <f t="shared" si="0"/>
        <v>0</v>
      </c>
      <c r="I5" s="32">
        <f t="shared" si="1"/>
        <v>0</v>
      </c>
      <c r="J5" s="33">
        <f t="shared" si="2"/>
        <v>0</v>
      </c>
      <c r="K5" s="61">
        <f t="shared" si="3"/>
        <v>0</v>
      </c>
    </row>
    <row r="6" spans="1:11" x14ac:dyDescent="0.25">
      <c r="A6" s="7">
        <v>3</v>
      </c>
      <c r="B6" s="1">
        <v>0</v>
      </c>
      <c r="C6" s="5">
        <v>0</v>
      </c>
      <c r="D6" s="3">
        <v>0</v>
      </c>
      <c r="E6" s="37">
        <v>0</v>
      </c>
      <c r="G6" s="7">
        <v>3</v>
      </c>
      <c r="H6" s="31">
        <f t="shared" si="0"/>
        <v>0</v>
      </c>
      <c r="I6" s="32">
        <f t="shared" si="1"/>
        <v>0</v>
      </c>
      <c r="J6" s="33">
        <f t="shared" si="2"/>
        <v>0</v>
      </c>
      <c r="K6" s="61">
        <f t="shared" si="3"/>
        <v>0</v>
      </c>
    </row>
    <row r="7" spans="1:11" x14ac:dyDescent="0.25">
      <c r="A7" s="7">
        <v>4</v>
      </c>
      <c r="B7" s="2">
        <v>0</v>
      </c>
      <c r="C7" s="6">
        <v>0</v>
      </c>
      <c r="D7" s="4">
        <v>0</v>
      </c>
      <c r="E7" s="35">
        <v>0</v>
      </c>
      <c r="G7" s="7">
        <v>4</v>
      </c>
      <c r="H7" s="31">
        <f t="shared" si="0"/>
        <v>0</v>
      </c>
      <c r="I7" s="32">
        <f t="shared" si="1"/>
        <v>0</v>
      </c>
      <c r="J7" s="33">
        <f t="shared" si="2"/>
        <v>0</v>
      </c>
      <c r="K7" s="61">
        <f t="shared" si="3"/>
        <v>0</v>
      </c>
    </row>
    <row r="8" spans="1:11" x14ac:dyDescent="0.25">
      <c r="A8" s="7">
        <v>5</v>
      </c>
      <c r="B8" s="1">
        <v>0</v>
      </c>
      <c r="C8" s="5">
        <v>0</v>
      </c>
      <c r="D8" s="3">
        <v>0</v>
      </c>
      <c r="E8" s="37">
        <v>0</v>
      </c>
      <c r="G8" s="7">
        <v>5</v>
      </c>
      <c r="H8" s="31">
        <f t="shared" si="0"/>
        <v>0</v>
      </c>
      <c r="I8" s="32">
        <f t="shared" si="1"/>
        <v>0</v>
      </c>
      <c r="J8" s="33">
        <f t="shared" si="2"/>
        <v>0</v>
      </c>
      <c r="K8" s="61">
        <f t="shared" si="3"/>
        <v>0</v>
      </c>
    </row>
    <row r="9" spans="1:11" x14ac:dyDescent="0.25">
      <c r="A9" s="7">
        <v>6</v>
      </c>
      <c r="B9" s="2">
        <v>0</v>
      </c>
      <c r="C9" s="6">
        <v>0</v>
      </c>
      <c r="D9" s="4">
        <v>0</v>
      </c>
      <c r="E9" s="35">
        <v>0</v>
      </c>
      <c r="G9" s="7">
        <v>6</v>
      </c>
      <c r="H9" s="31">
        <f t="shared" si="0"/>
        <v>0</v>
      </c>
      <c r="I9" s="32">
        <f t="shared" si="1"/>
        <v>0</v>
      </c>
      <c r="J9" s="33">
        <f t="shared" si="2"/>
        <v>0</v>
      </c>
      <c r="K9" s="61">
        <f t="shared" si="3"/>
        <v>0</v>
      </c>
    </row>
    <row r="10" spans="1:11" x14ac:dyDescent="0.25">
      <c r="A10" s="7">
        <v>7</v>
      </c>
      <c r="B10" s="1">
        <v>1</v>
      </c>
      <c r="C10" s="5">
        <v>5</v>
      </c>
      <c r="D10" s="3">
        <v>0</v>
      </c>
      <c r="E10" s="37">
        <v>0</v>
      </c>
      <c r="G10" s="7">
        <v>7</v>
      </c>
      <c r="H10" s="31">
        <f t="shared" si="0"/>
        <v>1</v>
      </c>
      <c r="I10" s="32">
        <f t="shared" si="1"/>
        <v>5</v>
      </c>
      <c r="J10" s="33">
        <f t="shared" si="2"/>
        <v>0</v>
      </c>
      <c r="K10" s="61">
        <f t="shared" si="3"/>
        <v>0</v>
      </c>
    </row>
    <row r="11" spans="1:11" x14ac:dyDescent="0.25">
      <c r="A11" s="7">
        <v>8</v>
      </c>
      <c r="B11" s="2">
        <v>1</v>
      </c>
      <c r="C11" s="6">
        <v>10</v>
      </c>
      <c r="D11" s="4">
        <v>0</v>
      </c>
      <c r="E11" s="35">
        <v>0</v>
      </c>
      <c r="G11" s="7">
        <v>8</v>
      </c>
      <c r="H11" s="31">
        <f t="shared" si="0"/>
        <v>0</v>
      </c>
      <c r="I11" s="32">
        <f t="shared" si="1"/>
        <v>5</v>
      </c>
      <c r="J11" s="33">
        <f t="shared" si="2"/>
        <v>0</v>
      </c>
      <c r="K11" s="61">
        <f t="shared" si="3"/>
        <v>0</v>
      </c>
    </row>
    <row r="12" spans="1:11" x14ac:dyDescent="0.25">
      <c r="A12" s="7">
        <v>9</v>
      </c>
      <c r="B12" s="1">
        <v>1</v>
      </c>
      <c r="C12" s="5">
        <v>30</v>
      </c>
      <c r="D12" s="3">
        <v>1</v>
      </c>
      <c r="E12" s="37">
        <v>30</v>
      </c>
      <c r="G12" s="7">
        <v>9</v>
      </c>
      <c r="H12" s="31">
        <f t="shared" si="0"/>
        <v>0</v>
      </c>
      <c r="I12" s="32">
        <f t="shared" si="1"/>
        <v>20</v>
      </c>
      <c r="J12" s="33">
        <f t="shared" si="2"/>
        <v>1</v>
      </c>
      <c r="K12" s="61">
        <f>E12-E11</f>
        <v>30</v>
      </c>
    </row>
    <row r="13" spans="1:11" ht="12" thickBot="1" x14ac:dyDescent="0.3">
      <c r="A13" s="8">
        <v>10</v>
      </c>
      <c r="B13" s="22">
        <v>1</v>
      </c>
      <c r="C13" s="20">
        <v>40</v>
      </c>
      <c r="D13" s="21">
        <v>1</v>
      </c>
      <c r="E13" s="38">
        <v>40</v>
      </c>
      <c r="G13" s="8">
        <v>10</v>
      </c>
      <c r="H13" s="62">
        <f t="shared" si="0"/>
        <v>0</v>
      </c>
      <c r="I13" s="63">
        <f t="shared" si="1"/>
        <v>10</v>
      </c>
      <c r="J13" s="64">
        <f t="shared" si="2"/>
        <v>0</v>
      </c>
      <c r="K13" s="65">
        <f t="shared" si="3"/>
        <v>10</v>
      </c>
    </row>
  </sheetData>
  <sheetProtection sheet="1" objects="1" scenarios="1" selectLockedCells="1"/>
  <mergeCells count="2">
    <mergeCell ref="A1:E1"/>
    <mergeCell ref="G1:K1"/>
  </mergeCells>
  <pageMargins left="0.7" right="0.7" top="0.75" bottom="0.75" header="0.3" footer="0.3"/>
  <pageSetup paperSize="9" orientation="portrait" r:id="rId1"/>
  <ignoredErrors>
    <ignoredError sqref="H3:K3" calculatedColumn="1"/>
  </ignoredErrors>
  <tableParts count="2">
    <tablePart r:id="rId2"/>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FF0000"/>
  </sheetPr>
  <dimension ref="A1:AN172"/>
  <sheetViews>
    <sheetView showGridLines="0" topLeftCell="A94" zoomScale="130" zoomScaleNormal="130" workbookViewId="0">
      <selection activeCell="C114" sqref="C114"/>
    </sheetView>
  </sheetViews>
  <sheetFormatPr baseColWidth="10" defaultColWidth="11.42578125" defaultRowHeight="11.25" x14ac:dyDescent="0.25"/>
  <cols>
    <col min="1" max="1" width="4.7109375" style="177" customWidth="1"/>
    <col min="2" max="2" width="8.7109375" style="177" customWidth="1"/>
    <col min="3" max="3" width="5.7109375" style="177" customWidth="1"/>
    <col min="4" max="4" width="4.7109375" style="177" customWidth="1"/>
    <col min="5" max="5" width="8.7109375" style="177" customWidth="1"/>
    <col min="6" max="6" width="5.7109375" style="177" customWidth="1"/>
    <col min="7" max="7" width="4.7109375" style="177" customWidth="1"/>
    <col min="8" max="8" width="8.7109375" style="177" customWidth="1"/>
    <col min="9" max="9" width="5.7109375" style="177" customWidth="1"/>
    <col min="10" max="10" width="4.7109375" style="177" customWidth="1"/>
    <col min="11" max="11" width="8.7109375" style="177" customWidth="1"/>
    <col min="12" max="12" width="5.7109375" style="177" customWidth="1"/>
    <col min="13" max="13" width="5.42578125" style="177" customWidth="1"/>
    <col min="14" max="14" width="8.7109375" style="177" customWidth="1"/>
    <col min="15" max="15" width="7.5703125" style="177" customWidth="1"/>
    <col min="16" max="16" width="4.7109375" style="177" customWidth="1"/>
    <col min="17" max="17" width="8.7109375" style="177" customWidth="1"/>
    <col min="18" max="18" width="5.7109375" style="177" customWidth="1"/>
    <col min="19" max="19" width="4.7109375" style="177" customWidth="1"/>
    <col min="20" max="20" width="8.7109375" style="177" customWidth="1"/>
    <col min="21" max="21" width="5.7109375" style="177" customWidth="1"/>
    <col min="22" max="22" width="4.7109375" style="177" customWidth="1"/>
    <col min="23" max="23" width="8.7109375" style="177" customWidth="1"/>
    <col min="24" max="24" width="5.7109375" style="177" customWidth="1"/>
    <col min="25" max="25" width="5.42578125" style="177" customWidth="1"/>
    <col min="26" max="26" width="8.7109375" style="177" customWidth="1"/>
    <col min="27" max="27" width="7.5703125" style="177" customWidth="1"/>
    <col min="28" max="28" width="5.42578125" style="177" customWidth="1"/>
    <col min="29" max="29" width="8.7109375" style="177" customWidth="1"/>
    <col min="30" max="30" width="7.5703125" style="177" customWidth="1"/>
    <col min="31" max="31" width="5.42578125" style="177" customWidth="1"/>
    <col min="32" max="32" width="8.7109375" style="177" customWidth="1"/>
    <col min="33" max="33" width="7.5703125" style="177" customWidth="1"/>
    <col min="34" max="34" width="4.7109375" style="177" customWidth="1"/>
    <col min="35" max="35" width="8.7109375" style="177" customWidth="1"/>
    <col min="36" max="36" width="5.7109375" style="177" customWidth="1"/>
    <col min="37" max="37" width="4.7109375" style="177" customWidth="1"/>
    <col min="38" max="38" width="8.7109375" style="177" customWidth="1"/>
    <col min="39" max="39" width="5.7109375" style="177" customWidth="1"/>
    <col min="40" max="40" width="4.7109375" style="177" customWidth="1"/>
    <col min="41" max="41" width="8.7109375" style="177" customWidth="1"/>
    <col min="42" max="42" width="5.7109375" style="177" customWidth="1"/>
    <col min="43" max="16384" width="11.42578125" style="177"/>
  </cols>
  <sheetData>
    <row r="1" spans="1:18" ht="30" customHeight="1" thickBot="1" x14ac:dyDescent="0.3">
      <c r="A1" s="1262" t="s">
        <v>374</v>
      </c>
      <c r="B1" s="1263"/>
      <c r="C1" s="1263"/>
      <c r="D1" s="1263"/>
      <c r="E1" s="1263"/>
      <c r="F1" s="1263"/>
      <c r="G1" s="1263"/>
      <c r="H1" s="1263"/>
      <c r="I1" s="1263"/>
      <c r="J1" s="1263"/>
      <c r="K1" s="1263"/>
      <c r="L1" s="1263"/>
      <c r="M1" s="1263"/>
      <c r="N1" s="1263"/>
      <c r="O1" s="1263"/>
      <c r="P1" s="1263"/>
      <c r="Q1" s="1263"/>
      <c r="R1" s="1264"/>
    </row>
    <row r="2" spans="1:18" ht="20.100000000000001" customHeight="1" thickBot="1" x14ac:dyDescent="0.3">
      <c r="A2" s="1301" t="s">
        <v>247</v>
      </c>
      <c r="B2" s="1302"/>
      <c r="C2" s="1302"/>
      <c r="D2" s="1302"/>
      <c r="E2" s="1302"/>
      <c r="F2" s="1302"/>
      <c r="G2" s="1302"/>
      <c r="H2" s="1302"/>
      <c r="I2" s="1302"/>
      <c r="J2" s="1302"/>
      <c r="K2" s="1302"/>
      <c r="L2" s="1303"/>
      <c r="M2" s="1309" t="s">
        <v>246</v>
      </c>
      <c r="N2" s="1310"/>
      <c r="O2" s="1310"/>
      <c r="P2" s="1310"/>
      <c r="Q2" s="1310"/>
      <c r="R2" s="1311"/>
    </row>
    <row r="3" spans="1:18" ht="12" customHeight="1" thickBot="1" x14ac:dyDescent="0.3">
      <c r="A3" s="1306" t="s">
        <v>176</v>
      </c>
      <c r="B3" s="1307"/>
      <c r="C3" s="1308"/>
      <c r="D3" s="1306" t="s">
        <v>211</v>
      </c>
      <c r="E3" s="1307"/>
      <c r="F3" s="1308"/>
      <c r="G3" s="1306" t="s">
        <v>212</v>
      </c>
      <c r="H3" s="1307"/>
      <c r="I3" s="1308"/>
      <c r="J3" s="1306" t="s">
        <v>452</v>
      </c>
      <c r="K3" s="1307"/>
      <c r="L3" s="1308"/>
      <c r="M3" s="1306" t="s">
        <v>210</v>
      </c>
      <c r="N3" s="1307"/>
      <c r="O3" s="1308"/>
      <c r="P3" s="1306" t="s">
        <v>453</v>
      </c>
      <c r="Q3" s="1307"/>
      <c r="R3" s="1308"/>
    </row>
    <row r="4" spans="1:18" ht="12" thickBot="1" x14ac:dyDescent="0.3">
      <c r="A4" s="186" t="s">
        <v>17</v>
      </c>
      <c r="B4" s="757" t="s">
        <v>258</v>
      </c>
      <c r="C4" s="188" t="s">
        <v>259</v>
      </c>
      <c r="D4" s="656" t="s">
        <v>17</v>
      </c>
      <c r="E4" s="187" t="s">
        <v>258</v>
      </c>
      <c r="F4" s="188" t="s">
        <v>259</v>
      </c>
      <c r="G4" s="186" t="s">
        <v>17</v>
      </c>
      <c r="H4" s="187" t="s">
        <v>258</v>
      </c>
      <c r="I4" s="188" t="s">
        <v>259</v>
      </c>
      <c r="J4" s="189" t="s">
        <v>17</v>
      </c>
      <c r="K4" s="190" t="s">
        <v>258</v>
      </c>
      <c r="L4" s="191" t="s">
        <v>259</v>
      </c>
      <c r="M4" s="186" t="s">
        <v>17</v>
      </c>
      <c r="N4" s="757" t="s">
        <v>258</v>
      </c>
      <c r="O4" s="188" t="s">
        <v>259</v>
      </c>
      <c r="P4" s="656" t="s">
        <v>17</v>
      </c>
      <c r="Q4" s="187" t="s">
        <v>258</v>
      </c>
      <c r="R4" s="188" t="s">
        <v>259</v>
      </c>
    </row>
    <row r="5" spans="1:18" x14ac:dyDescent="0.25">
      <c r="A5" s="7">
        <v>1</v>
      </c>
      <c r="B5" s="758">
        <v>150</v>
      </c>
      <c r="C5" s="657">
        <f>1/60</f>
        <v>1.6666666666666666E-2</v>
      </c>
      <c r="D5" s="13">
        <v>1</v>
      </c>
      <c r="E5" s="453">
        <v>1000000</v>
      </c>
      <c r="F5" s="192">
        <v>24</v>
      </c>
      <c r="G5" s="7">
        <v>1</v>
      </c>
      <c r="H5" s="453">
        <v>300</v>
      </c>
      <c r="I5" s="192">
        <f>15/60</f>
        <v>0.25</v>
      </c>
      <c r="J5" s="13">
        <v>1</v>
      </c>
      <c r="K5" s="453">
        <v>600000</v>
      </c>
      <c r="L5" s="192">
        <v>24</v>
      </c>
      <c r="M5" s="7">
        <v>1</v>
      </c>
      <c r="N5" s="762">
        <v>150</v>
      </c>
      <c r="O5" s="657">
        <f>1/60</f>
        <v>1.6666666666666666E-2</v>
      </c>
      <c r="P5" s="13">
        <v>1</v>
      </c>
      <c r="Q5" s="193">
        <v>300</v>
      </c>
      <c r="R5" s="192">
        <f>15/60</f>
        <v>0.25</v>
      </c>
    </row>
    <row r="6" spans="1:18" x14ac:dyDescent="0.25">
      <c r="A6" s="7">
        <v>2</v>
      </c>
      <c r="B6" s="759">
        <v>300</v>
      </c>
      <c r="C6" s="200">
        <f>5/60</f>
        <v>8.3333333333333329E-2</v>
      </c>
      <c r="D6" s="13">
        <v>2</v>
      </c>
      <c r="E6" s="454">
        <v>1500000</v>
      </c>
      <c r="F6" s="194">
        <v>48</v>
      </c>
      <c r="G6" s="7">
        <v>2</v>
      </c>
      <c r="H6" s="454">
        <v>750</v>
      </c>
      <c r="I6" s="194">
        <f>30/60</f>
        <v>0.5</v>
      </c>
      <c r="J6" s="13">
        <v>2</v>
      </c>
      <c r="K6" s="454">
        <v>1200000</v>
      </c>
      <c r="L6" s="194">
        <v>48</v>
      </c>
      <c r="M6" s="7">
        <v>2</v>
      </c>
      <c r="N6" s="763">
        <v>300</v>
      </c>
      <c r="O6" s="200">
        <f>5/60</f>
        <v>8.3333333333333329E-2</v>
      </c>
      <c r="P6" s="13">
        <v>2</v>
      </c>
      <c r="Q6" s="195">
        <v>750</v>
      </c>
      <c r="R6" s="194">
        <f>30/60</f>
        <v>0.5</v>
      </c>
    </row>
    <row r="7" spans="1:18" x14ac:dyDescent="0.25">
      <c r="A7" s="7">
        <v>3</v>
      </c>
      <c r="B7" s="759">
        <v>700</v>
      </c>
      <c r="C7" s="200">
        <f>15/60</f>
        <v>0.25</v>
      </c>
      <c r="D7" s="13">
        <v>3</v>
      </c>
      <c r="E7" s="454">
        <v>2000000</v>
      </c>
      <c r="F7" s="194">
        <v>72</v>
      </c>
      <c r="G7" s="7">
        <v>3</v>
      </c>
      <c r="H7" s="454">
        <v>1500</v>
      </c>
      <c r="I7" s="194">
        <v>1</v>
      </c>
      <c r="J7" s="13">
        <v>3</v>
      </c>
      <c r="K7" s="454">
        <v>1800000</v>
      </c>
      <c r="L7" s="194">
        <v>72</v>
      </c>
      <c r="M7" s="7">
        <v>3</v>
      </c>
      <c r="N7" s="763">
        <v>700</v>
      </c>
      <c r="O7" s="200">
        <f>15/60</f>
        <v>0.25</v>
      </c>
      <c r="P7" s="13">
        <v>3</v>
      </c>
      <c r="Q7" s="195">
        <v>1500</v>
      </c>
      <c r="R7" s="194">
        <v>1</v>
      </c>
    </row>
    <row r="8" spans="1:18" x14ac:dyDescent="0.25">
      <c r="A8" s="7">
        <v>4</v>
      </c>
      <c r="B8" s="759">
        <v>1400</v>
      </c>
      <c r="C8" s="200">
        <v>1</v>
      </c>
      <c r="D8" s="13">
        <v>4</v>
      </c>
      <c r="E8" s="454">
        <v>3000000</v>
      </c>
      <c r="F8" s="194">
        <v>96</v>
      </c>
      <c r="G8" s="7">
        <v>4</v>
      </c>
      <c r="H8" s="454">
        <v>3000</v>
      </c>
      <c r="I8" s="194">
        <v>2</v>
      </c>
      <c r="J8" s="13">
        <v>4</v>
      </c>
      <c r="K8" s="454">
        <v>2400000</v>
      </c>
      <c r="L8" s="194">
        <v>96</v>
      </c>
      <c r="M8" s="7">
        <v>4</v>
      </c>
      <c r="N8" s="763">
        <v>1400</v>
      </c>
      <c r="O8" s="200">
        <v>1</v>
      </c>
      <c r="P8" s="13">
        <v>4</v>
      </c>
      <c r="Q8" s="195">
        <v>3000</v>
      </c>
      <c r="R8" s="194">
        <v>2</v>
      </c>
    </row>
    <row r="9" spans="1:18" x14ac:dyDescent="0.25">
      <c r="A9" s="7">
        <v>5</v>
      </c>
      <c r="B9" s="759">
        <v>3000</v>
      </c>
      <c r="C9" s="200">
        <v>2</v>
      </c>
      <c r="D9" s="13">
        <v>5</v>
      </c>
      <c r="E9" s="454">
        <v>4000000</v>
      </c>
      <c r="F9" s="194">
        <v>144</v>
      </c>
      <c r="G9" s="7">
        <v>5</v>
      </c>
      <c r="H9" s="454">
        <v>6000</v>
      </c>
      <c r="I9" s="194">
        <v>3</v>
      </c>
      <c r="J9" s="13">
        <v>5</v>
      </c>
      <c r="K9" s="454">
        <v>3000000</v>
      </c>
      <c r="L9" s="194">
        <v>120</v>
      </c>
      <c r="M9" s="7">
        <v>5</v>
      </c>
      <c r="N9" s="763">
        <v>3000</v>
      </c>
      <c r="O9" s="200">
        <v>2</v>
      </c>
      <c r="P9" s="13">
        <v>5</v>
      </c>
      <c r="Q9" s="195">
        <v>6000</v>
      </c>
      <c r="R9" s="194">
        <v>3</v>
      </c>
    </row>
    <row r="10" spans="1:18" x14ac:dyDescent="0.25">
      <c r="A10" s="7">
        <v>6</v>
      </c>
      <c r="B10" s="759">
        <v>7000</v>
      </c>
      <c r="C10" s="200">
        <v>6</v>
      </c>
      <c r="D10" s="13">
        <v>6</v>
      </c>
      <c r="E10" s="454">
        <v>5000000</v>
      </c>
      <c r="F10" s="194">
        <v>192</v>
      </c>
      <c r="G10" s="7">
        <v>6</v>
      </c>
      <c r="H10" s="454">
        <v>12000</v>
      </c>
      <c r="I10" s="194">
        <v>4</v>
      </c>
      <c r="J10" s="19">
        <v>6</v>
      </c>
      <c r="K10" s="457">
        <v>3600000</v>
      </c>
      <c r="L10" s="196">
        <v>144</v>
      </c>
      <c r="M10" s="7">
        <v>6</v>
      </c>
      <c r="N10" s="763">
        <v>7000</v>
      </c>
      <c r="O10" s="200">
        <v>6</v>
      </c>
      <c r="P10" s="13">
        <v>6</v>
      </c>
      <c r="Q10" s="195">
        <v>12000</v>
      </c>
      <c r="R10" s="194">
        <v>4</v>
      </c>
    </row>
    <row r="11" spans="1:18" x14ac:dyDescent="0.25">
      <c r="A11" s="7">
        <v>7</v>
      </c>
      <c r="B11" s="759">
        <v>14000</v>
      </c>
      <c r="C11" s="200">
        <v>12</v>
      </c>
      <c r="G11" s="7">
        <v>7</v>
      </c>
      <c r="H11" s="454">
        <v>25000</v>
      </c>
      <c r="I11" s="194">
        <v>6</v>
      </c>
      <c r="M11" s="7">
        <v>7</v>
      </c>
      <c r="N11" s="763">
        <v>14000</v>
      </c>
      <c r="O11" s="200">
        <v>12</v>
      </c>
      <c r="P11" s="13">
        <v>7</v>
      </c>
      <c r="Q11" s="195">
        <v>25000</v>
      </c>
      <c r="R11" s="194">
        <v>6</v>
      </c>
    </row>
    <row r="12" spans="1:18" x14ac:dyDescent="0.25">
      <c r="A12" s="7">
        <v>8</v>
      </c>
      <c r="B12" s="759">
        <v>28000</v>
      </c>
      <c r="C12" s="200">
        <v>24</v>
      </c>
      <c r="G12" s="7">
        <v>8</v>
      </c>
      <c r="H12" s="454">
        <v>50000</v>
      </c>
      <c r="I12" s="194">
        <v>8</v>
      </c>
      <c r="M12" s="7">
        <v>8</v>
      </c>
      <c r="N12" s="763">
        <v>28000</v>
      </c>
      <c r="O12" s="200">
        <v>24</v>
      </c>
      <c r="P12" s="13">
        <v>8</v>
      </c>
      <c r="Q12" s="195">
        <v>50000</v>
      </c>
      <c r="R12" s="194">
        <v>8</v>
      </c>
    </row>
    <row r="13" spans="1:18" x14ac:dyDescent="0.25">
      <c r="A13" s="7">
        <v>9</v>
      </c>
      <c r="B13" s="760">
        <v>56000</v>
      </c>
      <c r="C13" s="56">
        <v>48</v>
      </c>
      <c r="G13" s="7">
        <v>9</v>
      </c>
      <c r="H13" s="455">
        <v>100000</v>
      </c>
      <c r="I13" s="54">
        <v>12</v>
      </c>
      <c r="M13" s="7">
        <v>9</v>
      </c>
      <c r="N13" s="764">
        <v>56000</v>
      </c>
      <c r="O13" s="56">
        <v>48</v>
      </c>
      <c r="P13" s="13">
        <v>9</v>
      </c>
      <c r="Q13" s="24">
        <v>100000</v>
      </c>
      <c r="R13" s="54">
        <v>12</v>
      </c>
    </row>
    <row r="14" spans="1:18" x14ac:dyDescent="0.25">
      <c r="A14" s="7">
        <v>10</v>
      </c>
      <c r="B14" s="760">
        <v>84000</v>
      </c>
      <c r="C14" s="56">
        <v>72</v>
      </c>
      <c r="G14" s="7">
        <v>10</v>
      </c>
      <c r="H14" s="455">
        <v>250000</v>
      </c>
      <c r="I14" s="54">
        <v>24</v>
      </c>
      <c r="M14" s="7">
        <v>10</v>
      </c>
      <c r="N14" s="764">
        <v>84000</v>
      </c>
      <c r="O14" s="56">
        <v>72</v>
      </c>
      <c r="P14" s="13">
        <v>10</v>
      </c>
      <c r="Q14" s="24">
        <v>250000</v>
      </c>
      <c r="R14" s="54">
        <v>24</v>
      </c>
    </row>
    <row r="15" spans="1:18" ht="12" thickBot="1" x14ac:dyDescent="0.3">
      <c r="A15" s="7">
        <v>11</v>
      </c>
      <c r="B15" s="760">
        <v>168000</v>
      </c>
      <c r="C15" s="56">
        <v>96</v>
      </c>
      <c r="G15" s="8">
        <v>11</v>
      </c>
      <c r="H15" s="456">
        <v>500000</v>
      </c>
      <c r="I15" s="55">
        <v>48</v>
      </c>
      <c r="M15" s="7">
        <v>11</v>
      </c>
      <c r="N15" s="764">
        <v>168000</v>
      </c>
      <c r="O15" s="56">
        <v>96</v>
      </c>
      <c r="P15" s="540">
        <v>11</v>
      </c>
      <c r="Q15" s="25">
        <v>500000</v>
      </c>
      <c r="R15" s="55">
        <v>48</v>
      </c>
    </row>
    <row r="16" spans="1:18" ht="12" thickBot="1" x14ac:dyDescent="0.3">
      <c r="A16" s="8">
        <v>12</v>
      </c>
      <c r="B16" s="761">
        <v>336000</v>
      </c>
      <c r="C16" s="57">
        <v>120</v>
      </c>
      <c r="I16" s="162"/>
      <c r="J16" s="162"/>
      <c r="K16" s="162"/>
      <c r="M16" s="8">
        <v>12</v>
      </c>
      <c r="N16" s="765">
        <v>336000</v>
      </c>
      <c r="O16" s="57">
        <v>120</v>
      </c>
    </row>
    <row r="17" spans="1:18" x14ac:dyDescent="0.25">
      <c r="A17" s="162"/>
      <c r="B17" s="162"/>
      <c r="C17" s="162"/>
      <c r="I17" s="162"/>
      <c r="J17" s="162"/>
      <c r="K17" s="162"/>
    </row>
    <row r="18" spans="1:18" x14ac:dyDescent="0.25">
      <c r="A18" s="162"/>
      <c r="B18" s="162"/>
      <c r="C18" s="162"/>
      <c r="I18" s="162"/>
      <c r="J18" s="162"/>
      <c r="K18" s="162"/>
    </row>
    <row r="19" spans="1:18" ht="30" customHeight="1" x14ac:dyDescent="0.25">
      <c r="A19" s="1025" t="s">
        <v>375</v>
      </c>
      <c r="B19" s="1026"/>
      <c r="C19" s="1026"/>
      <c r="D19" s="1026"/>
      <c r="E19" s="1026"/>
      <c r="F19" s="1026"/>
      <c r="G19" s="1026"/>
      <c r="H19" s="1026"/>
      <c r="I19" s="1026"/>
      <c r="J19" s="1026"/>
      <c r="K19" s="1026"/>
      <c r="L19" s="1026"/>
      <c r="M19" s="1026"/>
      <c r="N19" s="1026"/>
      <c r="O19" s="1026"/>
      <c r="P19" s="1026"/>
      <c r="Q19" s="1026"/>
      <c r="R19" s="1026"/>
    </row>
    <row r="20" spans="1:18" ht="20.100000000000001" customHeight="1" thickBot="1" x14ac:dyDescent="0.3">
      <c r="A20" s="1299" t="s">
        <v>247</v>
      </c>
      <c r="B20" s="1300"/>
      <c r="C20" s="1300"/>
      <c r="D20" s="1300"/>
      <c r="E20" s="1300"/>
      <c r="F20" s="1300"/>
      <c r="G20" s="1300"/>
      <c r="H20" s="1300"/>
      <c r="I20" s="1300"/>
      <c r="J20" s="1300"/>
      <c r="K20" s="1300"/>
      <c r="L20" s="1300"/>
      <c r="M20" s="1300"/>
      <c r="N20" s="1300"/>
      <c r="O20" s="1300"/>
      <c r="P20" s="1300"/>
      <c r="Q20" s="1300"/>
      <c r="R20" s="1300"/>
    </row>
    <row r="21" spans="1:18" ht="12" customHeight="1" thickBot="1" x14ac:dyDescent="0.3">
      <c r="A21" s="1315" t="s">
        <v>343</v>
      </c>
      <c r="B21" s="1316"/>
      <c r="C21" s="1317"/>
      <c r="D21" s="1315" t="s">
        <v>207</v>
      </c>
      <c r="E21" s="1316"/>
      <c r="F21" s="1317"/>
      <c r="G21" s="1306" t="s">
        <v>338</v>
      </c>
      <c r="H21" s="1307"/>
      <c r="I21" s="1308"/>
      <c r="J21" s="1306" t="s">
        <v>208</v>
      </c>
      <c r="K21" s="1307"/>
      <c r="L21" s="1308"/>
      <c r="M21" s="1306" t="s">
        <v>209</v>
      </c>
      <c r="N21" s="1307"/>
      <c r="O21" s="1308"/>
      <c r="P21" s="1306" t="s">
        <v>707</v>
      </c>
      <c r="Q21" s="1307"/>
      <c r="R21" s="1308"/>
    </row>
    <row r="22" spans="1:18" ht="12" thickBot="1" x14ac:dyDescent="0.3">
      <c r="A22" s="659" t="s">
        <v>17</v>
      </c>
      <c r="B22" s="660" t="s">
        <v>258</v>
      </c>
      <c r="C22" s="661" t="s">
        <v>259</v>
      </c>
      <c r="D22" s="189" t="s">
        <v>17</v>
      </c>
      <c r="E22" s="190" t="s">
        <v>258</v>
      </c>
      <c r="F22" s="191" t="s">
        <v>259</v>
      </c>
      <c r="G22" s="186" t="s">
        <v>17</v>
      </c>
      <c r="H22" s="187" t="s">
        <v>258</v>
      </c>
      <c r="I22" s="188" t="s">
        <v>259</v>
      </c>
      <c r="J22" s="186" t="s">
        <v>17</v>
      </c>
      <c r="K22" s="187" t="s">
        <v>258</v>
      </c>
      <c r="L22" s="188" t="s">
        <v>259</v>
      </c>
      <c r="M22" s="186" t="s">
        <v>17</v>
      </c>
      <c r="N22" s="187" t="s">
        <v>258</v>
      </c>
      <c r="O22" s="188" t="s">
        <v>259</v>
      </c>
      <c r="P22" s="186" t="s">
        <v>17</v>
      </c>
      <c r="Q22" s="187" t="s">
        <v>258</v>
      </c>
      <c r="R22" s="188" t="s">
        <v>259</v>
      </c>
    </row>
    <row r="23" spans="1:18" x14ac:dyDescent="0.25">
      <c r="A23" s="674">
        <v>1</v>
      </c>
      <c r="B23" s="673">
        <v>750000</v>
      </c>
      <c r="C23" s="194">
        <v>72</v>
      </c>
      <c r="D23" s="538">
        <v>1</v>
      </c>
      <c r="E23" s="458">
        <v>200</v>
      </c>
      <c r="F23" s="199">
        <v>0.02</v>
      </c>
      <c r="G23" s="7">
        <v>1</v>
      </c>
      <c r="H23" s="453">
        <v>250</v>
      </c>
      <c r="I23" s="192">
        <f>5/60</f>
        <v>8.3333333333333329E-2</v>
      </c>
      <c r="J23" s="7">
        <v>1</v>
      </c>
      <c r="K23" s="453">
        <v>25000</v>
      </c>
      <c r="L23" s="192">
        <f>30/60</f>
        <v>0.5</v>
      </c>
      <c r="M23" s="7">
        <v>1</v>
      </c>
      <c r="N23" s="453">
        <v>200000</v>
      </c>
      <c r="O23" s="192">
        <v>24</v>
      </c>
      <c r="P23" s="7">
        <v>1</v>
      </c>
      <c r="Q23" s="453">
        <v>1500000</v>
      </c>
      <c r="R23" s="192">
        <v>96</v>
      </c>
    </row>
    <row r="24" spans="1:18" x14ac:dyDescent="0.25">
      <c r="A24" s="674">
        <v>2</v>
      </c>
      <c r="B24" s="673">
        <v>1250000</v>
      </c>
      <c r="C24" s="194">
        <v>120</v>
      </c>
      <c r="D24" s="13">
        <v>2</v>
      </c>
      <c r="E24" s="454">
        <v>1000</v>
      </c>
      <c r="F24" s="200">
        <v>0.25</v>
      </c>
      <c r="G24" s="7">
        <v>2</v>
      </c>
      <c r="H24" s="454">
        <v>2500</v>
      </c>
      <c r="I24" s="194">
        <v>1</v>
      </c>
      <c r="J24" s="7">
        <v>2</v>
      </c>
      <c r="K24" s="454">
        <v>50000</v>
      </c>
      <c r="L24" s="194">
        <v>5</v>
      </c>
      <c r="M24" s="7">
        <v>2</v>
      </c>
      <c r="N24" s="454">
        <v>400000</v>
      </c>
      <c r="O24" s="194">
        <v>48</v>
      </c>
      <c r="P24" s="7">
        <v>2</v>
      </c>
      <c r="Q24" s="454">
        <v>2500000</v>
      </c>
      <c r="R24" s="194">
        <v>144</v>
      </c>
    </row>
    <row r="25" spans="1:18" x14ac:dyDescent="0.25">
      <c r="A25" s="674">
        <v>3</v>
      </c>
      <c r="B25" s="673">
        <v>1750000</v>
      </c>
      <c r="C25" s="194">
        <v>144</v>
      </c>
      <c r="D25" s="13">
        <v>3</v>
      </c>
      <c r="E25" s="454">
        <v>2500</v>
      </c>
      <c r="F25" s="200">
        <v>2</v>
      </c>
      <c r="G25" s="7">
        <v>3</v>
      </c>
      <c r="H25" s="454">
        <v>10000</v>
      </c>
      <c r="I25" s="194">
        <v>3</v>
      </c>
      <c r="J25" s="7">
        <v>3</v>
      </c>
      <c r="K25" s="454">
        <v>90000</v>
      </c>
      <c r="L25" s="194">
        <v>12</v>
      </c>
      <c r="M25" s="7">
        <v>3</v>
      </c>
      <c r="N25" s="454">
        <v>800000</v>
      </c>
      <c r="O25" s="194">
        <v>96</v>
      </c>
      <c r="P25" s="7">
        <v>3</v>
      </c>
      <c r="Q25" s="454">
        <v>3500000</v>
      </c>
      <c r="R25" s="194">
        <v>192</v>
      </c>
    </row>
    <row r="26" spans="1:18" x14ac:dyDescent="0.25">
      <c r="A26" s="674">
        <v>4</v>
      </c>
      <c r="B26" s="673">
        <v>2250000</v>
      </c>
      <c r="C26" s="194">
        <v>168</v>
      </c>
      <c r="D26" s="13">
        <v>4</v>
      </c>
      <c r="E26" s="454">
        <v>5000</v>
      </c>
      <c r="F26" s="200">
        <v>4</v>
      </c>
      <c r="G26" s="7">
        <v>4</v>
      </c>
      <c r="H26" s="454">
        <v>100000</v>
      </c>
      <c r="I26" s="194">
        <v>8</v>
      </c>
      <c r="J26" s="7">
        <v>4</v>
      </c>
      <c r="K26" s="454">
        <v>270000</v>
      </c>
      <c r="L26" s="194">
        <v>24</v>
      </c>
      <c r="M26" s="7">
        <v>4</v>
      </c>
      <c r="N26" s="454">
        <v>1600000</v>
      </c>
      <c r="O26" s="194">
        <v>120</v>
      </c>
    </row>
    <row r="27" spans="1:18" x14ac:dyDescent="0.25">
      <c r="A27" s="674">
        <v>5</v>
      </c>
      <c r="B27" s="673">
        <v>2750000</v>
      </c>
      <c r="C27" s="194">
        <v>192</v>
      </c>
      <c r="D27" s="13">
        <v>5</v>
      </c>
      <c r="E27" s="454">
        <v>10000</v>
      </c>
      <c r="F27" s="200">
        <v>10</v>
      </c>
      <c r="G27" s="7">
        <v>5</v>
      </c>
      <c r="H27" s="454">
        <v>250000</v>
      </c>
      <c r="I27" s="194">
        <v>24</v>
      </c>
      <c r="J27" s="7">
        <v>5</v>
      </c>
      <c r="K27" s="454">
        <v>500000</v>
      </c>
      <c r="L27" s="194">
        <v>48</v>
      </c>
      <c r="M27" s="201">
        <v>5</v>
      </c>
      <c r="N27" s="460">
        <v>3200000</v>
      </c>
      <c r="O27" s="196">
        <v>144</v>
      </c>
    </row>
    <row r="28" spans="1:18" x14ac:dyDescent="0.25">
      <c r="A28" s="675">
        <v>6</v>
      </c>
      <c r="B28" s="460">
        <v>3500000</v>
      </c>
      <c r="C28" s="196">
        <v>216</v>
      </c>
      <c r="D28" s="13">
        <v>6</v>
      </c>
      <c r="E28" s="454">
        <v>80000</v>
      </c>
      <c r="F28" s="200">
        <v>16</v>
      </c>
      <c r="G28" s="7">
        <v>6</v>
      </c>
      <c r="H28" s="454">
        <v>750000</v>
      </c>
      <c r="I28" s="194">
        <v>72</v>
      </c>
      <c r="J28" s="7">
        <v>6</v>
      </c>
      <c r="K28" s="454">
        <v>1000000</v>
      </c>
      <c r="L28" s="194">
        <v>96</v>
      </c>
    </row>
    <row r="29" spans="1:18" x14ac:dyDescent="0.25">
      <c r="D29" s="7">
        <v>7</v>
      </c>
      <c r="E29" s="454">
        <v>240000</v>
      </c>
      <c r="F29" s="200">
        <v>24</v>
      </c>
      <c r="G29" s="7">
        <v>7</v>
      </c>
      <c r="H29" s="454">
        <v>2250000</v>
      </c>
      <c r="I29" s="194">
        <v>120</v>
      </c>
      <c r="J29" s="7">
        <v>7</v>
      </c>
      <c r="K29" s="454">
        <v>2500000</v>
      </c>
      <c r="L29" s="194">
        <v>120</v>
      </c>
    </row>
    <row r="30" spans="1:18" x14ac:dyDescent="0.25">
      <c r="D30" s="7">
        <v>8</v>
      </c>
      <c r="E30" s="454">
        <v>700000</v>
      </c>
      <c r="F30" s="200">
        <v>48</v>
      </c>
      <c r="G30" s="201">
        <v>8</v>
      </c>
      <c r="H30" s="460">
        <v>6750000</v>
      </c>
      <c r="I30" s="196">
        <v>240</v>
      </c>
      <c r="J30" s="7">
        <v>8</v>
      </c>
      <c r="K30" s="454">
        <v>4000000</v>
      </c>
      <c r="L30" s="194">
        <v>144</v>
      </c>
      <c r="M30" s="162"/>
      <c r="N30" s="162"/>
      <c r="O30" s="162"/>
    </row>
    <row r="31" spans="1:18" x14ac:dyDescent="0.25">
      <c r="D31" s="7">
        <v>9</v>
      </c>
      <c r="E31" s="455">
        <v>1500000</v>
      </c>
      <c r="F31" s="56">
        <v>96</v>
      </c>
    </row>
    <row r="32" spans="1:18" ht="12" thickBot="1" x14ac:dyDescent="0.3">
      <c r="D32" s="8">
        <v>10</v>
      </c>
      <c r="E32" s="459">
        <v>2000000</v>
      </c>
      <c r="F32" s="57">
        <v>144</v>
      </c>
    </row>
    <row r="33" spans="1:40" x14ac:dyDescent="0.25">
      <c r="A33" s="162"/>
      <c r="B33" s="162"/>
      <c r="C33" s="162"/>
      <c r="I33" s="162"/>
      <c r="J33" s="162"/>
      <c r="K33" s="162"/>
    </row>
    <row r="34" spans="1:40" x14ac:dyDescent="0.25">
      <c r="A34" s="162"/>
      <c r="B34" s="162"/>
      <c r="C34" s="162"/>
      <c r="I34" s="162"/>
      <c r="J34" s="162"/>
      <c r="K34" s="162"/>
    </row>
    <row r="35" spans="1:40" ht="30" customHeight="1" x14ac:dyDescent="0.25">
      <c r="A35" s="1025" t="s">
        <v>376</v>
      </c>
      <c r="B35" s="1026"/>
      <c r="C35" s="1026"/>
      <c r="D35" s="1026"/>
      <c r="E35" s="1026"/>
      <c r="F35" s="1026"/>
      <c r="G35" s="1026"/>
      <c r="H35" s="1026"/>
      <c r="I35" s="1026"/>
      <c r="J35" s="1026"/>
      <c r="K35" s="1026"/>
      <c r="L35" s="1026"/>
      <c r="M35" s="1026"/>
      <c r="N35" s="1026"/>
      <c r="O35" s="1026"/>
      <c r="P35" s="1026"/>
      <c r="Q35" s="1026"/>
      <c r="R35" s="1026"/>
      <c r="S35" s="1026"/>
      <c r="T35" s="1026"/>
      <c r="U35" s="1026"/>
      <c r="V35" s="1026"/>
      <c r="W35" s="1026"/>
      <c r="X35" s="1026"/>
      <c r="Y35" s="1026"/>
      <c r="Z35" s="1026"/>
      <c r="AA35" s="1026"/>
      <c r="AB35" s="1026"/>
      <c r="AC35" s="1026"/>
      <c r="AD35" s="1026"/>
    </row>
    <row r="36" spans="1:40" ht="20.100000000000001" customHeight="1" thickBot="1" x14ac:dyDescent="0.3">
      <c r="A36" s="1304" t="s">
        <v>246</v>
      </c>
      <c r="B36" s="1305"/>
      <c r="C36" s="1305"/>
      <c r="D36" s="1305"/>
      <c r="E36" s="1305"/>
      <c r="F36" s="1305"/>
      <c r="G36" s="1305"/>
      <c r="H36" s="1305"/>
      <c r="I36" s="1305"/>
      <c r="J36" s="1305"/>
      <c r="K36" s="1305"/>
      <c r="L36" s="1305"/>
      <c r="M36" s="1305"/>
      <c r="N36" s="1305"/>
      <c r="O36" s="1305"/>
      <c r="P36" s="1305"/>
      <c r="Q36" s="1305"/>
      <c r="R36" s="1305"/>
      <c r="S36" s="1305"/>
      <c r="T36" s="1305"/>
      <c r="U36" s="1305"/>
      <c r="V36" s="1305"/>
      <c r="W36" s="1305"/>
      <c r="X36" s="1305"/>
      <c r="Y36" s="1305"/>
      <c r="Z36" s="1305"/>
      <c r="AA36" s="1305"/>
      <c r="AB36" s="1305"/>
      <c r="AC36" s="1305"/>
      <c r="AD36" s="1305"/>
    </row>
    <row r="37" spans="1:40" ht="12" customHeight="1" thickBot="1" x14ac:dyDescent="0.3">
      <c r="A37" s="1306" t="s">
        <v>206</v>
      </c>
      <c r="B37" s="1307"/>
      <c r="C37" s="1308"/>
      <c r="D37" s="1306" t="s">
        <v>205</v>
      </c>
      <c r="E37" s="1307"/>
      <c r="F37" s="1308"/>
      <c r="G37" s="1306" t="s">
        <v>204</v>
      </c>
      <c r="H37" s="1307"/>
      <c r="I37" s="1308"/>
      <c r="J37" s="1306" t="s">
        <v>203</v>
      </c>
      <c r="K37" s="1307"/>
      <c r="L37" s="1307"/>
      <c r="M37" s="1316" t="s">
        <v>202</v>
      </c>
      <c r="N37" s="1316"/>
      <c r="O37" s="1317"/>
      <c r="P37" s="1315" t="s">
        <v>455</v>
      </c>
      <c r="Q37" s="1316"/>
      <c r="R37" s="1317"/>
      <c r="S37" s="1306" t="s">
        <v>647</v>
      </c>
      <c r="T37" s="1307"/>
      <c r="U37" s="1308"/>
      <c r="V37" s="1306" t="s">
        <v>201</v>
      </c>
      <c r="W37" s="1307"/>
      <c r="X37" s="1308"/>
      <c r="Y37" s="1306" t="s">
        <v>200</v>
      </c>
      <c r="Z37" s="1307"/>
      <c r="AA37" s="1308"/>
      <c r="AB37" s="1306" t="s">
        <v>199</v>
      </c>
      <c r="AC37" s="1307"/>
      <c r="AD37" s="1308"/>
    </row>
    <row r="38" spans="1:40" ht="12" thickBot="1" x14ac:dyDescent="0.3">
      <c r="A38" s="186" t="s">
        <v>17</v>
      </c>
      <c r="B38" s="187" t="s">
        <v>258</v>
      </c>
      <c r="C38" s="188" t="s">
        <v>259</v>
      </c>
      <c r="D38" s="202" t="s">
        <v>17</v>
      </c>
      <c r="E38" s="187" t="s">
        <v>258</v>
      </c>
      <c r="F38" s="188" t="s">
        <v>259</v>
      </c>
      <c r="G38" s="186" t="s">
        <v>17</v>
      </c>
      <c r="H38" s="187" t="s">
        <v>258</v>
      </c>
      <c r="I38" s="188" t="s">
        <v>259</v>
      </c>
      <c r="J38" s="189" t="s">
        <v>17</v>
      </c>
      <c r="K38" s="190" t="s">
        <v>258</v>
      </c>
      <c r="L38" s="191" t="s">
        <v>259</v>
      </c>
      <c r="M38" s="656" t="s">
        <v>17</v>
      </c>
      <c r="N38" s="190" t="s">
        <v>258</v>
      </c>
      <c r="O38" s="208" t="s">
        <v>259</v>
      </c>
      <c r="P38" s="189" t="s">
        <v>17</v>
      </c>
      <c r="Q38" s="190" t="s">
        <v>258</v>
      </c>
      <c r="R38" s="191" t="s">
        <v>259</v>
      </c>
      <c r="S38" s="186" t="s">
        <v>17</v>
      </c>
      <c r="T38" s="187" t="s">
        <v>258</v>
      </c>
      <c r="U38" s="188" t="s">
        <v>259</v>
      </c>
      <c r="V38" s="186" t="s">
        <v>17</v>
      </c>
      <c r="W38" s="187" t="s">
        <v>258</v>
      </c>
      <c r="X38" s="188" t="s">
        <v>259</v>
      </c>
      <c r="Y38" s="186" t="s">
        <v>17</v>
      </c>
      <c r="Z38" s="187" t="s">
        <v>258</v>
      </c>
      <c r="AA38" s="188" t="s">
        <v>259</v>
      </c>
      <c r="AB38" s="186" t="s">
        <v>17</v>
      </c>
      <c r="AC38" s="187" t="s">
        <v>258</v>
      </c>
      <c r="AD38" s="188" t="s">
        <v>259</v>
      </c>
    </row>
    <row r="39" spans="1:40" x14ac:dyDescent="0.25">
      <c r="A39" s="7">
        <v>1</v>
      </c>
      <c r="B39" s="193">
        <v>50</v>
      </c>
      <c r="C39" s="192">
        <v>0</v>
      </c>
      <c r="D39" s="52">
        <v>1</v>
      </c>
      <c r="E39" s="193">
        <v>250</v>
      </c>
      <c r="F39" s="192">
        <f>1/60</f>
        <v>1.6666666666666666E-2</v>
      </c>
      <c r="G39" s="7">
        <v>1</v>
      </c>
      <c r="H39" s="193">
        <v>1000</v>
      </c>
      <c r="I39" s="192">
        <f>15/60</f>
        <v>0.25</v>
      </c>
      <c r="J39" s="13">
        <v>1</v>
      </c>
      <c r="K39" s="193">
        <v>8000</v>
      </c>
      <c r="L39" s="192">
        <v>8</v>
      </c>
      <c r="M39" s="13">
        <v>1</v>
      </c>
      <c r="N39" s="193">
        <v>22500</v>
      </c>
      <c r="O39" s="657">
        <v>5</v>
      </c>
      <c r="P39" s="52">
        <v>1</v>
      </c>
      <c r="Q39" s="203">
        <v>180000</v>
      </c>
      <c r="R39" s="199">
        <v>12</v>
      </c>
      <c r="S39" s="7">
        <v>1</v>
      </c>
      <c r="T39" s="193">
        <v>500000</v>
      </c>
      <c r="U39" s="192">
        <v>24</v>
      </c>
      <c r="V39" s="7">
        <v>1</v>
      </c>
      <c r="W39" s="193">
        <v>1000000</v>
      </c>
      <c r="X39" s="192">
        <v>24</v>
      </c>
      <c r="Y39" s="7">
        <v>1</v>
      </c>
      <c r="Z39" s="193">
        <v>3000000</v>
      </c>
      <c r="AA39" s="192">
        <v>168</v>
      </c>
      <c r="AB39" s="7">
        <v>1</v>
      </c>
      <c r="AC39" s="193">
        <v>5000000</v>
      </c>
      <c r="AD39" s="192">
        <v>168</v>
      </c>
    </row>
    <row r="40" spans="1:40" x14ac:dyDescent="0.25">
      <c r="A40" s="7">
        <v>2</v>
      </c>
      <c r="B40" s="195">
        <v>1000</v>
      </c>
      <c r="C40" s="194">
        <v>0</v>
      </c>
      <c r="D40" s="7">
        <v>2</v>
      </c>
      <c r="E40" s="195">
        <v>1000</v>
      </c>
      <c r="F40" s="194">
        <f>15/60</f>
        <v>0.25</v>
      </c>
      <c r="G40" s="7">
        <v>2</v>
      </c>
      <c r="H40" s="195">
        <v>2000</v>
      </c>
      <c r="I40" s="194">
        <f>30/60</f>
        <v>0.5</v>
      </c>
      <c r="J40" s="13">
        <v>2</v>
      </c>
      <c r="K40" s="195">
        <v>32000</v>
      </c>
      <c r="L40" s="194">
        <v>12</v>
      </c>
      <c r="M40" s="13">
        <v>2</v>
      </c>
      <c r="N40" s="195">
        <v>90000</v>
      </c>
      <c r="O40" s="200">
        <v>24</v>
      </c>
      <c r="P40" s="7">
        <v>2</v>
      </c>
      <c r="Q40" s="195">
        <v>360000</v>
      </c>
      <c r="R40" s="200">
        <v>24</v>
      </c>
      <c r="S40" s="7">
        <v>2</v>
      </c>
      <c r="T40" s="195">
        <v>750000</v>
      </c>
      <c r="U40" s="194">
        <v>72</v>
      </c>
      <c r="V40" s="7">
        <v>2</v>
      </c>
      <c r="W40" s="195">
        <v>1250000</v>
      </c>
      <c r="X40" s="194">
        <v>72</v>
      </c>
      <c r="Y40" s="7">
        <v>2</v>
      </c>
      <c r="Z40" s="195">
        <v>5000000</v>
      </c>
      <c r="AA40" s="194">
        <v>240</v>
      </c>
      <c r="AB40" s="7">
        <v>2</v>
      </c>
      <c r="AC40" s="195">
        <v>6500000</v>
      </c>
      <c r="AD40" s="194">
        <v>240</v>
      </c>
    </row>
    <row r="41" spans="1:40" x14ac:dyDescent="0.25">
      <c r="A41" s="7">
        <v>3</v>
      </c>
      <c r="B41" s="195">
        <v>5000</v>
      </c>
      <c r="C41" s="194">
        <v>0</v>
      </c>
      <c r="D41" s="7">
        <v>3</v>
      </c>
      <c r="E41" s="195">
        <v>4000</v>
      </c>
      <c r="F41" s="194">
        <f>45/60</f>
        <v>0.75</v>
      </c>
      <c r="G41" s="7">
        <v>3</v>
      </c>
      <c r="H41" s="195">
        <v>5000</v>
      </c>
      <c r="I41" s="194">
        <f>45/60</f>
        <v>0.75</v>
      </c>
      <c r="J41" s="13">
        <v>3</v>
      </c>
      <c r="K41" s="195">
        <v>120000</v>
      </c>
      <c r="L41" s="194">
        <v>24</v>
      </c>
      <c r="M41" s="13">
        <v>3</v>
      </c>
      <c r="N41" s="195">
        <v>270000</v>
      </c>
      <c r="O41" s="200">
        <v>72</v>
      </c>
      <c r="P41" s="7">
        <v>3</v>
      </c>
      <c r="Q41" s="195">
        <v>720000</v>
      </c>
      <c r="R41" s="200">
        <v>48</v>
      </c>
      <c r="S41" s="7">
        <v>3</v>
      </c>
      <c r="T41" s="195">
        <v>1250000</v>
      </c>
      <c r="U41" s="194">
        <v>120</v>
      </c>
      <c r="V41" s="7">
        <v>3</v>
      </c>
      <c r="W41" s="195">
        <v>1500000</v>
      </c>
      <c r="X41" s="194">
        <v>120</v>
      </c>
      <c r="Y41" s="7">
        <v>3</v>
      </c>
      <c r="Z41" s="195">
        <v>7000000</v>
      </c>
      <c r="AA41" s="194">
        <v>336</v>
      </c>
      <c r="AB41" s="213">
        <v>3</v>
      </c>
      <c r="AC41" s="204">
        <v>8000000</v>
      </c>
      <c r="AD41" s="196">
        <v>336</v>
      </c>
    </row>
    <row r="42" spans="1:40" x14ac:dyDescent="0.25">
      <c r="A42" s="7">
        <v>4</v>
      </c>
      <c r="B42" s="195">
        <v>10000</v>
      </c>
      <c r="C42" s="194">
        <v>0</v>
      </c>
      <c r="D42" s="7">
        <v>4</v>
      </c>
      <c r="E42" s="195">
        <v>16000</v>
      </c>
      <c r="F42" s="194">
        <v>2</v>
      </c>
      <c r="G42" s="7">
        <v>4</v>
      </c>
      <c r="H42" s="195">
        <v>20000</v>
      </c>
      <c r="I42" s="194">
        <v>4</v>
      </c>
      <c r="J42" s="13">
        <v>4</v>
      </c>
      <c r="K42" s="195">
        <v>400000</v>
      </c>
      <c r="L42" s="194">
        <v>48</v>
      </c>
      <c r="M42" s="13">
        <v>4</v>
      </c>
      <c r="N42" s="195">
        <v>540000</v>
      </c>
      <c r="O42" s="200">
        <v>120</v>
      </c>
      <c r="P42" s="7">
        <v>4</v>
      </c>
      <c r="Q42" s="195">
        <v>1280000</v>
      </c>
      <c r="R42" s="200">
        <v>72</v>
      </c>
      <c r="S42" s="7">
        <v>4</v>
      </c>
      <c r="T42" s="195">
        <v>2400000</v>
      </c>
      <c r="U42" s="194">
        <v>168</v>
      </c>
      <c r="V42" s="7">
        <v>4</v>
      </c>
      <c r="W42" s="195">
        <v>2000000</v>
      </c>
      <c r="X42" s="194">
        <v>144</v>
      </c>
      <c r="Y42" s="7">
        <v>4</v>
      </c>
      <c r="Z42" s="195">
        <v>8000000</v>
      </c>
      <c r="AA42" s="194">
        <v>336</v>
      </c>
      <c r="AB42" s="162"/>
      <c r="AC42" s="162"/>
      <c r="AD42" s="162"/>
    </row>
    <row r="43" spans="1:40" s="162" customFormat="1" x14ac:dyDescent="0.25">
      <c r="A43" s="7">
        <v>5</v>
      </c>
      <c r="B43" s="195">
        <v>30000</v>
      </c>
      <c r="C43" s="194">
        <v>0</v>
      </c>
      <c r="D43" s="7">
        <v>5</v>
      </c>
      <c r="E43" s="195">
        <v>50000</v>
      </c>
      <c r="F43" s="194">
        <v>6</v>
      </c>
      <c r="G43" s="7">
        <v>5</v>
      </c>
      <c r="H43" s="195">
        <v>80000</v>
      </c>
      <c r="I43" s="194">
        <v>12</v>
      </c>
      <c r="J43" s="13">
        <v>5</v>
      </c>
      <c r="K43" s="195">
        <v>800000</v>
      </c>
      <c r="L43" s="194">
        <v>96</v>
      </c>
      <c r="M43" s="13">
        <v>5</v>
      </c>
      <c r="N43" s="195">
        <v>1080000</v>
      </c>
      <c r="O43" s="200">
        <v>144</v>
      </c>
      <c r="P43" s="7">
        <v>5</v>
      </c>
      <c r="Q43" s="195">
        <v>1960000</v>
      </c>
      <c r="R43" s="200">
        <v>96</v>
      </c>
      <c r="S43" s="7">
        <v>5</v>
      </c>
      <c r="T43" s="195">
        <v>4800000</v>
      </c>
      <c r="U43" s="194">
        <v>192</v>
      </c>
      <c r="V43" s="7">
        <v>5</v>
      </c>
      <c r="W43" s="195">
        <v>2500000</v>
      </c>
      <c r="X43" s="194">
        <v>192</v>
      </c>
      <c r="Y43" s="177"/>
      <c r="Z43" s="177"/>
      <c r="AA43" s="177"/>
      <c r="AB43" s="177"/>
      <c r="AC43" s="177"/>
      <c r="AD43" s="177"/>
      <c r="AH43" s="177"/>
      <c r="AI43" s="177"/>
      <c r="AJ43" s="177"/>
      <c r="AK43" s="177"/>
      <c r="AL43" s="177"/>
      <c r="AM43" s="177"/>
      <c r="AN43" s="177"/>
    </row>
    <row r="44" spans="1:40" s="162" customFormat="1" x14ac:dyDescent="0.25">
      <c r="A44" s="7">
        <v>6</v>
      </c>
      <c r="B44" s="195">
        <v>75000</v>
      </c>
      <c r="C44" s="194">
        <v>0</v>
      </c>
      <c r="D44" s="7">
        <v>6</v>
      </c>
      <c r="E44" s="195">
        <v>100000</v>
      </c>
      <c r="F44" s="194">
        <v>12</v>
      </c>
      <c r="G44" s="7">
        <v>6</v>
      </c>
      <c r="H44" s="195">
        <v>180000</v>
      </c>
      <c r="I44" s="194">
        <v>24</v>
      </c>
      <c r="J44" s="19">
        <v>6</v>
      </c>
      <c r="K44" s="195">
        <v>1600000</v>
      </c>
      <c r="L44" s="196">
        <v>120</v>
      </c>
      <c r="M44" s="13">
        <v>6</v>
      </c>
      <c r="N44" s="195">
        <v>2160000</v>
      </c>
      <c r="O44" s="200">
        <v>192</v>
      </c>
      <c r="P44" s="7">
        <v>6</v>
      </c>
      <c r="Q44" s="195">
        <v>2680000</v>
      </c>
      <c r="R44" s="200">
        <v>120</v>
      </c>
      <c r="S44" s="7">
        <v>6</v>
      </c>
      <c r="T44" s="195">
        <v>7200000</v>
      </c>
      <c r="U44" s="194">
        <v>216</v>
      </c>
      <c r="V44" s="7">
        <v>6</v>
      </c>
      <c r="W44" s="195">
        <v>3000000</v>
      </c>
      <c r="X44" s="194">
        <v>240</v>
      </c>
      <c r="Y44" s="177"/>
      <c r="Z44" s="177"/>
      <c r="AA44" s="177"/>
      <c r="AB44" s="177"/>
      <c r="AC44" s="177"/>
      <c r="AD44" s="177"/>
      <c r="AH44" s="177"/>
      <c r="AI44" s="177"/>
      <c r="AJ44" s="177"/>
      <c r="AK44" s="177"/>
      <c r="AL44" s="177"/>
      <c r="AM44" s="177"/>
      <c r="AN44" s="177"/>
    </row>
    <row r="45" spans="1:40" s="162" customFormat="1" x14ac:dyDescent="0.25">
      <c r="A45" s="7">
        <v>7</v>
      </c>
      <c r="B45" s="195">
        <v>200000</v>
      </c>
      <c r="C45" s="194">
        <v>0</v>
      </c>
      <c r="D45" s="7">
        <v>7</v>
      </c>
      <c r="E45" s="195">
        <v>200000</v>
      </c>
      <c r="F45" s="194">
        <v>24</v>
      </c>
      <c r="G45" s="7">
        <v>7</v>
      </c>
      <c r="H45" s="195">
        <v>360000</v>
      </c>
      <c r="I45" s="194">
        <v>48</v>
      </c>
      <c r="J45" s="7">
        <v>7</v>
      </c>
      <c r="K45" s="24">
        <v>3200000</v>
      </c>
      <c r="L45" s="54">
        <v>168</v>
      </c>
      <c r="M45" s="7">
        <v>7</v>
      </c>
      <c r="N45" s="195">
        <v>4320000</v>
      </c>
      <c r="O45" s="200">
        <v>240</v>
      </c>
      <c r="P45" s="7">
        <v>7</v>
      </c>
      <c r="Q45" s="195">
        <v>5360000</v>
      </c>
      <c r="R45" s="200">
        <v>168</v>
      </c>
      <c r="S45" s="177"/>
      <c r="T45" s="177"/>
      <c r="U45" s="177"/>
      <c r="V45" s="201">
        <v>7</v>
      </c>
      <c r="W45" s="206">
        <v>3500000</v>
      </c>
      <c r="X45" s="196">
        <v>288</v>
      </c>
      <c r="Y45" s="177"/>
      <c r="Z45" s="177"/>
      <c r="AA45" s="177"/>
      <c r="AB45" s="177"/>
      <c r="AC45" s="177"/>
      <c r="AD45" s="177"/>
      <c r="AH45" s="177"/>
      <c r="AI45" s="177"/>
      <c r="AJ45" s="177"/>
      <c r="AK45" s="177"/>
      <c r="AL45" s="177"/>
      <c r="AM45" s="177"/>
      <c r="AN45" s="177"/>
    </row>
    <row r="46" spans="1:40" s="162" customFormat="1" ht="12" thickBot="1" x14ac:dyDescent="0.3">
      <c r="A46" s="7">
        <v>8</v>
      </c>
      <c r="B46" s="195">
        <v>500000</v>
      </c>
      <c r="C46" s="194">
        <v>0</v>
      </c>
      <c r="D46" s="7">
        <v>8</v>
      </c>
      <c r="E46" s="195">
        <v>400000</v>
      </c>
      <c r="F46" s="194">
        <v>48</v>
      </c>
      <c r="G46" s="7">
        <v>8</v>
      </c>
      <c r="H46" s="195">
        <v>720000</v>
      </c>
      <c r="I46" s="194">
        <v>72</v>
      </c>
      <c r="J46" s="213">
        <v>8</v>
      </c>
      <c r="K46" s="204">
        <v>6400000</v>
      </c>
      <c r="L46" s="196">
        <v>240</v>
      </c>
      <c r="M46" s="8">
        <v>8</v>
      </c>
      <c r="N46" s="658">
        <v>7560000</v>
      </c>
      <c r="O46" s="539">
        <v>288</v>
      </c>
      <c r="P46" s="201">
        <v>8</v>
      </c>
      <c r="Q46" s="588">
        <v>6400000</v>
      </c>
      <c r="R46" s="589">
        <v>240</v>
      </c>
      <c r="S46" s="177"/>
      <c r="T46" s="177"/>
      <c r="U46" s="177"/>
      <c r="V46" s="201">
        <v>8</v>
      </c>
      <c r="W46" s="206">
        <v>5000000</v>
      </c>
      <c r="X46" s="196">
        <v>336</v>
      </c>
      <c r="Y46" s="177"/>
      <c r="Z46" s="177"/>
      <c r="AA46" s="177"/>
      <c r="AH46" s="177"/>
      <c r="AI46" s="177"/>
      <c r="AJ46" s="177"/>
      <c r="AK46" s="177"/>
      <c r="AL46" s="177"/>
      <c r="AM46" s="177"/>
      <c r="AN46" s="177"/>
    </row>
    <row r="47" spans="1:40" x14ac:dyDescent="0.25">
      <c r="A47" s="7">
        <v>9</v>
      </c>
      <c r="B47" s="784">
        <v>1000000</v>
      </c>
      <c r="C47" s="54">
        <v>0</v>
      </c>
      <c r="D47" s="7">
        <v>9</v>
      </c>
      <c r="E47" s="24">
        <v>800000</v>
      </c>
      <c r="F47" s="54">
        <v>72</v>
      </c>
      <c r="G47" s="7">
        <v>9</v>
      </c>
      <c r="H47" s="24">
        <v>1500000</v>
      </c>
      <c r="I47" s="54">
        <v>96</v>
      </c>
    </row>
    <row r="48" spans="1:40" x14ac:dyDescent="0.25">
      <c r="A48" s="7">
        <v>10</v>
      </c>
      <c r="B48" s="784">
        <v>3000000</v>
      </c>
      <c r="C48" s="54">
        <v>0</v>
      </c>
      <c r="D48" s="7">
        <v>10</v>
      </c>
      <c r="E48" s="24">
        <v>1600000</v>
      </c>
      <c r="F48" s="54">
        <v>96</v>
      </c>
      <c r="G48" s="7">
        <v>10</v>
      </c>
      <c r="H48" s="24">
        <v>2500000</v>
      </c>
      <c r="I48" s="54">
        <v>120</v>
      </c>
      <c r="L48" s="609"/>
    </row>
    <row r="49" spans="1:18" ht="12" thickBot="1" x14ac:dyDescent="0.3">
      <c r="A49" s="8">
        <v>11</v>
      </c>
      <c r="B49" s="785">
        <v>4000000</v>
      </c>
      <c r="C49" s="55">
        <v>0</v>
      </c>
      <c r="D49" s="7">
        <v>11</v>
      </c>
      <c r="E49" s="25">
        <v>3200000</v>
      </c>
      <c r="F49" s="55">
        <v>120</v>
      </c>
      <c r="G49" s="8">
        <v>11</v>
      </c>
      <c r="H49" s="25">
        <v>4500000</v>
      </c>
      <c r="I49" s="55">
        <v>144</v>
      </c>
      <c r="L49" s="609"/>
    </row>
    <row r="50" spans="1:18" x14ac:dyDescent="0.25">
      <c r="D50" s="7">
        <v>12</v>
      </c>
      <c r="E50" s="206">
        <v>6400000</v>
      </c>
      <c r="F50" s="196">
        <v>144</v>
      </c>
      <c r="G50" s="213">
        <v>12</v>
      </c>
      <c r="H50" s="25">
        <v>6500000</v>
      </c>
      <c r="I50" s="55">
        <v>168</v>
      </c>
    </row>
    <row r="51" spans="1:18" x14ac:dyDescent="0.25">
      <c r="D51" s="7">
        <v>13</v>
      </c>
      <c r="E51" s="206">
        <v>7500000</v>
      </c>
      <c r="F51" s="196">
        <v>168</v>
      </c>
      <c r="G51" s="213">
        <v>13</v>
      </c>
      <c r="H51" s="25">
        <v>7500000</v>
      </c>
      <c r="I51" s="55">
        <v>192</v>
      </c>
    </row>
    <row r="54" spans="1:18" ht="30" customHeight="1" x14ac:dyDescent="0.25">
      <c r="A54" s="1025" t="s">
        <v>674</v>
      </c>
      <c r="B54" s="1026"/>
      <c r="C54" s="1026"/>
      <c r="D54" s="1026"/>
      <c r="E54" s="1026"/>
      <c r="F54" s="1026"/>
      <c r="G54" s="1026"/>
      <c r="H54" s="1026"/>
      <c r="I54" s="1026"/>
      <c r="J54" s="1026"/>
      <c r="K54" s="1026"/>
      <c r="L54" s="1026"/>
      <c r="M54" s="1026"/>
      <c r="N54" s="1026"/>
      <c r="O54" s="1026"/>
      <c r="P54" s="1026"/>
      <c r="Q54" s="1026"/>
      <c r="R54" s="1026"/>
    </row>
    <row r="55" spans="1:18" ht="20.100000000000001" customHeight="1" thickBot="1" x14ac:dyDescent="0.3">
      <c r="A55" s="1304" t="s">
        <v>246</v>
      </c>
      <c r="B55" s="1305"/>
      <c r="C55" s="1305"/>
      <c r="D55" s="1305"/>
      <c r="E55" s="1305"/>
      <c r="F55" s="1305"/>
      <c r="G55" s="1305"/>
      <c r="H55" s="1305"/>
      <c r="I55" s="1305"/>
      <c r="J55" s="1305"/>
      <c r="K55" s="1305"/>
      <c r="L55" s="1305"/>
      <c r="M55" s="1305"/>
      <c r="N55" s="1305"/>
      <c r="O55" s="1305"/>
      <c r="P55" s="1305"/>
      <c r="Q55" s="1305"/>
      <c r="R55" s="1305"/>
    </row>
    <row r="56" spans="1:18" ht="12" thickBot="1" x14ac:dyDescent="0.3">
      <c r="A56" s="1312" t="s">
        <v>564</v>
      </c>
      <c r="B56" s="1313"/>
      <c r="C56" s="1314"/>
      <c r="D56" s="1316" t="s">
        <v>562</v>
      </c>
      <c r="E56" s="1316"/>
      <c r="F56" s="1317"/>
      <c r="G56" s="1315" t="s">
        <v>561</v>
      </c>
      <c r="H56" s="1316"/>
      <c r="I56" s="1317"/>
      <c r="J56" s="1315" t="s">
        <v>563</v>
      </c>
      <c r="K56" s="1316"/>
      <c r="L56" s="1317"/>
      <c r="M56" s="1315" t="s">
        <v>565</v>
      </c>
      <c r="N56" s="1316"/>
      <c r="O56" s="1317"/>
      <c r="P56" s="1315" t="s">
        <v>567</v>
      </c>
      <c r="Q56" s="1316"/>
      <c r="R56" s="1317"/>
    </row>
    <row r="57" spans="1:18" ht="12" thickBot="1" x14ac:dyDescent="0.3">
      <c r="A57" s="659" t="s">
        <v>17</v>
      </c>
      <c r="B57" s="660" t="s">
        <v>258</v>
      </c>
      <c r="C57" s="661" t="s">
        <v>259</v>
      </c>
      <c r="D57" s="656" t="s">
        <v>17</v>
      </c>
      <c r="E57" s="190" t="s">
        <v>258</v>
      </c>
      <c r="F57" s="191" t="s">
        <v>259</v>
      </c>
      <c r="G57" s="186" t="s">
        <v>17</v>
      </c>
      <c r="H57" s="190" t="s">
        <v>258</v>
      </c>
      <c r="I57" s="191" t="s">
        <v>259</v>
      </c>
      <c r="J57" s="656" t="s">
        <v>17</v>
      </c>
      <c r="K57" s="190" t="s">
        <v>258</v>
      </c>
      <c r="L57" s="191" t="s">
        <v>259</v>
      </c>
      <c r="M57" s="656" t="s">
        <v>17</v>
      </c>
      <c r="N57" s="190" t="s">
        <v>258</v>
      </c>
      <c r="O57" s="191" t="s">
        <v>259</v>
      </c>
      <c r="P57" s="656" t="s">
        <v>17</v>
      </c>
      <c r="Q57" s="190" t="s">
        <v>258</v>
      </c>
      <c r="R57" s="191" t="s">
        <v>259</v>
      </c>
    </row>
    <row r="58" spans="1:18" x14ac:dyDescent="0.25">
      <c r="A58" s="13">
        <v>1</v>
      </c>
      <c r="B58" s="193">
        <v>400</v>
      </c>
      <c r="C58" s="657">
        <v>0</v>
      </c>
      <c r="D58" s="13">
        <v>1</v>
      </c>
      <c r="E58" s="193">
        <v>2000</v>
      </c>
      <c r="F58" s="192">
        <v>0</v>
      </c>
      <c r="G58" s="7">
        <v>1</v>
      </c>
      <c r="H58" s="193">
        <v>12500</v>
      </c>
      <c r="I58" s="192">
        <v>0</v>
      </c>
      <c r="J58" s="13">
        <v>1</v>
      </c>
      <c r="K58" s="608">
        <v>4000</v>
      </c>
      <c r="L58" s="610">
        <v>0</v>
      </c>
      <c r="M58" s="13">
        <v>1</v>
      </c>
      <c r="N58" s="608">
        <v>15000</v>
      </c>
      <c r="O58" s="610">
        <v>5</v>
      </c>
      <c r="P58" s="13">
        <v>1</v>
      </c>
      <c r="Q58" s="608">
        <v>6000</v>
      </c>
      <c r="R58" s="610">
        <v>0</v>
      </c>
    </row>
    <row r="59" spans="1:18" x14ac:dyDescent="0.25">
      <c r="A59" s="13">
        <v>2</v>
      </c>
      <c r="B59" s="195">
        <v>1000</v>
      </c>
      <c r="C59" s="200">
        <v>0.25</v>
      </c>
      <c r="G59" s="7">
        <v>2</v>
      </c>
      <c r="H59" s="193">
        <v>75000</v>
      </c>
      <c r="I59" s="192">
        <v>6</v>
      </c>
      <c r="J59" s="13">
        <v>2</v>
      </c>
      <c r="K59" s="608">
        <v>20000</v>
      </c>
      <c r="L59" s="610">
        <v>4</v>
      </c>
      <c r="M59" s="13">
        <v>2</v>
      </c>
      <c r="N59" s="608">
        <v>2000000</v>
      </c>
      <c r="O59" s="610">
        <v>24</v>
      </c>
      <c r="P59" s="13">
        <v>2</v>
      </c>
      <c r="Q59" s="608">
        <v>600000</v>
      </c>
      <c r="R59" s="610">
        <v>6</v>
      </c>
    </row>
    <row r="60" spans="1:18" x14ac:dyDescent="0.25">
      <c r="A60" s="13">
        <v>3</v>
      </c>
      <c r="B60" s="195">
        <v>10000</v>
      </c>
      <c r="C60" s="200">
        <v>2</v>
      </c>
      <c r="G60" s="7">
        <v>3</v>
      </c>
      <c r="H60" s="193">
        <v>750000</v>
      </c>
      <c r="I60" s="192">
        <v>24</v>
      </c>
      <c r="J60" s="13">
        <v>3</v>
      </c>
      <c r="K60" s="608">
        <v>200000</v>
      </c>
      <c r="L60" s="610">
        <v>12</v>
      </c>
      <c r="M60" s="19">
        <v>3</v>
      </c>
      <c r="N60" s="662">
        <v>4000000</v>
      </c>
      <c r="O60" s="663">
        <v>72</v>
      </c>
      <c r="P60" s="19">
        <v>3</v>
      </c>
      <c r="Q60" s="662">
        <v>1300000</v>
      </c>
      <c r="R60" s="663">
        <v>24</v>
      </c>
    </row>
    <row r="61" spans="1:18" x14ac:dyDescent="0.25">
      <c r="A61" s="13">
        <v>4</v>
      </c>
      <c r="B61" s="195">
        <v>100000</v>
      </c>
      <c r="C61" s="200">
        <v>8</v>
      </c>
      <c r="G61" s="7">
        <v>4</v>
      </c>
      <c r="H61" s="193">
        <v>2500000</v>
      </c>
      <c r="I61" s="192">
        <v>72</v>
      </c>
      <c r="J61" s="19">
        <v>4</v>
      </c>
      <c r="K61" s="662">
        <v>1500000</v>
      </c>
      <c r="L61" s="663">
        <v>24</v>
      </c>
    </row>
    <row r="62" spans="1:18" x14ac:dyDescent="0.25">
      <c r="A62" s="13">
        <v>5</v>
      </c>
      <c r="B62" s="195">
        <v>1000000</v>
      </c>
      <c r="C62" s="200">
        <v>24</v>
      </c>
    </row>
    <row r="63" spans="1:18" x14ac:dyDescent="0.25">
      <c r="A63" s="13">
        <v>6</v>
      </c>
      <c r="B63" s="195">
        <v>1500000</v>
      </c>
      <c r="C63" s="200">
        <v>48</v>
      </c>
    </row>
    <row r="65" spans="1:27" ht="12" thickBot="1" x14ac:dyDescent="0.3"/>
    <row r="66" spans="1:27" ht="30" customHeight="1" thickBot="1" x14ac:dyDescent="0.3">
      <c r="A66" s="1262" t="s">
        <v>377</v>
      </c>
      <c r="B66" s="1263"/>
      <c r="C66" s="1263"/>
      <c r="D66" s="1263"/>
      <c r="E66" s="1263"/>
      <c r="F66" s="1264"/>
    </row>
    <row r="67" spans="1:27" ht="20.100000000000001" customHeight="1" thickBot="1" x14ac:dyDescent="0.3">
      <c r="A67" s="1309" t="s">
        <v>246</v>
      </c>
      <c r="B67" s="1310"/>
      <c r="C67" s="1310"/>
      <c r="D67" s="1310"/>
      <c r="E67" s="1310"/>
      <c r="F67" s="1311"/>
    </row>
    <row r="68" spans="1:27" ht="12" customHeight="1" thickBot="1" x14ac:dyDescent="0.3">
      <c r="A68" s="1306" t="s">
        <v>198</v>
      </c>
      <c r="B68" s="1307"/>
      <c r="C68" s="1308"/>
      <c r="D68" s="1306" t="s">
        <v>197</v>
      </c>
      <c r="E68" s="1307"/>
      <c r="F68" s="1308"/>
      <c r="Y68" s="609"/>
      <c r="Z68" s="609"/>
      <c r="AA68" s="609"/>
    </row>
    <row r="69" spans="1:27" ht="12" thickBot="1" x14ac:dyDescent="0.3">
      <c r="A69" s="186" t="s">
        <v>17</v>
      </c>
      <c r="B69" s="187" t="s">
        <v>258</v>
      </c>
      <c r="C69" s="188" t="s">
        <v>259</v>
      </c>
      <c r="D69" s="186" t="s">
        <v>17</v>
      </c>
      <c r="E69" s="187" t="s">
        <v>258</v>
      </c>
      <c r="F69" s="188" t="s">
        <v>259</v>
      </c>
      <c r="Y69" s="609"/>
      <c r="Z69" s="609"/>
      <c r="AA69" s="609"/>
    </row>
    <row r="70" spans="1:27" x14ac:dyDescent="0.25">
      <c r="A70" s="7">
        <v>1</v>
      </c>
      <c r="B70" s="193">
        <v>40000</v>
      </c>
      <c r="C70" s="192">
        <v>0</v>
      </c>
      <c r="D70" s="7">
        <v>1</v>
      </c>
      <c r="E70" s="193">
        <v>0</v>
      </c>
      <c r="F70" s="192">
        <v>0</v>
      </c>
    </row>
    <row r="71" spans="1:27" x14ac:dyDescent="0.25">
      <c r="A71" s="7">
        <v>2</v>
      </c>
      <c r="B71" s="195">
        <v>100000</v>
      </c>
      <c r="C71" s="194">
        <v>6</v>
      </c>
      <c r="D71" s="7">
        <v>2</v>
      </c>
      <c r="E71" s="195">
        <v>1000</v>
      </c>
      <c r="F71" s="194">
        <f>5/60</f>
        <v>8.3333333333333329E-2</v>
      </c>
    </row>
    <row r="72" spans="1:27" x14ac:dyDescent="0.25">
      <c r="A72" s="7">
        <v>3</v>
      </c>
      <c r="B72" s="195">
        <v>800000</v>
      </c>
      <c r="C72" s="194">
        <v>24</v>
      </c>
      <c r="D72" s="7">
        <v>3</v>
      </c>
      <c r="E72" s="195">
        <v>4000</v>
      </c>
      <c r="F72" s="194">
        <v>3</v>
      </c>
    </row>
    <row r="73" spans="1:27" x14ac:dyDescent="0.25">
      <c r="A73" s="7">
        <v>4</v>
      </c>
      <c r="B73" s="195">
        <v>1800000</v>
      </c>
      <c r="C73" s="194">
        <v>48</v>
      </c>
      <c r="D73" s="7">
        <v>4</v>
      </c>
      <c r="E73" s="195">
        <v>25000</v>
      </c>
      <c r="F73" s="194">
        <v>24</v>
      </c>
    </row>
    <row r="74" spans="1:27" x14ac:dyDescent="0.25">
      <c r="A74" s="533">
        <v>5</v>
      </c>
      <c r="B74" s="591">
        <v>5000000</v>
      </c>
      <c r="C74" s="194">
        <v>168</v>
      </c>
      <c r="D74" s="7">
        <v>5</v>
      </c>
      <c r="E74" s="195">
        <v>150000</v>
      </c>
      <c r="F74" s="194">
        <v>48</v>
      </c>
    </row>
    <row r="75" spans="1:27" x14ac:dyDescent="0.25">
      <c r="A75" s="7">
        <v>6</v>
      </c>
      <c r="B75" s="195">
        <v>7000000</v>
      </c>
      <c r="C75" s="194">
        <v>336</v>
      </c>
      <c r="D75" s="7">
        <v>6</v>
      </c>
      <c r="E75" s="205">
        <v>750000</v>
      </c>
      <c r="F75" s="194">
        <v>96</v>
      </c>
    </row>
    <row r="76" spans="1:27" x14ac:dyDescent="0.25">
      <c r="D76" s="7">
        <v>7</v>
      </c>
      <c r="E76" s="205">
        <v>1200000</v>
      </c>
      <c r="F76" s="194">
        <v>144</v>
      </c>
    </row>
    <row r="77" spans="1:27" x14ac:dyDescent="0.25">
      <c r="D77" s="7">
        <v>8</v>
      </c>
      <c r="E77" s="205">
        <v>2000000</v>
      </c>
      <c r="F77" s="194">
        <v>192</v>
      </c>
    </row>
    <row r="78" spans="1:27" x14ac:dyDescent="0.25">
      <c r="D78" s="7">
        <v>9</v>
      </c>
      <c r="E78" s="205">
        <v>3000000</v>
      </c>
      <c r="F78" s="194">
        <v>240</v>
      </c>
    </row>
    <row r="79" spans="1:27" x14ac:dyDescent="0.25">
      <c r="D79" s="7">
        <v>10</v>
      </c>
      <c r="E79" s="206">
        <v>4000000</v>
      </c>
      <c r="F79" s="196">
        <v>336</v>
      </c>
    </row>
    <row r="81" spans="1:30" ht="12" thickBot="1" x14ac:dyDescent="0.3"/>
    <row r="82" spans="1:30" ht="30" customHeight="1" thickBot="1" x14ac:dyDescent="0.3">
      <c r="A82" s="1262" t="s">
        <v>378</v>
      </c>
      <c r="B82" s="1263"/>
      <c r="C82" s="1263"/>
      <c r="D82" s="1263"/>
      <c r="E82" s="1263"/>
      <c r="F82" s="1263"/>
      <c r="G82" s="1263"/>
      <c r="H82" s="1263"/>
      <c r="I82" s="1263"/>
      <c r="J82" s="1263"/>
      <c r="K82" s="1263"/>
      <c r="L82" s="1263"/>
      <c r="M82" s="1263"/>
      <c r="N82" s="1263"/>
      <c r="O82" s="1264"/>
    </row>
    <row r="83" spans="1:30" ht="20.100000000000001" customHeight="1" thickBot="1" x14ac:dyDescent="0.3">
      <c r="A83" s="1301" t="s">
        <v>247</v>
      </c>
      <c r="B83" s="1302"/>
      <c r="C83" s="1302"/>
      <c r="D83" s="1302"/>
      <c r="E83" s="1302"/>
      <c r="F83" s="1302"/>
      <c r="G83" s="1302"/>
      <c r="H83" s="1302"/>
      <c r="I83" s="1302"/>
      <c r="J83" s="1302"/>
      <c r="K83" s="1302"/>
      <c r="L83" s="1302"/>
      <c r="M83" s="1302"/>
      <c r="N83" s="1302"/>
      <c r="O83" s="1303"/>
    </row>
    <row r="84" spans="1:30" ht="12" customHeight="1" thickBot="1" x14ac:dyDescent="0.3">
      <c r="A84" s="1306" t="s">
        <v>190</v>
      </c>
      <c r="B84" s="1307"/>
      <c r="C84" s="1308"/>
      <c r="D84" s="1306" t="s">
        <v>191</v>
      </c>
      <c r="E84" s="1307"/>
      <c r="F84" s="1308"/>
      <c r="G84" s="1306" t="s">
        <v>192</v>
      </c>
      <c r="H84" s="1307"/>
      <c r="I84" s="1308"/>
      <c r="J84" s="1306" t="s">
        <v>193</v>
      </c>
      <c r="K84" s="1307"/>
      <c r="L84" s="1308"/>
      <c r="M84" s="1306" t="s">
        <v>194</v>
      </c>
      <c r="N84" s="1307"/>
      <c r="O84" s="1308"/>
    </row>
    <row r="85" spans="1:30" ht="12" customHeight="1" thickBot="1" x14ac:dyDescent="0.3">
      <c r="A85" s="207" t="s">
        <v>17</v>
      </c>
      <c r="B85" s="190" t="s">
        <v>258</v>
      </c>
      <c r="C85" s="208" t="s">
        <v>259</v>
      </c>
      <c r="D85" s="207" t="s">
        <v>17</v>
      </c>
      <c r="E85" s="190" t="s">
        <v>258</v>
      </c>
      <c r="F85" s="208" t="s">
        <v>259</v>
      </c>
      <c r="G85" s="207" t="s">
        <v>17</v>
      </c>
      <c r="H85" s="190" t="s">
        <v>258</v>
      </c>
      <c r="I85" s="208" t="s">
        <v>259</v>
      </c>
      <c r="J85" s="207" t="s">
        <v>17</v>
      </c>
      <c r="K85" s="190" t="s">
        <v>258</v>
      </c>
      <c r="L85" s="191" t="s">
        <v>259</v>
      </c>
      <c r="M85" s="186" t="s">
        <v>17</v>
      </c>
      <c r="N85" s="187" t="s">
        <v>258</v>
      </c>
      <c r="O85" s="188" t="s">
        <v>259</v>
      </c>
    </row>
    <row r="86" spans="1:30" x14ac:dyDescent="0.25">
      <c r="A86" s="7">
        <v>1</v>
      </c>
      <c r="B86" s="453">
        <v>0</v>
      </c>
      <c r="C86" s="192">
        <v>0</v>
      </c>
      <c r="D86" s="7">
        <v>1</v>
      </c>
      <c r="E86" s="453">
        <v>0</v>
      </c>
      <c r="F86" s="192">
        <v>0</v>
      </c>
      <c r="G86" s="7">
        <v>1</v>
      </c>
      <c r="H86" s="453">
        <v>0</v>
      </c>
      <c r="I86" s="192">
        <v>0</v>
      </c>
      <c r="J86" s="7">
        <v>1</v>
      </c>
      <c r="K86" s="453">
        <v>0</v>
      </c>
      <c r="L86" s="192">
        <v>0</v>
      </c>
      <c r="M86" s="166">
        <v>1</v>
      </c>
      <c r="N86" s="453">
        <v>0</v>
      </c>
      <c r="O86" s="302">
        <v>0</v>
      </c>
    </row>
    <row r="87" spans="1:30" x14ac:dyDescent="0.25">
      <c r="A87" s="7">
        <v>2</v>
      </c>
      <c r="B87" s="454">
        <v>200000</v>
      </c>
      <c r="C87" s="194">
        <v>24</v>
      </c>
      <c r="D87" s="7">
        <v>2</v>
      </c>
      <c r="E87" s="454">
        <v>300000</v>
      </c>
      <c r="F87" s="194">
        <v>24</v>
      </c>
      <c r="G87" s="7">
        <v>2</v>
      </c>
      <c r="H87" s="454">
        <v>450000</v>
      </c>
      <c r="I87" s="194">
        <v>48</v>
      </c>
      <c r="J87" s="201">
        <v>2</v>
      </c>
      <c r="K87" s="457">
        <v>3000000</v>
      </c>
      <c r="L87" s="196">
        <v>120</v>
      </c>
      <c r="M87" s="7">
        <v>2</v>
      </c>
      <c r="N87" s="454">
        <v>4000000</v>
      </c>
      <c r="O87" s="301">
        <v>120</v>
      </c>
    </row>
    <row r="88" spans="1:30" x14ac:dyDescent="0.25">
      <c r="A88" s="7">
        <v>3</v>
      </c>
      <c r="B88" s="454">
        <v>500000</v>
      </c>
      <c r="C88" s="194">
        <v>48</v>
      </c>
      <c r="D88" s="7">
        <v>3</v>
      </c>
      <c r="E88" s="454">
        <v>600000</v>
      </c>
      <c r="F88" s="194">
        <v>48</v>
      </c>
      <c r="G88" s="7">
        <v>3</v>
      </c>
      <c r="H88" s="454">
        <v>900000</v>
      </c>
      <c r="I88" s="194">
        <v>72</v>
      </c>
      <c r="J88" s="201">
        <v>3</v>
      </c>
      <c r="K88" s="457">
        <v>6000000</v>
      </c>
      <c r="L88" s="196">
        <v>168</v>
      </c>
      <c r="M88" s="209">
        <v>3</v>
      </c>
      <c r="N88" s="605">
        <v>5000000</v>
      </c>
      <c r="O88" s="210">
        <v>168</v>
      </c>
    </row>
    <row r="89" spans="1:30" x14ac:dyDescent="0.25">
      <c r="A89" s="209">
        <v>4</v>
      </c>
      <c r="B89" s="461">
        <v>1000000</v>
      </c>
      <c r="C89" s="210">
        <v>72</v>
      </c>
      <c r="D89" s="209">
        <v>4</v>
      </c>
      <c r="E89" s="461">
        <v>1200000</v>
      </c>
      <c r="F89" s="210">
        <v>72</v>
      </c>
      <c r="G89" s="209">
        <v>4</v>
      </c>
      <c r="H89" s="461">
        <v>1800000</v>
      </c>
      <c r="I89" s="210">
        <v>120</v>
      </c>
      <c r="M89" s="211">
        <v>4</v>
      </c>
      <c r="N89" s="461">
        <v>6500000</v>
      </c>
      <c r="O89" s="212">
        <v>240</v>
      </c>
    </row>
    <row r="90" spans="1:30" x14ac:dyDescent="0.25">
      <c r="A90" s="211">
        <v>5</v>
      </c>
      <c r="B90" s="462">
        <v>2000000</v>
      </c>
      <c r="C90" s="212">
        <v>96</v>
      </c>
      <c r="D90" s="211">
        <v>5</v>
      </c>
      <c r="E90" s="462">
        <v>2400000</v>
      </c>
      <c r="F90" s="212">
        <v>120</v>
      </c>
      <c r="G90" s="211">
        <v>5</v>
      </c>
      <c r="H90" s="462">
        <v>3000000</v>
      </c>
      <c r="I90" s="212">
        <v>168</v>
      </c>
      <c r="M90" s="211">
        <v>5</v>
      </c>
      <c r="N90" s="462">
        <v>8000000</v>
      </c>
      <c r="O90" s="212">
        <v>336</v>
      </c>
    </row>
    <row r="91" spans="1:30" x14ac:dyDescent="0.25">
      <c r="A91" s="211">
        <v>6</v>
      </c>
      <c r="B91" s="457">
        <v>8000000</v>
      </c>
      <c r="C91" s="196">
        <v>336</v>
      </c>
      <c r="D91" s="213">
        <v>6</v>
      </c>
      <c r="E91" s="457">
        <v>4800000</v>
      </c>
      <c r="F91" s="196">
        <v>168</v>
      </c>
    </row>
    <row r="93" spans="1:30" ht="12" thickBot="1" x14ac:dyDescent="0.3"/>
    <row r="94" spans="1:30" ht="30" customHeight="1" thickBot="1" x14ac:dyDescent="0.3">
      <c r="A94" s="1262" t="s">
        <v>379</v>
      </c>
      <c r="B94" s="1263"/>
      <c r="C94" s="1263"/>
      <c r="D94" s="1263"/>
      <c r="E94" s="1263"/>
      <c r="F94" s="1263"/>
      <c r="G94" s="1263"/>
      <c r="H94" s="1263"/>
      <c r="I94" s="1263"/>
      <c r="J94" s="1263"/>
      <c r="K94" s="1263"/>
      <c r="L94" s="1263"/>
      <c r="M94" s="1263"/>
      <c r="N94" s="1263"/>
      <c r="O94" s="1263"/>
      <c r="P94" s="1263"/>
      <c r="Q94" s="1263"/>
      <c r="R94" s="1263"/>
      <c r="S94" s="1263"/>
      <c r="T94" s="1263"/>
      <c r="U94" s="1263"/>
      <c r="V94" s="1263"/>
      <c r="W94" s="1263"/>
      <c r="X94" s="1263"/>
      <c r="Y94" s="1263"/>
      <c r="Z94" s="1263"/>
      <c r="AA94" s="1263"/>
      <c r="AB94" s="1263"/>
      <c r="AC94" s="1263"/>
      <c r="AD94" s="1264"/>
    </row>
    <row r="95" spans="1:30" ht="20.100000000000001" customHeight="1" thickBot="1" x14ac:dyDescent="0.3">
      <c r="A95" s="1301" t="s">
        <v>247</v>
      </c>
      <c r="B95" s="1302"/>
      <c r="C95" s="1302"/>
      <c r="D95" s="1302"/>
      <c r="E95" s="1302"/>
      <c r="F95" s="1302"/>
      <c r="G95" s="1302"/>
      <c r="H95" s="1302"/>
      <c r="I95" s="1302"/>
      <c r="J95" s="1302"/>
      <c r="K95" s="1302"/>
      <c r="L95" s="1302"/>
      <c r="M95" s="1302"/>
      <c r="N95" s="1302"/>
      <c r="O95" s="1302"/>
      <c r="P95" s="1302"/>
      <c r="Q95" s="1302"/>
      <c r="R95" s="1302"/>
      <c r="S95" s="1302"/>
      <c r="T95" s="1302"/>
      <c r="U95" s="1302"/>
      <c r="V95" s="1302"/>
      <c r="W95" s="1302"/>
      <c r="X95" s="1302"/>
      <c r="Y95" s="1302"/>
      <c r="Z95" s="1302"/>
      <c r="AA95" s="1302"/>
      <c r="AB95" s="1302"/>
      <c r="AC95" s="1302"/>
      <c r="AD95" s="1303"/>
    </row>
    <row r="96" spans="1:30" ht="12" customHeight="1" thickBot="1" x14ac:dyDescent="0.3">
      <c r="A96" s="1306" t="s">
        <v>195</v>
      </c>
      <c r="B96" s="1307"/>
      <c r="C96" s="1308"/>
      <c r="D96" s="1306" t="s">
        <v>50</v>
      </c>
      <c r="E96" s="1307"/>
      <c r="F96" s="1308"/>
      <c r="G96" s="1306" t="s">
        <v>189</v>
      </c>
      <c r="H96" s="1307"/>
      <c r="I96" s="1308"/>
      <c r="J96" s="1306" t="s">
        <v>188</v>
      </c>
      <c r="K96" s="1307"/>
      <c r="L96" s="1308"/>
      <c r="M96" s="1315" t="s">
        <v>187</v>
      </c>
      <c r="N96" s="1316"/>
      <c r="O96" s="1317"/>
      <c r="P96" s="1315" t="s">
        <v>186</v>
      </c>
      <c r="Q96" s="1316"/>
      <c r="R96" s="1317"/>
      <c r="S96" s="1306" t="s">
        <v>185</v>
      </c>
      <c r="T96" s="1307"/>
      <c r="U96" s="1308"/>
      <c r="V96" s="1306" t="s">
        <v>184</v>
      </c>
      <c r="W96" s="1307"/>
      <c r="X96" s="1308"/>
      <c r="Y96" s="1306" t="s">
        <v>57</v>
      </c>
      <c r="Z96" s="1307"/>
      <c r="AA96" s="1308"/>
      <c r="AB96" s="1306" t="s">
        <v>58</v>
      </c>
      <c r="AC96" s="1307"/>
      <c r="AD96" s="1308"/>
    </row>
    <row r="97" spans="1:30" ht="12" customHeight="1" thickBot="1" x14ac:dyDescent="0.3">
      <c r="A97" s="186" t="s">
        <v>17</v>
      </c>
      <c r="B97" s="187" t="s">
        <v>258</v>
      </c>
      <c r="C97" s="188" t="s">
        <v>259</v>
      </c>
      <c r="D97" s="186" t="s">
        <v>17</v>
      </c>
      <c r="E97" s="187" t="s">
        <v>258</v>
      </c>
      <c r="F97" s="188" t="s">
        <v>259</v>
      </c>
      <c r="G97" s="186" t="s">
        <v>17</v>
      </c>
      <c r="H97" s="187" t="s">
        <v>258</v>
      </c>
      <c r="I97" s="188" t="s">
        <v>259</v>
      </c>
      <c r="J97" s="189" t="s">
        <v>17</v>
      </c>
      <c r="K97" s="190" t="s">
        <v>258</v>
      </c>
      <c r="L97" s="191" t="s">
        <v>259</v>
      </c>
      <c r="M97" s="186" t="s">
        <v>17</v>
      </c>
      <c r="N97" s="190" t="s">
        <v>258</v>
      </c>
      <c r="O97" s="191" t="s">
        <v>259</v>
      </c>
      <c r="P97" s="189" t="s">
        <v>17</v>
      </c>
      <c r="Q97" s="190" t="s">
        <v>258</v>
      </c>
      <c r="R97" s="191" t="s">
        <v>259</v>
      </c>
      <c r="S97" s="186" t="s">
        <v>17</v>
      </c>
      <c r="T97" s="187" t="s">
        <v>258</v>
      </c>
      <c r="U97" s="188" t="s">
        <v>259</v>
      </c>
      <c r="V97" s="186" t="s">
        <v>17</v>
      </c>
      <c r="W97" s="187" t="s">
        <v>258</v>
      </c>
      <c r="X97" s="188" t="s">
        <v>259</v>
      </c>
      <c r="Y97" s="186" t="s">
        <v>17</v>
      </c>
      <c r="Z97" s="187" t="s">
        <v>258</v>
      </c>
      <c r="AA97" s="188" t="s">
        <v>259</v>
      </c>
      <c r="AB97" s="186" t="s">
        <v>17</v>
      </c>
      <c r="AC97" s="187" t="s">
        <v>258</v>
      </c>
      <c r="AD97" s="188" t="s">
        <v>259</v>
      </c>
    </row>
    <row r="98" spans="1:30" x14ac:dyDescent="0.25">
      <c r="A98" s="7">
        <v>1</v>
      </c>
      <c r="B98" s="453">
        <v>0</v>
      </c>
      <c r="C98" s="192">
        <v>0</v>
      </c>
      <c r="D98" s="7">
        <v>1</v>
      </c>
      <c r="E98" s="453">
        <v>0</v>
      </c>
      <c r="F98" s="192">
        <v>0</v>
      </c>
      <c r="G98" s="7">
        <v>1</v>
      </c>
      <c r="H98" s="453">
        <v>0</v>
      </c>
      <c r="I98" s="192">
        <v>0</v>
      </c>
      <c r="J98" s="7">
        <v>1</v>
      </c>
      <c r="K98" s="453">
        <v>0</v>
      </c>
      <c r="L98" s="192">
        <v>0</v>
      </c>
      <c r="M98" s="7">
        <v>1</v>
      </c>
      <c r="N98" s="453">
        <v>0</v>
      </c>
      <c r="O98" s="192">
        <v>0</v>
      </c>
      <c r="P98" s="7">
        <v>1</v>
      </c>
      <c r="Q98" s="453">
        <v>0</v>
      </c>
      <c r="R98" s="192">
        <v>0</v>
      </c>
      <c r="S98" s="7">
        <v>1</v>
      </c>
      <c r="T98" s="453">
        <v>0</v>
      </c>
      <c r="U98" s="192">
        <v>0</v>
      </c>
      <c r="V98" s="7">
        <v>1</v>
      </c>
      <c r="W98" s="453">
        <v>0</v>
      </c>
      <c r="X98" s="192">
        <v>0</v>
      </c>
      <c r="Y98" s="7">
        <v>1</v>
      </c>
      <c r="Z98" s="453">
        <v>0</v>
      </c>
      <c r="AA98" s="192">
        <v>0</v>
      </c>
      <c r="AB98" s="7">
        <v>1</v>
      </c>
      <c r="AC98" s="453">
        <v>0</v>
      </c>
      <c r="AD98" s="192">
        <v>0</v>
      </c>
    </row>
    <row r="99" spans="1:30" x14ac:dyDescent="0.25">
      <c r="A99" s="7">
        <v>2</v>
      </c>
      <c r="B99" s="454">
        <v>50000</v>
      </c>
      <c r="C99" s="194">
        <v>6</v>
      </c>
      <c r="D99" s="7">
        <v>2</v>
      </c>
      <c r="E99" s="454">
        <v>50000</v>
      </c>
      <c r="F99" s="194">
        <v>12</v>
      </c>
      <c r="G99" s="7">
        <v>2</v>
      </c>
      <c r="H99" s="454">
        <v>50000</v>
      </c>
      <c r="I99" s="194">
        <v>12</v>
      </c>
      <c r="J99" s="7">
        <v>2</v>
      </c>
      <c r="K99" s="454">
        <v>100000</v>
      </c>
      <c r="L99" s="194">
        <v>24</v>
      </c>
      <c r="M99" s="7">
        <v>2</v>
      </c>
      <c r="N99" s="454">
        <v>100000</v>
      </c>
      <c r="O99" s="194">
        <v>24</v>
      </c>
      <c r="P99" s="7">
        <v>2</v>
      </c>
      <c r="Q99" s="454">
        <v>150000</v>
      </c>
      <c r="R99" s="194">
        <v>24</v>
      </c>
      <c r="S99" s="7">
        <v>2</v>
      </c>
      <c r="T99" s="454">
        <v>150000</v>
      </c>
      <c r="U99" s="194">
        <v>24</v>
      </c>
      <c r="V99" s="7">
        <v>2</v>
      </c>
      <c r="W99" s="454">
        <v>750000</v>
      </c>
      <c r="X99" s="194">
        <v>72</v>
      </c>
      <c r="Y99" s="7">
        <v>2</v>
      </c>
      <c r="Z99" s="454">
        <v>2000000</v>
      </c>
      <c r="AA99" s="194">
        <v>168</v>
      </c>
      <c r="AB99" s="7">
        <v>2</v>
      </c>
      <c r="AC99" s="454">
        <v>3000000</v>
      </c>
      <c r="AD99" s="194">
        <v>240</v>
      </c>
    </row>
    <row r="100" spans="1:30" x14ac:dyDescent="0.25">
      <c r="A100" s="7">
        <v>3</v>
      </c>
      <c r="B100" s="454">
        <v>150000</v>
      </c>
      <c r="C100" s="194">
        <v>24</v>
      </c>
      <c r="D100" s="7">
        <v>3</v>
      </c>
      <c r="E100" s="454">
        <v>250000</v>
      </c>
      <c r="F100" s="194">
        <v>48</v>
      </c>
      <c r="G100" s="7">
        <v>3</v>
      </c>
      <c r="H100" s="454">
        <v>250000</v>
      </c>
      <c r="I100" s="194">
        <v>48</v>
      </c>
      <c r="J100" s="7">
        <v>3</v>
      </c>
      <c r="K100" s="454">
        <v>250000</v>
      </c>
      <c r="L100" s="194">
        <v>48</v>
      </c>
      <c r="M100" s="7">
        <v>3</v>
      </c>
      <c r="N100" s="454">
        <v>250000</v>
      </c>
      <c r="O100" s="194">
        <v>48</v>
      </c>
      <c r="P100" s="7">
        <v>3</v>
      </c>
      <c r="Q100" s="454">
        <v>450000</v>
      </c>
      <c r="R100" s="194">
        <v>48</v>
      </c>
      <c r="S100" s="7">
        <v>3</v>
      </c>
      <c r="T100" s="454">
        <v>450000</v>
      </c>
      <c r="U100" s="194">
        <v>48</v>
      </c>
      <c r="V100" s="7">
        <v>3</v>
      </c>
      <c r="W100" s="454">
        <v>1500000</v>
      </c>
      <c r="X100" s="194">
        <v>120</v>
      </c>
      <c r="Y100" s="7">
        <v>3</v>
      </c>
      <c r="Z100" s="454">
        <v>3000000</v>
      </c>
      <c r="AA100" s="194">
        <v>240</v>
      </c>
      <c r="AB100" s="7">
        <v>3</v>
      </c>
      <c r="AC100" s="454">
        <v>6000000</v>
      </c>
      <c r="AD100" s="194">
        <v>288</v>
      </c>
    </row>
    <row r="101" spans="1:30" x14ac:dyDescent="0.25">
      <c r="A101" s="7">
        <v>4</v>
      </c>
      <c r="B101" s="454">
        <v>500000</v>
      </c>
      <c r="C101" s="194">
        <v>72</v>
      </c>
      <c r="D101" s="7">
        <v>4</v>
      </c>
      <c r="E101" s="454">
        <v>750000</v>
      </c>
      <c r="F101" s="194">
        <v>72</v>
      </c>
      <c r="G101" s="7">
        <v>4</v>
      </c>
      <c r="H101" s="454">
        <v>750000</v>
      </c>
      <c r="I101" s="194">
        <v>72</v>
      </c>
      <c r="J101" s="7">
        <v>4</v>
      </c>
      <c r="K101" s="454">
        <v>750000</v>
      </c>
      <c r="L101" s="194">
        <v>72</v>
      </c>
      <c r="M101" s="7">
        <v>4</v>
      </c>
      <c r="N101" s="454">
        <v>750000</v>
      </c>
      <c r="O101" s="194">
        <v>72</v>
      </c>
      <c r="P101" s="7">
        <v>4</v>
      </c>
      <c r="Q101" s="454">
        <v>1350000</v>
      </c>
      <c r="R101" s="194">
        <v>72</v>
      </c>
      <c r="S101" s="7">
        <v>4</v>
      </c>
      <c r="T101" s="454">
        <v>1350000</v>
      </c>
      <c r="U101" s="194">
        <v>72</v>
      </c>
      <c r="V101" s="7">
        <v>4</v>
      </c>
      <c r="W101" s="454">
        <v>3000000</v>
      </c>
      <c r="X101" s="194">
        <v>168</v>
      </c>
      <c r="Y101" s="7">
        <v>4</v>
      </c>
      <c r="Z101" s="454">
        <v>7000000</v>
      </c>
      <c r="AA101" s="194">
        <v>336</v>
      </c>
      <c r="AB101" s="201">
        <v>4</v>
      </c>
      <c r="AC101" s="457">
        <v>7000000</v>
      </c>
      <c r="AD101" s="196">
        <v>336</v>
      </c>
    </row>
    <row r="102" spans="1:30" x14ac:dyDescent="0.25">
      <c r="A102" s="7">
        <v>5</v>
      </c>
      <c r="B102" s="454">
        <v>1500000</v>
      </c>
      <c r="C102" s="194">
        <v>120</v>
      </c>
      <c r="D102" s="7">
        <v>5</v>
      </c>
      <c r="E102" s="454">
        <v>2250000</v>
      </c>
      <c r="F102" s="194">
        <v>120</v>
      </c>
      <c r="G102" s="7">
        <v>5</v>
      </c>
      <c r="H102" s="454">
        <v>2250000</v>
      </c>
      <c r="I102" s="194">
        <v>120</v>
      </c>
      <c r="J102" s="7">
        <v>5</v>
      </c>
      <c r="K102" s="454">
        <v>2250000</v>
      </c>
      <c r="L102" s="194">
        <v>120</v>
      </c>
      <c r="M102" s="7">
        <v>5</v>
      </c>
      <c r="N102" s="454">
        <v>2250000</v>
      </c>
      <c r="O102" s="194">
        <v>120</v>
      </c>
      <c r="P102" s="7">
        <v>5</v>
      </c>
      <c r="Q102" s="454">
        <v>2500000</v>
      </c>
      <c r="R102" s="194">
        <v>120</v>
      </c>
      <c r="S102" s="7">
        <v>5</v>
      </c>
      <c r="T102" s="454">
        <v>2500000</v>
      </c>
      <c r="U102" s="194">
        <v>120</v>
      </c>
      <c r="Y102" s="533">
        <v>5</v>
      </c>
      <c r="Z102" s="454">
        <v>8000000</v>
      </c>
      <c r="AA102" s="194">
        <v>336</v>
      </c>
      <c r="AB102" s="201">
        <v>5</v>
      </c>
      <c r="AC102" s="457">
        <v>8000000</v>
      </c>
      <c r="AD102" s="196">
        <v>336</v>
      </c>
    </row>
    <row r="103" spans="1:30" x14ac:dyDescent="0.25">
      <c r="A103" s="201">
        <v>6</v>
      </c>
      <c r="B103" s="460">
        <v>4500000</v>
      </c>
      <c r="C103" s="196">
        <v>240</v>
      </c>
      <c r="D103" s="213">
        <v>6</v>
      </c>
      <c r="E103" s="457">
        <v>6000000</v>
      </c>
      <c r="F103" s="196">
        <v>240</v>
      </c>
      <c r="G103" s="213">
        <v>6</v>
      </c>
      <c r="H103" s="457">
        <v>4500000</v>
      </c>
      <c r="I103" s="196">
        <v>240</v>
      </c>
      <c r="J103" s="7">
        <v>6</v>
      </c>
      <c r="K103" s="454">
        <v>6000000</v>
      </c>
      <c r="L103" s="200">
        <v>240</v>
      </c>
      <c r="M103" s="19">
        <v>6</v>
      </c>
      <c r="N103" s="457">
        <v>6750000</v>
      </c>
      <c r="O103" s="196">
        <v>240</v>
      </c>
      <c r="P103" s="7">
        <v>6</v>
      </c>
      <c r="Q103" s="454">
        <v>6000000</v>
      </c>
      <c r="R103" s="194">
        <v>240</v>
      </c>
      <c r="S103" s="7">
        <v>6</v>
      </c>
      <c r="T103" s="454">
        <v>7500000</v>
      </c>
      <c r="U103" s="194">
        <v>336</v>
      </c>
    </row>
    <row r="104" spans="1:30" ht="12" thickBot="1" x14ac:dyDescent="0.3">
      <c r="A104" s="201">
        <v>7</v>
      </c>
      <c r="B104" s="460">
        <v>6000000</v>
      </c>
      <c r="C104" s="196">
        <v>336</v>
      </c>
      <c r="D104" s="8">
        <v>7</v>
      </c>
      <c r="E104" s="457">
        <v>7500000</v>
      </c>
      <c r="F104" s="196">
        <v>336</v>
      </c>
      <c r="J104" s="8">
        <v>7</v>
      </c>
      <c r="K104" s="766">
        <v>7000000</v>
      </c>
      <c r="L104" s="539">
        <v>336</v>
      </c>
    </row>
    <row r="106" spans="1:30" ht="12" thickBot="1" x14ac:dyDescent="0.3"/>
    <row r="107" spans="1:30" ht="30" customHeight="1" thickBot="1" x14ac:dyDescent="0.3">
      <c r="A107" s="1262" t="s">
        <v>715</v>
      </c>
      <c r="B107" s="1263"/>
      <c r="C107" s="1263"/>
      <c r="D107" s="1263"/>
      <c r="E107" s="1263"/>
      <c r="F107" s="1263"/>
      <c r="G107" s="1263"/>
      <c r="H107" s="1263"/>
      <c r="I107" s="1264"/>
    </row>
    <row r="108" spans="1:30" ht="20.100000000000001" customHeight="1" thickBot="1" x14ac:dyDescent="0.3">
      <c r="A108" s="1318" t="s">
        <v>248</v>
      </c>
      <c r="B108" s="1319"/>
      <c r="C108" s="1319"/>
      <c r="D108" s="1319"/>
      <c r="E108" s="1319"/>
      <c r="F108" s="1319"/>
      <c r="G108" s="1319"/>
      <c r="H108" s="1319"/>
      <c r="I108" s="1320"/>
    </row>
    <row r="109" spans="1:30" ht="12" customHeight="1" thickBot="1" x14ac:dyDescent="0.3">
      <c r="A109" s="1306" t="s">
        <v>712</v>
      </c>
      <c r="B109" s="1307"/>
      <c r="C109" s="1308"/>
      <c r="D109" s="1306" t="s">
        <v>191</v>
      </c>
      <c r="E109" s="1307"/>
      <c r="F109" s="1308"/>
      <c r="G109" s="1306" t="s">
        <v>192</v>
      </c>
      <c r="H109" s="1307"/>
      <c r="I109" s="1308"/>
    </row>
    <row r="110" spans="1:30" ht="12" customHeight="1" thickBot="1" x14ac:dyDescent="0.3">
      <c r="A110" s="207" t="s">
        <v>17</v>
      </c>
      <c r="B110" s="190" t="s">
        <v>258</v>
      </c>
      <c r="C110" s="208" t="s">
        <v>259</v>
      </c>
      <c r="D110" s="207" t="s">
        <v>17</v>
      </c>
      <c r="E110" s="190" t="s">
        <v>258</v>
      </c>
      <c r="F110" s="208" t="s">
        <v>259</v>
      </c>
      <c r="G110" s="207" t="s">
        <v>17</v>
      </c>
      <c r="H110" s="190" t="s">
        <v>258</v>
      </c>
      <c r="I110" s="208" t="s">
        <v>259</v>
      </c>
    </row>
    <row r="111" spans="1:30" x14ac:dyDescent="0.25">
      <c r="A111" s="7">
        <v>1</v>
      </c>
      <c r="B111" s="197">
        <v>0</v>
      </c>
      <c r="C111" s="192">
        <v>0</v>
      </c>
      <c r="D111" s="7">
        <v>1</v>
      </c>
      <c r="E111" s="197">
        <v>0</v>
      </c>
      <c r="F111" s="192">
        <v>0</v>
      </c>
      <c r="G111" s="7">
        <v>1</v>
      </c>
      <c r="H111" s="197">
        <v>0</v>
      </c>
      <c r="I111" s="192">
        <v>0</v>
      </c>
    </row>
    <row r="112" spans="1:30" x14ac:dyDescent="0.25">
      <c r="A112" s="7">
        <v>2</v>
      </c>
      <c r="B112" s="955">
        <v>25000</v>
      </c>
      <c r="C112" s="194">
        <v>96</v>
      </c>
      <c r="D112" s="7">
        <v>2</v>
      </c>
      <c r="E112" s="955">
        <v>30000</v>
      </c>
      <c r="F112" s="194">
        <v>144</v>
      </c>
      <c r="G112" s="7">
        <v>2</v>
      </c>
      <c r="H112" s="955">
        <v>40000</v>
      </c>
      <c r="I112" s="194">
        <v>144</v>
      </c>
    </row>
    <row r="113" spans="1:18" x14ac:dyDescent="0.25">
      <c r="A113" s="7">
        <v>3</v>
      </c>
      <c r="B113" s="955">
        <v>50000</v>
      </c>
      <c r="C113" s="194">
        <v>144</v>
      </c>
      <c r="D113" s="7">
        <v>3</v>
      </c>
      <c r="E113" s="955">
        <v>60000</v>
      </c>
      <c r="F113" s="194">
        <v>192</v>
      </c>
      <c r="G113" s="7">
        <v>3</v>
      </c>
      <c r="H113" s="955">
        <v>80000</v>
      </c>
      <c r="I113" s="194">
        <v>192</v>
      </c>
    </row>
    <row r="114" spans="1:18" x14ac:dyDescent="0.25">
      <c r="A114" s="209">
        <v>4</v>
      </c>
      <c r="B114" s="955">
        <v>75000</v>
      </c>
      <c r="C114" s="210">
        <v>240</v>
      </c>
      <c r="D114" s="209">
        <v>4</v>
      </c>
      <c r="E114" s="955">
        <v>90000</v>
      </c>
      <c r="F114" s="210">
        <v>288</v>
      </c>
      <c r="G114" s="209">
        <v>4</v>
      </c>
      <c r="H114" s="955">
        <v>120000</v>
      </c>
      <c r="I114" s="210">
        <v>240</v>
      </c>
    </row>
    <row r="116" spans="1:18" ht="12" thickBot="1" x14ac:dyDescent="0.3"/>
    <row r="117" spans="1:18" ht="30" customHeight="1" thickBot="1" x14ac:dyDescent="0.3">
      <c r="A117" s="1262" t="s">
        <v>380</v>
      </c>
      <c r="B117" s="1263"/>
      <c r="C117" s="1263"/>
      <c r="D117" s="1263"/>
      <c r="E117" s="1263"/>
      <c r="F117" s="1263"/>
      <c r="G117" s="1263"/>
      <c r="H117" s="1263"/>
      <c r="I117" s="1263"/>
      <c r="J117" s="1263"/>
      <c r="K117" s="1263"/>
      <c r="L117" s="1263"/>
      <c r="M117" s="1263"/>
      <c r="N117" s="1263"/>
      <c r="O117" s="1263"/>
      <c r="P117" s="1263"/>
      <c r="Q117" s="1263"/>
      <c r="R117" s="1264"/>
    </row>
    <row r="118" spans="1:18" ht="20.100000000000001" customHeight="1" thickBot="1" x14ac:dyDescent="0.3">
      <c r="A118" s="1318" t="s">
        <v>248</v>
      </c>
      <c r="B118" s="1319"/>
      <c r="C118" s="1319"/>
      <c r="D118" s="1319"/>
      <c r="E118" s="1319"/>
      <c r="F118" s="1319"/>
      <c r="G118" s="1319"/>
      <c r="H118" s="1319"/>
      <c r="I118" s="1319"/>
      <c r="J118" s="1319"/>
      <c r="K118" s="1319"/>
      <c r="L118" s="1319"/>
      <c r="M118" s="1319"/>
      <c r="N118" s="1319"/>
      <c r="O118" s="1319"/>
      <c r="P118" s="1319"/>
      <c r="Q118" s="1319"/>
      <c r="R118" s="1320"/>
    </row>
    <row r="119" spans="1:18" ht="12" customHeight="1" thickBot="1" x14ac:dyDescent="0.3">
      <c r="A119" s="1321" t="s">
        <v>183</v>
      </c>
      <c r="B119" s="1322"/>
      <c r="C119" s="1323"/>
      <c r="D119" s="1321" t="s">
        <v>245</v>
      </c>
      <c r="E119" s="1322"/>
      <c r="F119" s="1323"/>
      <c r="G119" s="1321" t="s">
        <v>66</v>
      </c>
      <c r="H119" s="1322"/>
      <c r="I119" s="1323"/>
      <c r="J119" s="1321" t="s">
        <v>67</v>
      </c>
      <c r="K119" s="1322"/>
      <c r="L119" s="1323"/>
      <c r="M119" s="1321" t="s">
        <v>539</v>
      </c>
      <c r="N119" s="1322"/>
      <c r="O119" s="1323"/>
      <c r="P119" s="1324" t="s">
        <v>576</v>
      </c>
      <c r="Q119" s="1325"/>
      <c r="R119" s="1326"/>
    </row>
    <row r="120" spans="1:18" ht="12" customHeight="1" thickBot="1" x14ac:dyDescent="0.3">
      <c r="A120" s="186" t="s">
        <v>17</v>
      </c>
      <c r="B120" s="187" t="s">
        <v>258</v>
      </c>
      <c r="C120" s="188" t="s">
        <v>259</v>
      </c>
      <c r="D120" s="186" t="s">
        <v>17</v>
      </c>
      <c r="E120" s="187" t="s">
        <v>258</v>
      </c>
      <c r="F120" s="188" t="s">
        <v>259</v>
      </c>
      <c r="G120" s="186" t="s">
        <v>17</v>
      </c>
      <c r="H120" s="187" t="s">
        <v>258</v>
      </c>
      <c r="I120" s="188" t="s">
        <v>259</v>
      </c>
      <c r="J120" s="189" t="s">
        <v>17</v>
      </c>
      <c r="K120" s="190" t="s">
        <v>258</v>
      </c>
      <c r="L120" s="191" t="s">
        <v>259</v>
      </c>
      <c r="M120" s="189" t="s">
        <v>17</v>
      </c>
      <c r="N120" s="190" t="s">
        <v>258</v>
      </c>
      <c r="O120" s="191" t="s">
        <v>259</v>
      </c>
      <c r="P120" s="189" t="s">
        <v>17</v>
      </c>
      <c r="Q120" s="190" t="s">
        <v>258</v>
      </c>
      <c r="R120" s="191" t="s">
        <v>259</v>
      </c>
    </row>
    <row r="121" spans="1:18" x14ac:dyDescent="0.25">
      <c r="A121" s="7">
        <v>1</v>
      </c>
      <c r="B121" s="197">
        <v>0</v>
      </c>
      <c r="C121" s="192">
        <v>0</v>
      </c>
      <c r="D121" s="7">
        <v>1</v>
      </c>
      <c r="E121" s="197">
        <v>0</v>
      </c>
      <c r="F121" s="192">
        <v>0</v>
      </c>
      <c r="G121" s="7">
        <v>1</v>
      </c>
      <c r="H121" s="197">
        <v>0</v>
      </c>
      <c r="I121" s="192">
        <v>0</v>
      </c>
      <c r="J121" s="7">
        <v>1</v>
      </c>
      <c r="K121" s="197">
        <v>0</v>
      </c>
      <c r="L121" s="192">
        <v>0</v>
      </c>
      <c r="M121" s="13">
        <v>1</v>
      </c>
      <c r="N121" s="197">
        <v>0</v>
      </c>
      <c r="O121" s="192">
        <v>0</v>
      </c>
      <c r="P121" s="52">
        <v>1</v>
      </c>
      <c r="Q121" s="612">
        <v>0</v>
      </c>
      <c r="R121" s="199">
        <v>0</v>
      </c>
    </row>
    <row r="122" spans="1:18" x14ac:dyDescent="0.25">
      <c r="A122" s="7">
        <v>2</v>
      </c>
      <c r="B122" s="593">
        <v>10000</v>
      </c>
      <c r="C122" s="194">
        <v>120</v>
      </c>
      <c r="D122" s="7">
        <v>2</v>
      </c>
      <c r="E122" s="198">
        <v>20000</v>
      </c>
      <c r="F122" s="194">
        <v>192</v>
      </c>
      <c r="G122" s="7">
        <v>2</v>
      </c>
      <c r="H122" s="198">
        <v>50000</v>
      </c>
      <c r="I122" s="194">
        <v>240</v>
      </c>
      <c r="J122" s="7">
        <v>2</v>
      </c>
      <c r="K122" s="198">
        <v>60000</v>
      </c>
      <c r="L122" s="194">
        <v>240</v>
      </c>
      <c r="M122" s="13">
        <v>2</v>
      </c>
      <c r="N122" s="525">
        <v>75000</v>
      </c>
      <c r="O122" s="194">
        <v>240</v>
      </c>
      <c r="P122" s="7">
        <v>2</v>
      </c>
      <c r="Q122" s="613">
        <v>60000</v>
      </c>
      <c r="R122" s="200">
        <v>240</v>
      </c>
    </row>
    <row r="123" spans="1:18" x14ac:dyDescent="0.25">
      <c r="A123" s="7">
        <v>3</v>
      </c>
      <c r="B123" s="593">
        <v>20000</v>
      </c>
      <c r="C123" s="194">
        <v>144</v>
      </c>
      <c r="D123" s="7">
        <v>3</v>
      </c>
      <c r="E123" s="198">
        <v>30000</v>
      </c>
      <c r="F123" s="194">
        <v>240</v>
      </c>
      <c r="G123" s="7">
        <v>3</v>
      </c>
      <c r="H123" s="198">
        <v>60000</v>
      </c>
      <c r="I123" s="194">
        <v>288</v>
      </c>
      <c r="J123" s="7">
        <v>3</v>
      </c>
      <c r="K123" s="198">
        <v>70000</v>
      </c>
      <c r="L123" s="194">
        <v>288</v>
      </c>
      <c r="P123" s="213">
        <v>3</v>
      </c>
      <c r="Q123" s="590">
        <v>70000</v>
      </c>
      <c r="R123" s="589">
        <v>288</v>
      </c>
    </row>
    <row r="124" spans="1:18" x14ac:dyDescent="0.25">
      <c r="A124" s="7">
        <v>4</v>
      </c>
      <c r="B124" s="593">
        <v>30000</v>
      </c>
      <c r="C124" s="194">
        <v>168</v>
      </c>
      <c r="D124" s="7">
        <v>4</v>
      </c>
      <c r="E124" s="198">
        <v>40000</v>
      </c>
      <c r="F124" s="194">
        <v>288</v>
      </c>
      <c r="G124" s="7">
        <v>4</v>
      </c>
      <c r="H124" s="198">
        <v>70000</v>
      </c>
      <c r="I124" s="194">
        <v>336</v>
      </c>
      <c r="J124" s="7">
        <v>4</v>
      </c>
      <c r="K124" s="198">
        <v>80000</v>
      </c>
      <c r="L124" s="194">
        <v>336</v>
      </c>
    </row>
    <row r="125" spans="1:18" x14ac:dyDescent="0.25">
      <c r="A125" s="7">
        <v>5</v>
      </c>
      <c r="B125" s="593">
        <v>40000</v>
      </c>
      <c r="C125" s="194">
        <v>240</v>
      </c>
      <c r="D125" s="7">
        <v>5</v>
      </c>
      <c r="E125" s="198">
        <v>50000</v>
      </c>
      <c r="F125" s="194">
        <v>336</v>
      </c>
      <c r="J125" s="7">
        <v>5</v>
      </c>
      <c r="K125" s="198">
        <v>90000</v>
      </c>
      <c r="L125" s="194">
        <v>336</v>
      </c>
    </row>
    <row r="126" spans="1:18" x14ac:dyDescent="0.25">
      <c r="A126" s="213">
        <v>6</v>
      </c>
      <c r="B126" s="590">
        <v>100000</v>
      </c>
      <c r="C126" s="196">
        <v>336</v>
      </c>
    </row>
    <row r="128" spans="1:18" ht="12" thickBot="1" x14ac:dyDescent="0.3"/>
    <row r="129" spans="1:8" ht="30" customHeight="1" thickBot="1" x14ac:dyDescent="0.3">
      <c r="A129" s="1262" t="s">
        <v>381</v>
      </c>
      <c r="B129" s="1263"/>
      <c r="C129" s="1263"/>
      <c r="D129" s="1263"/>
      <c r="E129" s="1263"/>
      <c r="F129" s="1264"/>
    </row>
    <row r="130" spans="1:8" ht="20.100000000000001" customHeight="1" thickBot="1" x14ac:dyDescent="0.3">
      <c r="A130" s="1318" t="s">
        <v>248</v>
      </c>
      <c r="B130" s="1319"/>
      <c r="C130" s="1319"/>
      <c r="D130" s="1319"/>
      <c r="E130" s="1319"/>
      <c r="F130" s="1320"/>
    </row>
    <row r="131" spans="1:8" ht="12" customHeight="1" thickBot="1" x14ac:dyDescent="0.3">
      <c r="A131" s="1306" t="s">
        <v>196</v>
      </c>
      <c r="B131" s="1307"/>
      <c r="C131" s="1308"/>
      <c r="D131" s="1306" t="s">
        <v>182</v>
      </c>
      <c r="E131" s="1307"/>
      <c r="F131" s="1308"/>
    </row>
    <row r="132" spans="1:8" ht="12" customHeight="1" thickBot="1" x14ac:dyDescent="0.3">
      <c r="A132" s="186" t="s">
        <v>17</v>
      </c>
      <c r="B132" s="187" t="s">
        <v>258</v>
      </c>
      <c r="C132" s="188" t="s">
        <v>259</v>
      </c>
      <c r="D132" s="186" t="s">
        <v>17</v>
      </c>
      <c r="E132" s="187" t="s">
        <v>258</v>
      </c>
      <c r="F132" s="188" t="s">
        <v>259</v>
      </c>
    </row>
    <row r="133" spans="1:8" ht="15" x14ac:dyDescent="0.25">
      <c r="A133" s="7">
        <v>1</v>
      </c>
      <c r="B133" s="197">
        <v>10000</v>
      </c>
      <c r="C133" s="192">
        <v>0</v>
      </c>
      <c r="D133" s="7">
        <v>1</v>
      </c>
      <c r="E133" s="197">
        <v>40000</v>
      </c>
      <c r="F133" s="192">
        <v>0</v>
      </c>
      <c r="H133" s="214"/>
    </row>
    <row r="134" spans="1:8" ht="15" x14ac:dyDescent="0.25">
      <c r="A134" s="7">
        <v>2</v>
      </c>
      <c r="B134" s="593">
        <v>12500</v>
      </c>
      <c r="C134" s="194">
        <v>12</v>
      </c>
      <c r="D134" s="7">
        <v>2</v>
      </c>
      <c r="E134" s="198">
        <v>22500</v>
      </c>
      <c r="F134" s="194">
        <v>12</v>
      </c>
      <c r="H134" s="214"/>
    </row>
    <row r="135" spans="1:8" ht="15" x14ac:dyDescent="0.25">
      <c r="A135" s="7">
        <v>3</v>
      </c>
      <c r="B135" s="593">
        <v>15000</v>
      </c>
      <c r="C135" s="194">
        <v>24</v>
      </c>
      <c r="D135" s="7">
        <v>3</v>
      </c>
      <c r="E135" s="198">
        <v>25000</v>
      </c>
      <c r="F135" s="194">
        <v>24</v>
      </c>
      <c r="H135" s="214"/>
    </row>
    <row r="136" spans="1:8" ht="15" x14ac:dyDescent="0.25">
      <c r="A136" s="7">
        <v>4</v>
      </c>
      <c r="B136" s="593">
        <v>17500</v>
      </c>
      <c r="C136" s="194">
        <v>36</v>
      </c>
      <c r="D136" s="7">
        <v>4</v>
      </c>
      <c r="E136" s="198">
        <v>27500</v>
      </c>
      <c r="F136" s="194">
        <v>36</v>
      </c>
      <c r="H136" s="214"/>
    </row>
    <row r="137" spans="1:8" ht="15" x14ac:dyDescent="0.25">
      <c r="A137" s="7">
        <v>5</v>
      </c>
      <c r="B137" s="593">
        <v>20000</v>
      </c>
      <c r="C137" s="194">
        <v>48</v>
      </c>
      <c r="D137" s="7">
        <v>5</v>
      </c>
      <c r="E137" s="198">
        <v>30000</v>
      </c>
      <c r="F137" s="194">
        <v>48</v>
      </c>
      <c r="H137" s="214"/>
    </row>
    <row r="138" spans="1:8" ht="15" x14ac:dyDescent="0.25">
      <c r="A138" s="7">
        <v>6</v>
      </c>
      <c r="B138" s="593">
        <v>22500</v>
      </c>
      <c r="C138" s="194">
        <v>60</v>
      </c>
      <c r="D138" s="7">
        <v>6</v>
      </c>
      <c r="E138" s="198">
        <v>32500</v>
      </c>
      <c r="F138" s="194">
        <v>60</v>
      </c>
      <c r="H138" s="214"/>
    </row>
    <row r="139" spans="1:8" ht="15" x14ac:dyDescent="0.25">
      <c r="A139" s="7">
        <v>7</v>
      </c>
      <c r="B139" s="593">
        <v>25000</v>
      </c>
      <c r="C139" s="194">
        <v>72</v>
      </c>
      <c r="D139" s="7">
        <v>7</v>
      </c>
      <c r="E139" s="198">
        <v>35000</v>
      </c>
      <c r="F139" s="194">
        <v>72</v>
      </c>
      <c r="H139" s="214"/>
    </row>
    <row r="140" spans="1:8" ht="15" x14ac:dyDescent="0.25">
      <c r="A140" s="7">
        <v>8</v>
      </c>
      <c r="B140" s="593">
        <v>30000</v>
      </c>
      <c r="C140" s="194">
        <v>84</v>
      </c>
      <c r="D140" s="7">
        <v>8</v>
      </c>
      <c r="E140" s="198">
        <v>40000</v>
      </c>
      <c r="F140" s="194">
        <v>84</v>
      </c>
      <c r="H140" s="214"/>
    </row>
    <row r="141" spans="1:8" ht="15" x14ac:dyDescent="0.25">
      <c r="A141" s="7">
        <v>9</v>
      </c>
      <c r="B141" s="593">
        <v>35000</v>
      </c>
      <c r="C141" s="194">
        <v>96</v>
      </c>
      <c r="D141" s="7">
        <v>9</v>
      </c>
      <c r="E141" s="198">
        <v>45000</v>
      </c>
      <c r="F141" s="194">
        <v>96</v>
      </c>
      <c r="H141" s="214"/>
    </row>
    <row r="142" spans="1:8" ht="15" x14ac:dyDescent="0.25">
      <c r="A142" s="7">
        <v>10</v>
      </c>
      <c r="B142" s="593">
        <v>40000</v>
      </c>
      <c r="C142" s="194">
        <v>108</v>
      </c>
      <c r="D142" s="7">
        <v>10</v>
      </c>
      <c r="E142" s="198">
        <v>50000</v>
      </c>
      <c r="F142" s="194">
        <v>108</v>
      </c>
      <c r="H142" s="214"/>
    </row>
    <row r="143" spans="1:8" ht="15" x14ac:dyDescent="0.25">
      <c r="A143" s="7">
        <v>11</v>
      </c>
      <c r="B143" s="593">
        <v>45000</v>
      </c>
      <c r="C143" s="194">
        <v>120</v>
      </c>
      <c r="D143" s="7">
        <v>11</v>
      </c>
      <c r="E143" s="198">
        <v>55000</v>
      </c>
      <c r="F143" s="194">
        <v>120</v>
      </c>
      <c r="H143" s="214"/>
    </row>
    <row r="144" spans="1:8" ht="15" x14ac:dyDescent="0.25">
      <c r="A144" s="7">
        <v>12</v>
      </c>
      <c r="B144" s="593">
        <v>50000</v>
      </c>
      <c r="C144" s="194">
        <v>132</v>
      </c>
      <c r="D144" s="7">
        <v>12</v>
      </c>
      <c r="E144" s="198">
        <v>60000</v>
      </c>
      <c r="F144" s="194">
        <v>132</v>
      </c>
      <c r="H144" s="214"/>
    </row>
    <row r="145" spans="1:8" ht="15" x14ac:dyDescent="0.25">
      <c r="A145" s="7">
        <v>13</v>
      </c>
      <c r="B145" s="593">
        <v>55000</v>
      </c>
      <c r="C145" s="194">
        <v>144</v>
      </c>
      <c r="D145" s="7">
        <v>13</v>
      </c>
      <c r="E145" s="198">
        <v>65000</v>
      </c>
      <c r="F145" s="194">
        <v>144</v>
      </c>
      <c r="H145" s="214"/>
    </row>
    <row r="146" spans="1:8" ht="15" x14ac:dyDescent="0.25">
      <c r="A146" s="7">
        <v>14</v>
      </c>
      <c r="B146" s="593">
        <v>60000</v>
      </c>
      <c r="C146" s="194">
        <v>156</v>
      </c>
      <c r="D146" s="7">
        <v>14</v>
      </c>
      <c r="E146" s="198">
        <v>70000</v>
      </c>
      <c r="F146" s="194">
        <v>156</v>
      </c>
      <c r="H146" s="214"/>
    </row>
    <row r="147" spans="1:8" ht="15" x14ac:dyDescent="0.25">
      <c r="A147" s="7">
        <v>15</v>
      </c>
      <c r="B147" s="593">
        <v>65000</v>
      </c>
      <c r="C147" s="194">
        <v>168</v>
      </c>
      <c r="D147" s="7">
        <v>15</v>
      </c>
      <c r="E147" s="198">
        <v>75000</v>
      </c>
      <c r="F147" s="194">
        <v>168</v>
      </c>
      <c r="H147" s="214"/>
    </row>
    <row r="148" spans="1:8" ht="15" x14ac:dyDescent="0.25">
      <c r="A148" s="7">
        <v>16</v>
      </c>
      <c r="B148" s="593">
        <v>70000</v>
      </c>
      <c r="C148" s="194">
        <v>168</v>
      </c>
      <c r="D148" s="7">
        <v>16</v>
      </c>
      <c r="E148" s="198">
        <v>80000</v>
      </c>
      <c r="F148" s="194">
        <v>168</v>
      </c>
      <c r="H148" s="214"/>
    </row>
    <row r="149" spans="1:8" ht="15" x14ac:dyDescent="0.25">
      <c r="A149" s="7">
        <v>17</v>
      </c>
      <c r="B149" s="593">
        <v>75000</v>
      </c>
      <c r="C149" s="194">
        <v>168</v>
      </c>
      <c r="D149" s="7">
        <v>17</v>
      </c>
      <c r="E149" s="198">
        <v>85000</v>
      </c>
      <c r="F149" s="194">
        <v>168</v>
      </c>
      <c r="H149" s="214"/>
    </row>
    <row r="150" spans="1:8" ht="15" x14ac:dyDescent="0.25">
      <c r="A150" s="7">
        <v>18</v>
      </c>
      <c r="B150" s="593">
        <v>80000</v>
      </c>
      <c r="C150" s="194">
        <v>168</v>
      </c>
      <c r="D150" s="7">
        <v>18</v>
      </c>
      <c r="E150" s="198">
        <v>90000</v>
      </c>
      <c r="F150" s="194">
        <v>168</v>
      </c>
      <c r="H150" s="214"/>
    </row>
    <row r="151" spans="1:8" ht="15" x14ac:dyDescent="0.25">
      <c r="A151" s="7">
        <v>19</v>
      </c>
      <c r="B151" s="593">
        <v>85000</v>
      </c>
      <c r="C151" s="194">
        <v>168</v>
      </c>
      <c r="D151" s="7">
        <v>19</v>
      </c>
      <c r="E151" s="198">
        <v>95000</v>
      </c>
      <c r="F151" s="194">
        <v>168</v>
      </c>
      <c r="H151" s="214"/>
    </row>
    <row r="152" spans="1:8" ht="15" x14ac:dyDescent="0.25">
      <c r="A152" s="7">
        <v>20</v>
      </c>
      <c r="B152" s="593">
        <v>90000</v>
      </c>
      <c r="C152" s="194">
        <v>168</v>
      </c>
      <c r="D152" s="7">
        <v>20</v>
      </c>
      <c r="E152" s="198">
        <v>100000</v>
      </c>
      <c r="F152" s="194">
        <v>168</v>
      </c>
      <c r="H152" s="214"/>
    </row>
    <row r="153" spans="1:8" ht="15" x14ac:dyDescent="0.25">
      <c r="A153" s="7">
        <v>21</v>
      </c>
      <c r="B153" s="593">
        <v>95000</v>
      </c>
      <c r="C153" s="194">
        <v>168</v>
      </c>
      <c r="D153" s="7">
        <v>21</v>
      </c>
      <c r="E153" s="198">
        <v>105000</v>
      </c>
      <c r="F153" s="194">
        <v>168</v>
      </c>
      <c r="H153" s="214"/>
    </row>
    <row r="154" spans="1:8" ht="15" x14ac:dyDescent="0.25">
      <c r="A154" s="7">
        <v>22</v>
      </c>
      <c r="B154" s="593">
        <v>100000</v>
      </c>
      <c r="C154" s="194">
        <v>168</v>
      </c>
      <c r="D154" s="7">
        <v>22</v>
      </c>
      <c r="E154" s="198">
        <v>110000</v>
      </c>
      <c r="F154" s="194">
        <v>168</v>
      </c>
      <c r="H154" s="214"/>
    </row>
    <row r="155" spans="1:8" ht="15" x14ac:dyDescent="0.25">
      <c r="A155" s="7">
        <v>23</v>
      </c>
      <c r="B155" s="593">
        <v>105000</v>
      </c>
      <c r="C155" s="194">
        <v>168</v>
      </c>
      <c r="D155" s="7">
        <v>23</v>
      </c>
      <c r="E155" s="198">
        <v>115000</v>
      </c>
      <c r="F155" s="194">
        <v>168</v>
      </c>
      <c r="H155" s="214"/>
    </row>
    <row r="156" spans="1:8" ht="15" x14ac:dyDescent="0.25">
      <c r="A156" s="7">
        <v>24</v>
      </c>
      <c r="B156" s="593">
        <v>110000</v>
      </c>
      <c r="C156" s="194">
        <v>168</v>
      </c>
      <c r="D156" s="7">
        <v>24</v>
      </c>
      <c r="E156" s="198">
        <v>120000</v>
      </c>
      <c r="F156" s="194">
        <v>168</v>
      </c>
      <c r="H156" s="214"/>
    </row>
    <row r="157" spans="1:8" ht="15" x14ac:dyDescent="0.25">
      <c r="A157" s="7">
        <v>25</v>
      </c>
      <c r="B157" s="593">
        <v>115000</v>
      </c>
      <c r="C157" s="194">
        <v>168</v>
      </c>
      <c r="D157" s="7">
        <v>25</v>
      </c>
      <c r="E157" s="198">
        <v>125000</v>
      </c>
      <c r="F157" s="194">
        <v>168</v>
      </c>
      <c r="H157" s="214"/>
    </row>
    <row r="158" spans="1:8" ht="15" x14ac:dyDescent="0.25">
      <c r="A158" s="7">
        <v>26</v>
      </c>
      <c r="B158" s="593">
        <v>120000</v>
      </c>
      <c r="C158" s="194">
        <v>168</v>
      </c>
      <c r="D158" s="7">
        <v>26</v>
      </c>
      <c r="E158" s="198">
        <v>130000</v>
      </c>
      <c r="F158" s="194">
        <v>168</v>
      </c>
      <c r="H158" s="214"/>
    </row>
    <row r="159" spans="1:8" ht="15" x14ac:dyDescent="0.25">
      <c r="A159" s="7">
        <v>27</v>
      </c>
      <c r="B159" s="593">
        <v>125000</v>
      </c>
      <c r="C159" s="194">
        <v>168</v>
      </c>
      <c r="D159" s="7">
        <v>27</v>
      </c>
      <c r="E159" s="198">
        <v>135000</v>
      </c>
      <c r="F159" s="194">
        <v>168</v>
      </c>
      <c r="H159" s="214"/>
    </row>
    <row r="160" spans="1:8" ht="15" x14ac:dyDescent="0.25">
      <c r="A160" s="7">
        <v>28</v>
      </c>
      <c r="B160" s="593">
        <v>130000</v>
      </c>
      <c r="C160" s="194">
        <v>168</v>
      </c>
      <c r="D160" s="7">
        <v>28</v>
      </c>
      <c r="E160" s="198">
        <v>140000</v>
      </c>
      <c r="F160" s="194">
        <v>168</v>
      </c>
      <c r="H160" s="214"/>
    </row>
    <row r="161" spans="1:8" ht="15" x14ac:dyDescent="0.25">
      <c r="A161" s="7">
        <v>29</v>
      </c>
      <c r="B161" s="593">
        <v>135000</v>
      </c>
      <c r="C161" s="194">
        <v>168</v>
      </c>
      <c r="D161" s="7">
        <v>29</v>
      </c>
      <c r="E161" s="198">
        <v>145000</v>
      </c>
      <c r="F161" s="194">
        <v>168</v>
      </c>
      <c r="H161" s="214"/>
    </row>
    <row r="162" spans="1:8" ht="15" x14ac:dyDescent="0.25">
      <c r="A162" s="7">
        <v>30</v>
      </c>
      <c r="B162" s="593">
        <v>140000</v>
      </c>
      <c r="C162" s="194">
        <v>168</v>
      </c>
      <c r="D162" s="7">
        <v>30</v>
      </c>
      <c r="E162" s="198">
        <v>150000</v>
      </c>
      <c r="F162" s="194">
        <v>168</v>
      </c>
      <c r="H162" s="214"/>
    </row>
    <row r="163" spans="1:8" ht="15" x14ac:dyDescent="0.25">
      <c r="A163" s="7">
        <v>31</v>
      </c>
      <c r="B163" s="593">
        <v>145000</v>
      </c>
      <c r="C163" s="194">
        <v>168</v>
      </c>
      <c r="D163" s="7">
        <v>31</v>
      </c>
      <c r="E163" s="198">
        <v>155000</v>
      </c>
      <c r="F163" s="194">
        <v>168</v>
      </c>
      <c r="H163" s="214"/>
    </row>
    <row r="164" spans="1:8" ht="15" x14ac:dyDescent="0.25">
      <c r="A164" s="7">
        <v>32</v>
      </c>
      <c r="B164" s="593">
        <v>150000</v>
      </c>
      <c r="C164" s="194">
        <v>168</v>
      </c>
      <c r="D164" s="7">
        <v>32</v>
      </c>
      <c r="E164" s="198">
        <v>160000</v>
      </c>
      <c r="F164" s="194">
        <v>168</v>
      </c>
      <c r="H164" s="214"/>
    </row>
    <row r="165" spans="1:8" ht="15" x14ac:dyDescent="0.25">
      <c r="A165" s="7">
        <v>33</v>
      </c>
      <c r="B165" s="593">
        <v>155000</v>
      </c>
      <c r="C165" s="194">
        <v>168</v>
      </c>
      <c r="D165" s="7">
        <v>33</v>
      </c>
      <c r="E165" s="198">
        <v>165000</v>
      </c>
      <c r="F165" s="194">
        <v>168</v>
      </c>
      <c r="H165" s="214"/>
    </row>
    <row r="166" spans="1:8" ht="15" x14ac:dyDescent="0.25">
      <c r="A166" s="7">
        <v>34</v>
      </c>
      <c r="B166" s="593">
        <v>160000</v>
      </c>
      <c r="C166" s="194">
        <v>168</v>
      </c>
      <c r="D166" s="7">
        <v>34</v>
      </c>
      <c r="E166" s="198">
        <v>170000</v>
      </c>
      <c r="F166" s="194">
        <v>168</v>
      </c>
      <c r="H166" s="214"/>
    </row>
    <row r="167" spans="1:8" ht="15" x14ac:dyDescent="0.25">
      <c r="A167" s="7">
        <v>35</v>
      </c>
      <c r="B167" s="593">
        <v>165000</v>
      </c>
      <c r="C167" s="194">
        <v>168</v>
      </c>
      <c r="D167" s="7">
        <v>35</v>
      </c>
      <c r="E167" s="198">
        <v>175000</v>
      </c>
      <c r="F167" s="194">
        <v>168</v>
      </c>
      <c r="H167" s="214"/>
    </row>
    <row r="168" spans="1:8" ht="15" x14ac:dyDescent="0.25">
      <c r="A168" s="7">
        <v>36</v>
      </c>
      <c r="B168" s="593">
        <v>170000</v>
      </c>
      <c r="C168" s="194">
        <v>168</v>
      </c>
      <c r="D168" s="7">
        <v>36</v>
      </c>
      <c r="E168" s="198">
        <v>180000</v>
      </c>
      <c r="F168" s="194">
        <v>168</v>
      </c>
      <c r="H168" s="214"/>
    </row>
    <row r="169" spans="1:8" ht="15" x14ac:dyDescent="0.25">
      <c r="A169" s="7">
        <v>37</v>
      </c>
      <c r="B169" s="593">
        <v>175000</v>
      </c>
      <c r="C169" s="194">
        <v>168</v>
      </c>
      <c r="D169" s="7">
        <v>37</v>
      </c>
      <c r="E169" s="198">
        <v>185000</v>
      </c>
      <c r="F169" s="194">
        <v>168</v>
      </c>
      <c r="H169" s="214"/>
    </row>
    <row r="170" spans="1:8" ht="15" x14ac:dyDescent="0.25">
      <c r="A170" s="7">
        <v>38</v>
      </c>
      <c r="B170" s="593">
        <v>180000</v>
      </c>
      <c r="C170" s="194">
        <v>168</v>
      </c>
      <c r="D170" s="7">
        <v>38</v>
      </c>
      <c r="E170" s="198">
        <v>190000</v>
      </c>
      <c r="F170" s="194">
        <v>168</v>
      </c>
      <c r="H170" s="214"/>
    </row>
    <row r="171" spans="1:8" ht="15" x14ac:dyDescent="0.25">
      <c r="A171" s="7">
        <v>39</v>
      </c>
      <c r="B171" s="593">
        <v>185000</v>
      </c>
      <c r="C171" s="194">
        <v>168</v>
      </c>
      <c r="D171" s="7">
        <v>39</v>
      </c>
      <c r="E171" s="198">
        <v>195000</v>
      </c>
      <c r="F171" s="194">
        <v>168</v>
      </c>
      <c r="H171" s="214"/>
    </row>
    <row r="172" spans="1:8" ht="15" x14ac:dyDescent="0.25">
      <c r="A172" s="7">
        <v>40</v>
      </c>
      <c r="B172" s="198">
        <v>190000</v>
      </c>
      <c r="C172" s="194">
        <v>168</v>
      </c>
      <c r="D172" s="7">
        <v>40</v>
      </c>
      <c r="E172" s="198">
        <v>200000</v>
      </c>
      <c r="F172" s="194">
        <v>168</v>
      </c>
      <c r="H172" s="214"/>
    </row>
  </sheetData>
  <sheetProtection selectLockedCells="1"/>
  <mergeCells count="77">
    <mergeCell ref="V96:X96"/>
    <mergeCell ref="P37:R37"/>
    <mergeCell ref="Y37:AA37"/>
    <mergeCell ref="V37:X37"/>
    <mergeCell ref="AB96:AD96"/>
    <mergeCell ref="S96:U96"/>
    <mergeCell ref="Y96:AA96"/>
    <mergeCell ref="AB37:AD37"/>
    <mergeCell ref="S37:U37"/>
    <mergeCell ref="A94:AD94"/>
    <mergeCell ref="A37:C37"/>
    <mergeCell ref="A68:C68"/>
    <mergeCell ref="A83:O83"/>
    <mergeCell ref="M84:O84"/>
    <mergeCell ref="G56:I56"/>
    <mergeCell ref="J56:L56"/>
    <mergeCell ref="P119:R119"/>
    <mergeCell ref="A96:C96"/>
    <mergeCell ref="A118:R118"/>
    <mergeCell ref="A117:R117"/>
    <mergeCell ref="A119:C119"/>
    <mergeCell ref="D96:F96"/>
    <mergeCell ref="G96:I96"/>
    <mergeCell ref="J96:L96"/>
    <mergeCell ref="M96:O96"/>
    <mergeCell ref="P96:R96"/>
    <mergeCell ref="M119:O119"/>
    <mergeCell ref="G119:I119"/>
    <mergeCell ref="J119:L119"/>
    <mergeCell ref="A109:C109"/>
    <mergeCell ref="D109:F109"/>
    <mergeCell ref="G109:I109"/>
    <mergeCell ref="D131:F131"/>
    <mergeCell ref="A129:F129"/>
    <mergeCell ref="A130:F130"/>
    <mergeCell ref="A131:C131"/>
    <mergeCell ref="A84:C84"/>
    <mergeCell ref="D119:F119"/>
    <mergeCell ref="A108:I108"/>
    <mergeCell ref="M56:O56"/>
    <mergeCell ref="D56:F56"/>
    <mergeCell ref="P56:R56"/>
    <mergeCell ref="G21:I21"/>
    <mergeCell ref="M37:O37"/>
    <mergeCell ref="P21:R21"/>
    <mergeCell ref="A1:R1"/>
    <mergeCell ref="M2:R2"/>
    <mergeCell ref="A67:F67"/>
    <mergeCell ref="A66:F66"/>
    <mergeCell ref="A2:L2"/>
    <mergeCell ref="M21:O21"/>
    <mergeCell ref="M3:O3"/>
    <mergeCell ref="P3:R3"/>
    <mergeCell ref="A56:C56"/>
    <mergeCell ref="J3:L3"/>
    <mergeCell ref="A21:C21"/>
    <mergeCell ref="D21:F21"/>
    <mergeCell ref="A3:C3"/>
    <mergeCell ref="D3:F3"/>
    <mergeCell ref="G3:I3"/>
    <mergeCell ref="J37:L37"/>
    <mergeCell ref="A20:R20"/>
    <mergeCell ref="A19:R19"/>
    <mergeCell ref="A95:AD95"/>
    <mergeCell ref="A107:I107"/>
    <mergeCell ref="A35:AD35"/>
    <mergeCell ref="A36:AD36"/>
    <mergeCell ref="G84:I84"/>
    <mergeCell ref="J84:L84"/>
    <mergeCell ref="D37:F37"/>
    <mergeCell ref="G37:I37"/>
    <mergeCell ref="D84:F84"/>
    <mergeCell ref="D68:F68"/>
    <mergeCell ref="A82:O82"/>
    <mergeCell ref="A55:R55"/>
    <mergeCell ref="J21:L21"/>
    <mergeCell ref="A54:R54"/>
  </mergeCells>
  <pageMargins left="0.7" right="0.7" top="0.75" bottom="0.75" header="0.3" footer="0.3"/>
  <pageSetup paperSize="9" orientation="portrait" r:id="rId1"/>
  <tableParts count="5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0000"/>
  </sheetPr>
  <dimension ref="A1:O16"/>
  <sheetViews>
    <sheetView showGridLines="0" workbookViewId="0">
      <selection activeCell="P319" sqref="P319"/>
    </sheetView>
  </sheetViews>
  <sheetFormatPr baseColWidth="10" defaultColWidth="11.42578125" defaultRowHeight="11.25" x14ac:dyDescent="0.25"/>
  <cols>
    <col min="1" max="1" width="4.7109375" style="177" customWidth="1"/>
    <col min="2" max="3" width="8.7109375" style="177" customWidth="1"/>
    <col min="4" max="4" width="4.7109375" style="177" customWidth="1"/>
    <col min="5" max="5" width="8.7109375" style="177" customWidth="1"/>
    <col min="6" max="6" width="4.7109375" style="177" customWidth="1"/>
    <col min="7" max="8" width="8.7109375" style="177" customWidth="1"/>
    <col min="9" max="9" width="4.7109375" style="177" customWidth="1"/>
    <col min="10" max="10" width="8.7109375" style="177" customWidth="1"/>
    <col min="11" max="11" width="4.7109375" style="177" customWidth="1"/>
    <col min="12" max="13" width="8.7109375" style="177" customWidth="1"/>
    <col min="14" max="14" width="4.7109375" style="177" customWidth="1"/>
    <col min="15" max="15" width="8.7109375" style="177" customWidth="1"/>
    <col min="16" max="16384" width="11.42578125" style="177"/>
  </cols>
  <sheetData>
    <row r="1" spans="1:15" ht="30" customHeight="1" thickBot="1" x14ac:dyDescent="0.3">
      <c r="A1" s="1262" t="s">
        <v>382</v>
      </c>
      <c r="B1" s="1263"/>
      <c r="C1" s="1263"/>
      <c r="D1" s="1263"/>
      <c r="E1" s="1263"/>
      <c r="F1" s="1263"/>
      <c r="G1" s="1263"/>
      <c r="H1" s="1263"/>
      <c r="I1" s="1263"/>
      <c r="J1" s="1263"/>
      <c r="K1" s="1263"/>
      <c r="L1" s="1263"/>
      <c r="M1" s="1263"/>
      <c r="N1" s="1263"/>
      <c r="O1" s="1264"/>
    </row>
    <row r="2" spans="1:15" ht="20.100000000000001" customHeight="1" thickBot="1" x14ac:dyDescent="0.3">
      <c r="A2" s="1309" t="s">
        <v>246</v>
      </c>
      <c r="B2" s="1310"/>
      <c r="C2" s="1310"/>
      <c r="D2" s="1310"/>
      <c r="E2" s="1311"/>
      <c r="F2" s="1301" t="s">
        <v>247</v>
      </c>
      <c r="G2" s="1302"/>
      <c r="H2" s="1302"/>
      <c r="I2" s="1302"/>
      <c r="J2" s="1303"/>
      <c r="K2" s="1318" t="s">
        <v>248</v>
      </c>
      <c r="L2" s="1319"/>
      <c r="M2" s="1319"/>
      <c r="N2" s="1319"/>
      <c r="O2" s="1320"/>
    </row>
    <row r="3" spans="1:15" ht="15.75" customHeight="1" thickBot="1" x14ac:dyDescent="0.3">
      <c r="A3" s="1306" t="s">
        <v>176</v>
      </c>
      <c r="B3" s="1307"/>
      <c r="C3" s="1308"/>
      <c r="D3" s="1306" t="s">
        <v>212</v>
      </c>
      <c r="E3" s="1308"/>
      <c r="F3" s="1306" t="s">
        <v>210</v>
      </c>
      <c r="G3" s="1307"/>
      <c r="H3" s="1308"/>
      <c r="I3" s="1306" t="s">
        <v>453</v>
      </c>
      <c r="J3" s="1308"/>
      <c r="K3" s="1306" t="s">
        <v>211</v>
      </c>
      <c r="L3" s="1307"/>
      <c r="M3" s="1307"/>
      <c r="N3" s="1307" t="s">
        <v>452</v>
      </c>
      <c r="O3" s="1307"/>
    </row>
    <row r="4" spans="1:15" ht="12" thickBot="1" x14ac:dyDescent="0.3">
      <c r="A4" s="207" t="s">
        <v>17</v>
      </c>
      <c r="B4" s="190" t="s">
        <v>119</v>
      </c>
      <c r="C4" s="208" t="s">
        <v>383</v>
      </c>
      <c r="D4" s="186" t="s">
        <v>17</v>
      </c>
      <c r="E4" s="188" t="s">
        <v>383</v>
      </c>
      <c r="F4" s="207" t="s">
        <v>17</v>
      </c>
      <c r="G4" s="190" t="s">
        <v>119</v>
      </c>
      <c r="H4" s="208" t="s">
        <v>383</v>
      </c>
      <c r="I4" s="186" t="s">
        <v>17</v>
      </c>
      <c r="J4" s="188" t="s">
        <v>383</v>
      </c>
      <c r="K4" s="207" t="s">
        <v>17</v>
      </c>
      <c r="L4" s="190" t="s">
        <v>119</v>
      </c>
      <c r="M4" s="208" t="s">
        <v>383</v>
      </c>
      <c r="N4" s="207" t="s">
        <v>17</v>
      </c>
      <c r="O4" s="208" t="s">
        <v>383</v>
      </c>
    </row>
    <row r="5" spans="1:15" x14ac:dyDescent="0.25">
      <c r="A5" s="7">
        <v>1</v>
      </c>
      <c r="B5" s="193">
        <v>200</v>
      </c>
      <c r="C5" s="312">
        <v>500</v>
      </c>
      <c r="D5" s="7">
        <v>1</v>
      </c>
      <c r="E5" s="312">
        <v>1500</v>
      </c>
      <c r="F5" s="7">
        <v>1</v>
      </c>
      <c r="G5" s="453">
        <v>200</v>
      </c>
      <c r="H5" s="312">
        <v>500</v>
      </c>
      <c r="I5" s="7">
        <v>1</v>
      </c>
      <c r="J5" s="312">
        <v>1500</v>
      </c>
      <c r="K5" s="7">
        <v>1</v>
      </c>
      <c r="L5" s="197">
        <v>20</v>
      </c>
      <c r="M5" s="312">
        <v>160</v>
      </c>
      <c r="N5" s="7">
        <v>1</v>
      </c>
      <c r="O5" s="312">
        <v>10000</v>
      </c>
    </row>
    <row r="6" spans="1:15" x14ac:dyDescent="0.25">
      <c r="A6" s="7">
        <v>2</v>
      </c>
      <c r="B6" s="195">
        <v>400</v>
      </c>
      <c r="C6" s="313">
        <v>1000</v>
      </c>
      <c r="D6" s="7">
        <v>2</v>
      </c>
      <c r="E6" s="313">
        <v>3000</v>
      </c>
      <c r="F6" s="7">
        <v>2</v>
      </c>
      <c r="G6" s="454">
        <v>400</v>
      </c>
      <c r="H6" s="313">
        <v>1000</v>
      </c>
      <c r="I6" s="7">
        <v>2</v>
      </c>
      <c r="J6" s="313">
        <v>3000</v>
      </c>
      <c r="K6" s="7">
        <v>2</v>
      </c>
      <c r="L6" s="198">
        <v>30</v>
      </c>
      <c r="M6" s="313">
        <v>300</v>
      </c>
      <c r="N6" s="7">
        <v>2</v>
      </c>
      <c r="O6" s="313">
        <v>20000</v>
      </c>
    </row>
    <row r="7" spans="1:15" x14ac:dyDescent="0.25">
      <c r="A7" s="7">
        <v>3</v>
      </c>
      <c r="B7" s="195">
        <v>600</v>
      </c>
      <c r="C7" s="313">
        <v>1500</v>
      </c>
      <c r="D7" s="7">
        <v>3</v>
      </c>
      <c r="E7" s="313">
        <v>6000</v>
      </c>
      <c r="F7" s="7">
        <v>3</v>
      </c>
      <c r="G7" s="454">
        <v>600</v>
      </c>
      <c r="H7" s="313">
        <v>1500</v>
      </c>
      <c r="I7" s="7">
        <v>3</v>
      </c>
      <c r="J7" s="313">
        <v>6000</v>
      </c>
      <c r="K7" s="7">
        <v>3</v>
      </c>
      <c r="L7" s="198">
        <v>45</v>
      </c>
      <c r="M7" s="313">
        <v>540</v>
      </c>
      <c r="N7" s="7">
        <v>3</v>
      </c>
      <c r="O7" s="313">
        <v>40000</v>
      </c>
    </row>
    <row r="8" spans="1:15" x14ac:dyDescent="0.25">
      <c r="A8" s="7">
        <v>4</v>
      </c>
      <c r="B8" s="195">
        <v>800</v>
      </c>
      <c r="C8" s="313">
        <v>2500</v>
      </c>
      <c r="D8" s="7">
        <v>4</v>
      </c>
      <c r="E8" s="313">
        <v>12000</v>
      </c>
      <c r="F8" s="7">
        <v>4</v>
      </c>
      <c r="G8" s="454">
        <v>800</v>
      </c>
      <c r="H8" s="313">
        <v>2500</v>
      </c>
      <c r="I8" s="7">
        <v>4</v>
      </c>
      <c r="J8" s="313">
        <v>12000</v>
      </c>
      <c r="K8" s="7">
        <v>4</v>
      </c>
      <c r="L8" s="198">
        <v>60</v>
      </c>
      <c r="M8" s="313">
        <v>840</v>
      </c>
      <c r="N8" s="7">
        <v>4</v>
      </c>
      <c r="O8" s="313">
        <v>80000</v>
      </c>
    </row>
    <row r="9" spans="1:15" x14ac:dyDescent="0.25">
      <c r="A9" s="7">
        <v>5</v>
      </c>
      <c r="B9" s="195">
        <v>1000</v>
      </c>
      <c r="C9" s="313">
        <v>10000</v>
      </c>
      <c r="D9" s="7">
        <v>5</v>
      </c>
      <c r="E9" s="313">
        <v>25000</v>
      </c>
      <c r="F9" s="7">
        <v>5</v>
      </c>
      <c r="G9" s="454">
        <v>1000</v>
      </c>
      <c r="H9" s="313">
        <v>10000</v>
      </c>
      <c r="I9" s="7">
        <v>5</v>
      </c>
      <c r="J9" s="313">
        <v>25000</v>
      </c>
      <c r="K9" s="7">
        <v>5</v>
      </c>
      <c r="L9" s="198">
        <v>80</v>
      </c>
      <c r="M9" s="313">
        <v>1280</v>
      </c>
      <c r="N9" s="7">
        <v>5</v>
      </c>
      <c r="O9" s="313">
        <v>150000</v>
      </c>
    </row>
    <row r="10" spans="1:15" x14ac:dyDescent="0.25">
      <c r="A10" s="7">
        <v>6</v>
      </c>
      <c r="B10" s="195">
        <v>1300</v>
      </c>
      <c r="C10" s="313">
        <v>20000</v>
      </c>
      <c r="D10" s="7">
        <v>6</v>
      </c>
      <c r="E10" s="313">
        <v>50000</v>
      </c>
      <c r="F10" s="7">
        <v>6</v>
      </c>
      <c r="G10" s="454">
        <v>1300</v>
      </c>
      <c r="H10" s="313">
        <v>20000</v>
      </c>
      <c r="I10" s="7">
        <v>6</v>
      </c>
      <c r="J10" s="313">
        <v>50000</v>
      </c>
      <c r="K10" s="7">
        <v>6</v>
      </c>
      <c r="L10" s="198">
        <v>100</v>
      </c>
      <c r="M10" s="313">
        <v>1800</v>
      </c>
      <c r="N10" s="7">
        <v>6</v>
      </c>
      <c r="O10" s="313">
        <v>200000</v>
      </c>
    </row>
    <row r="11" spans="1:15" x14ac:dyDescent="0.25">
      <c r="A11" s="7">
        <v>7</v>
      </c>
      <c r="B11" s="195">
        <v>1600</v>
      </c>
      <c r="C11" s="313">
        <v>30000</v>
      </c>
      <c r="D11" s="7">
        <v>7</v>
      </c>
      <c r="E11" s="313">
        <v>100000</v>
      </c>
      <c r="F11" s="7">
        <v>7</v>
      </c>
      <c r="G11" s="454">
        <v>1600</v>
      </c>
      <c r="H11" s="313">
        <v>30000</v>
      </c>
      <c r="I11" s="7">
        <v>7</v>
      </c>
      <c r="J11" s="313">
        <v>100000</v>
      </c>
    </row>
    <row r="12" spans="1:15" x14ac:dyDescent="0.25">
      <c r="A12" s="7">
        <v>8</v>
      </c>
      <c r="B12" s="195">
        <v>1900</v>
      </c>
      <c r="C12" s="313">
        <v>50000</v>
      </c>
      <c r="D12" s="7">
        <v>8</v>
      </c>
      <c r="E12" s="313">
        <v>250000</v>
      </c>
      <c r="F12" s="7">
        <v>8</v>
      </c>
      <c r="G12" s="454">
        <v>1900</v>
      </c>
      <c r="H12" s="313">
        <v>50000</v>
      </c>
      <c r="I12" s="7">
        <v>8</v>
      </c>
      <c r="J12" s="313">
        <v>250000</v>
      </c>
    </row>
    <row r="13" spans="1:15" x14ac:dyDescent="0.25">
      <c r="A13" s="7">
        <v>9</v>
      </c>
      <c r="B13" s="24">
        <v>2200</v>
      </c>
      <c r="C13" s="314">
        <v>75000</v>
      </c>
      <c r="D13" s="7">
        <v>9</v>
      </c>
      <c r="E13" s="314">
        <v>500000</v>
      </c>
      <c r="F13" s="7">
        <v>9</v>
      </c>
      <c r="G13" s="455">
        <v>2200</v>
      </c>
      <c r="H13" s="314">
        <v>75000</v>
      </c>
      <c r="I13" s="7">
        <v>9</v>
      </c>
      <c r="J13" s="314">
        <v>500000</v>
      </c>
    </row>
    <row r="14" spans="1:15" x14ac:dyDescent="0.25">
      <c r="A14" s="7">
        <v>10</v>
      </c>
      <c r="B14" s="24">
        <v>2500</v>
      </c>
      <c r="C14" s="314">
        <v>100000</v>
      </c>
      <c r="D14" s="7">
        <v>10</v>
      </c>
      <c r="E14" s="314">
        <v>1000000</v>
      </c>
      <c r="F14" s="7">
        <v>10</v>
      </c>
      <c r="G14" s="455">
        <v>2500</v>
      </c>
      <c r="H14" s="314">
        <v>100000</v>
      </c>
      <c r="I14" s="7">
        <v>10</v>
      </c>
      <c r="J14" s="314">
        <v>1000000</v>
      </c>
    </row>
    <row r="15" spans="1:15" ht="12" thickBot="1" x14ac:dyDescent="0.3">
      <c r="A15" s="7">
        <v>11</v>
      </c>
      <c r="B15" s="24">
        <v>3000</v>
      </c>
      <c r="C15" s="767">
        <v>150000</v>
      </c>
      <c r="D15" s="540">
        <v>11</v>
      </c>
      <c r="E15" s="315">
        <v>2000000</v>
      </c>
      <c r="F15" s="7">
        <v>11</v>
      </c>
      <c r="G15" s="455">
        <v>3000</v>
      </c>
      <c r="H15" s="767">
        <v>150000</v>
      </c>
      <c r="I15" s="540">
        <v>11</v>
      </c>
      <c r="J15" s="315">
        <v>2000000</v>
      </c>
    </row>
    <row r="16" spans="1:15" ht="12" thickBot="1" x14ac:dyDescent="0.3">
      <c r="A16" s="534">
        <v>12</v>
      </c>
      <c r="B16" s="745">
        <v>3500</v>
      </c>
      <c r="C16" s="768">
        <v>200000</v>
      </c>
      <c r="F16" s="534">
        <v>12</v>
      </c>
      <c r="G16" s="746">
        <v>3500</v>
      </c>
      <c r="H16" s="768">
        <v>200000</v>
      </c>
    </row>
  </sheetData>
  <sheetProtection sheet="1" objects="1" scenarios="1" selectLockedCells="1"/>
  <mergeCells count="10">
    <mergeCell ref="A1:O1"/>
    <mergeCell ref="N3:O3"/>
    <mergeCell ref="A3:C3"/>
    <mergeCell ref="K3:M3"/>
    <mergeCell ref="F3:H3"/>
    <mergeCell ref="D3:E3"/>
    <mergeCell ref="A2:E2"/>
    <mergeCell ref="F2:J2"/>
    <mergeCell ref="I3:J3"/>
    <mergeCell ref="K2:O2"/>
  </mergeCells>
  <pageMargins left="0.7" right="0.7" top="0.75" bottom="0.75" header="0.3" footer="0.3"/>
  <pageSetup paperSize="9" orientation="portrait" r:id="rId1"/>
  <tableParts count="6">
    <tablePart r:id="rId2"/>
    <tablePart r:id="rId3"/>
    <tablePart r:id="rId4"/>
    <tablePart r:id="rId5"/>
    <tablePart r:id="rId6"/>
    <tablePart r:id="rId7"/>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rgb="FFFF0000"/>
  </sheetPr>
  <dimension ref="A1:L23"/>
  <sheetViews>
    <sheetView showGridLines="0" zoomScale="115" zoomScaleNormal="115" workbookViewId="0">
      <selection activeCell="K23" sqref="K23"/>
    </sheetView>
  </sheetViews>
  <sheetFormatPr baseColWidth="10" defaultColWidth="11.42578125" defaultRowHeight="15" x14ac:dyDescent="0.25"/>
  <cols>
    <col min="1" max="5" width="8.7109375" style="214" customWidth="1"/>
    <col min="6" max="6" width="11.42578125" style="214"/>
    <col min="7" max="7" width="8.7109375" style="214" customWidth="1"/>
    <col min="8" max="8" width="11.42578125" style="214"/>
    <col min="9" max="9" width="8.7109375" style="214" customWidth="1"/>
    <col min="10" max="16384" width="11.42578125" style="214"/>
  </cols>
  <sheetData>
    <row r="1" spans="1:12" ht="30" customHeight="1" thickBot="1" x14ac:dyDescent="0.3">
      <c r="A1" s="1262" t="s">
        <v>384</v>
      </c>
      <c r="B1" s="1263"/>
      <c r="C1" s="1263"/>
      <c r="D1" s="1263"/>
      <c r="E1" s="1264"/>
      <c r="G1" s="1262" t="s">
        <v>389</v>
      </c>
      <c r="H1" s="1263"/>
      <c r="I1" s="1264"/>
      <c r="K1" s="1262" t="s">
        <v>678</v>
      </c>
      <c r="L1" s="1263"/>
    </row>
    <row r="2" spans="1:12" ht="22.5" x14ac:dyDescent="0.25">
      <c r="A2" s="244" t="s">
        <v>385</v>
      </c>
      <c r="B2" s="245" t="s">
        <v>129</v>
      </c>
      <c r="C2" s="246" t="s">
        <v>386</v>
      </c>
      <c r="D2" s="247" t="s">
        <v>387</v>
      </c>
      <c r="E2" s="248" t="s">
        <v>388</v>
      </c>
      <c r="G2" s="251" t="s">
        <v>385</v>
      </c>
      <c r="H2" s="252" t="s">
        <v>135</v>
      </c>
      <c r="I2" s="246" t="s">
        <v>307</v>
      </c>
      <c r="K2" s="900" t="s">
        <v>667</v>
      </c>
      <c r="L2" s="901" t="s">
        <v>680</v>
      </c>
    </row>
    <row r="3" spans="1:12" x14ac:dyDescent="0.25">
      <c r="A3" s="253" t="str">
        <f>IF(AND(Paramètres!$BL$2&gt;=B3,Paramètres!$BL$2&lt;B4),1,"")</f>
        <v/>
      </c>
      <c r="B3" s="239">
        <v>0</v>
      </c>
      <c r="C3" s="195">
        <v>0</v>
      </c>
      <c r="D3" s="801">
        <f>LEAGUES_Bonus[[#This Row],[Bonus d''Or]]</f>
        <v>0</v>
      </c>
      <c r="E3" s="240">
        <v>0</v>
      </c>
      <c r="G3" s="253" t="str">
        <f>IF(AND('Combats - Loots'!$D$2&gt;=H3,'Combats - Loots'!$D$2&lt;H4),1,"")</f>
        <v/>
      </c>
      <c r="H3" s="239">
        <v>-10</v>
      </c>
      <c r="I3" s="249">
        <v>0.05</v>
      </c>
      <c r="K3" s="253">
        <f>IF(Paramètres!$BI$2=1,1,"")</f>
        <v>1</v>
      </c>
      <c r="L3" s="902">
        <v>10</v>
      </c>
    </row>
    <row r="4" spans="1:12" x14ac:dyDescent="0.25">
      <c r="A4" s="966" t="str">
        <f>IF(AND(Paramètres!$BL$2&gt;=B4,Paramètres!$BL$2&lt;B5),1,"")</f>
        <v/>
      </c>
      <c r="B4" s="239">
        <v>400</v>
      </c>
      <c r="C4" s="195">
        <v>600</v>
      </c>
      <c r="D4" s="447">
        <f>LEAGUES_Bonus[[#This Row],[Bonus d''Or]]</f>
        <v>600</v>
      </c>
      <c r="E4" s="240">
        <v>0</v>
      </c>
      <c r="G4" s="253" t="str">
        <f>IF(AND('Combats - Loots'!$D$2&gt;=H4,'Combats - Loots'!$D$2&lt;H5),1,"")</f>
        <v/>
      </c>
      <c r="H4" s="239">
        <v>-9</v>
      </c>
      <c r="I4" s="249">
        <v>0.05</v>
      </c>
      <c r="K4" s="253" t="str">
        <f>IF(Paramètres!$BI$2=2,1,"")</f>
        <v/>
      </c>
      <c r="L4" s="902">
        <v>50</v>
      </c>
    </row>
    <row r="5" spans="1:12" x14ac:dyDescent="0.25">
      <c r="A5" s="966" t="str">
        <f>IF(AND(Paramètres!$BL$2&gt;=B5,Paramètres!$BL$2&lt;B6),1,"")</f>
        <v/>
      </c>
      <c r="B5" s="239">
        <v>500</v>
      </c>
      <c r="C5" s="195">
        <v>800</v>
      </c>
      <c r="D5" s="801">
        <f>LEAGUES_Bonus[[#This Row],[Bonus d''Or]]</f>
        <v>800</v>
      </c>
      <c r="E5" s="240">
        <v>0</v>
      </c>
      <c r="G5" s="253" t="str">
        <f>IF(AND('Combats - Loots'!$D$2&gt;=H5,'Combats - Loots'!$D$2&lt;H6),1,"")</f>
        <v/>
      </c>
      <c r="H5" s="239">
        <v>-8</v>
      </c>
      <c r="I5" s="249">
        <v>0.05</v>
      </c>
      <c r="K5" s="253" t="str">
        <f>IF(Paramètres!$BI$2=3,1,"")</f>
        <v/>
      </c>
      <c r="L5" s="902">
        <v>75</v>
      </c>
    </row>
    <row r="6" spans="1:12" x14ac:dyDescent="0.25">
      <c r="A6" s="966" t="str">
        <f>IF(AND(Paramètres!$BL$2&gt;=B6,Paramètres!$BL$2&lt;B7),1,"")</f>
        <v/>
      </c>
      <c r="B6" s="239">
        <v>600</v>
      </c>
      <c r="C6" s="195">
        <v>1000</v>
      </c>
      <c r="D6" s="801">
        <f>LEAGUES_Bonus[[#This Row],[Bonus d''Or]]</f>
        <v>1000</v>
      </c>
      <c r="E6" s="240">
        <v>0</v>
      </c>
      <c r="G6" s="253" t="str">
        <f>IF(AND('Combats - Loots'!$D$2&gt;=H6,'Combats - Loots'!$D$2&lt;H7),1,"")</f>
        <v/>
      </c>
      <c r="H6" s="239">
        <v>-7</v>
      </c>
      <c r="I6" s="249">
        <v>0.05</v>
      </c>
      <c r="K6" s="253" t="str">
        <f>IF(Paramètres!$BI$2=4,1,"")</f>
        <v/>
      </c>
      <c r="L6" s="902">
        <v>110</v>
      </c>
    </row>
    <row r="7" spans="1:12" x14ac:dyDescent="0.25">
      <c r="A7" s="965" t="str">
        <f>IF(AND(Paramètres!$BL$2&gt;=B7,Paramètres!$BL$2&lt;B8),1,"")</f>
        <v/>
      </c>
      <c r="B7" s="239">
        <v>800</v>
      </c>
      <c r="C7" s="195">
        <v>2000</v>
      </c>
      <c r="D7" s="801">
        <f>LEAGUES_Bonus[[#This Row],[Bonus d''Or]]</f>
        <v>2000</v>
      </c>
      <c r="E7" s="240">
        <v>0</v>
      </c>
      <c r="G7" s="253" t="str">
        <f>IF(AND('Combats - Loots'!$D$2&gt;=H7,'Combats - Loots'!$D$2&lt;H8),1,"")</f>
        <v/>
      </c>
      <c r="H7" s="239">
        <v>-6</v>
      </c>
      <c r="I7" s="249">
        <v>0.05</v>
      </c>
      <c r="K7" s="253" t="str">
        <f>IF(Paramètres!$BI$2=5,1,"")</f>
        <v/>
      </c>
      <c r="L7" s="902">
        <v>170</v>
      </c>
    </row>
    <row r="8" spans="1:12" x14ac:dyDescent="0.25">
      <c r="A8" s="965" t="str">
        <f>IF(AND(Paramètres!$BL$2&gt;=B8,Paramètres!$BL$2&lt;B9),1,"")</f>
        <v/>
      </c>
      <c r="B8" s="239">
        <v>1000</v>
      </c>
      <c r="C8" s="195">
        <v>3000</v>
      </c>
      <c r="D8" s="801">
        <f>LEAGUES_Bonus[[#This Row],[Bonus d''Or]]</f>
        <v>3000</v>
      </c>
      <c r="E8" s="240">
        <v>0</v>
      </c>
      <c r="G8" s="253" t="str">
        <f>IF(AND('Combats - Loots'!$D$2&gt;=H8,'Combats - Loots'!$D$2&lt;H9),1,"")</f>
        <v/>
      </c>
      <c r="H8" s="239">
        <v>-5</v>
      </c>
      <c r="I8" s="249">
        <v>0.05</v>
      </c>
      <c r="K8" s="253" t="str">
        <f>IF(Paramètres!$BI$2=6,1,"")</f>
        <v/>
      </c>
      <c r="L8" s="902">
        <v>250</v>
      </c>
    </row>
    <row r="9" spans="1:12" x14ac:dyDescent="0.25">
      <c r="A9" s="965" t="str">
        <f>IF(AND(Paramètres!$BL$2&gt;=B9,Paramètres!$BL$2&lt;B10),1,"")</f>
        <v/>
      </c>
      <c r="B9" s="239">
        <v>1200</v>
      </c>
      <c r="C9" s="195">
        <v>4000</v>
      </c>
      <c r="D9" s="801">
        <f>LEAGUES_Bonus[[#This Row],[Bonus d''Or]]</f>
        <v>4000</v>
      </c>
      <c r="E9" s="240">
        <v>0</v>
      </c>
      <c r="G9" s="253" t="str">
        <f>IF(AND('Combats - Loots'!$D$2&gt;=H9,'Combats - Loots'!$D$2&lt;H10),1,"")</f>
        <v/>
      </c>
      <c r="H9" s="239">
        <v>-4</v>
      </c>
      <c r="I9" s="249">
        <v>0.05</v>
      </c>
      <c r="K9" s="253" t="str">
        <f>IF(Paramètres!$BI$2=7,1,"")</f>
        <v/>
      </c>
      <c r="L9" s="902">
        <v>380</v>
      </c>
    </row>
    <row r="10" spans="1:12" x14ac:dyDescent="0.25">
      <c r="A10" s="964" t="str">
        <f>IF(AND(Paramètres!$BL$2&gt;=B10,Paramètres!$BL$2&lt;B11),1,"")</f>
        <v/>
      </c>
      <c r="B10" s="239">
        <v>1400</v>
      </c>
      <c r="C10" s="195">
        <v>8000</v>
      </c>
      <c r="D10" s="801">
        <f>LEAGUES_Bonus[[#This Row],[Bonus d''Or]]</f>
        <v>8000</v>
      </c>
      <c r="E10" s="240">
        <v>0</v>
      </c>
      <c r="G10" s="253" t="str">
        <f>IF(AND('Combats - Loots'!$D$2&gt;=H10,'Combats - Loots'!$D$2&lt;H11),1,"")</f>
        <v/>
      </c>
      <c r="H10" s="239">
        <v>-3</v>
      </c>
      <c r="I10" s="249">
        <v>0.25</v>
      </c>
      <c r="K10" s="253" t="str">
        <f>IF(Paramètres!$BI$2=8,1,"")</f>
        <v/>
      </c>
      <c r="L10" s="902">
        <v>580</v>
      </c>
    </row>
    <row r="11" spans="1:12" x14ac:dyDescent="0.25">
      <c r="A11" s="964" t="str">
        <f>IF(AND(Paramètres!$BL$2&gt;=B11,Paramètres!$BL$2&lt;B12),1,"")</f>
        <v/>
      </c>
      <c r="B11" s="239">
        <v>1600</v>
      </c>
      <c r="C11" s="195">
        <v>11000</v>
      </c>
      <c r="D11" s="801">
        <f>LEAGUES_Bonus[[#This Row],[Bonus d''Or]]</f>
        <v>11000</v>
      </c>
      <c r="E11" s="240">
        <v>0</v>
      </c>
      <c r="G11" s="253" t="str">
        <f>IF(AND('Combats - Loots'!$D$2&gt;=H11,'Combats - Loots'!$D$2&lt;H12),1,"")</f>
        <v/>
      </c>
      <c r="H11" s="239">
        <v>-2</v>
      </c>
      <c r="I11" s="249">
        <v>0.5</v>
      </c>
      <c r="K11" s="253" t="str">
        <f>IF(Paramètres!$BI$2=9,1,"")</f>
        <v/>
      </c>
      <c r="L11" s="902">
        <v>750</v>
      </c>
    </row>
    <row r="12" spans="1:12" x14ac:dyDescent="0.25">
      <c r="A12" s="964" t="str">
        <f>IF(AND(Paramètres!$BL$2&gt;=B12,Paramètres!$BL$2&lt;B13),1,"")</f>
        <v/>
      </c>
      <c r="B12" s="239">
        <v>1800</v>
      </c>
      <c r="C12" s="195">
        <v>14000</v>
      </c>
      <c r="D12" s="801">
        <f>LEAGUES_Bonus[[#This Row],[Bonus d''Or]]</f>
        <v>14000</v>
      </c>
      <c r="E12" s="240">
        <v>0</v>
      </c>
      <c r="G12" s="253" t="str">
        <f>IF(AND('Combats - Loots'!$D$2&gt;=H12,'Combats - Loots'!$D$2&lt;H13),1,"")</f>
        <v/>
      </c>
      <c r="H12" s="239">
        <v>-1</v>
      </c>
      <c r="I12" s="249">
        <v>0.9</v>
      </c>
      <c r="K12" s="253" t="str">
        <f>IF(Paramètres!$BI$2=10,1,"")</f>
        <v/>
      </c>
      <c r="L12" s="902">
        <v>1000</v>
      </c>
    </row>
    <row r="13" spans="1:12" x14ac:dyDescent="0.25">
      <c r="A13" s="967">
        <f>IF(AND(Paramètres!$BL$2&gt;=B13,Paramètres!$BL$2&lt;B14),1,"")</f>
        <v>1</v>
      </c>
      <c r="B13" s="239">
        <v>2000</v>
      </c>
      <c r="C13" s="195">
        <v>35000</v>
      </c>
      <c r="D13" s="801">
        <f>LEAGUES_Bonus[[#This Row],[Bonus d''Or]]</f>
        <v>35000</v>
      </c>
      <c r="E13" s="240">
        <v>100</v>
      </c>
      <c r="G13" s="253" t="str">
        <f>IF(AND('Combats - Loots'!$D$2&gt;=H13,'Combats - Loots'!$D$2&lt;H14),1,"")</f>
        <v/>
      </c>
      <c r="H13" s="239">
        <v>0</v>
      </c>
      <c r="I13" s="249">
        <v>1</v>
      </c>
    </row>
    <row r="14" spans="1:12" x14ac:dyDescent="0.25">
      <c r="A14" s="967" t="str">
        <f>IF(AND(Paramètres!$BL$2&gt;=B14,Paramètres!$BL$2&lt;B15),1,"")</f>
        <v/>
      </c>
      <c r="B14" s="239">
        <v>2200</v>
      </c>
      <c r="C14" s="195">
        <v>50000</v>
      </c>
      <c r="D14" s="801">
        <f>LEAGUES_Bonus[[#This Row],[Bonus d''Or]]</f>
        <v>50000</v>
      </c>
      <c r="E14" s="240">
        <v>200</v>
      </c>
      <c r="G14" s="253" t="str">
        <f>IF(AND('Combats - Loots'!$D$2&gt;=H14,'Combats - Loots'!$D$2&lt;H15),1,"")</f>
        <v/>
      </c>
      <c r="H14" s="239">
        <v>1</v>
      </c>
      <c r="I14" s="249">
        <v>1.1000000000000001</v>
      </c>
    </row>
    <row r="15" spans="1:12" x14ac:dyDescent="0.25">
      <c r="A15" s="967" t="str">
        <f>IF(AND(Paramètres!$BL$2&gt;=B15,Paramètres!$BL$2&lt;B16),1,"")</f>
        <v/>
      </c>
      <c r="B15" s="239">
        <v>2400</v>
      </c>
      <c r="C15" s="195">
        <v>65000</v>
      </c>
      <c r="D15" s="801">
        <f>LEAGUES_Bonus[[#This Row],[Bonus d''Or]]</f>
        <v>65000</v>
      </c>
      <c r="E15" s="240">
        <v>300</v>
      </c>
      <c r="G15" s="253" t="str">
        <f>IF(AND('Combats - Loots'!$D$2&gt;=H15,'Combats - Loots'!$D$2&lt;H16),1,"")</f>
        <v/>
      </c>
      <c r="H15" s="239">
        <v>2</v>
      </c>
      <c r="I15" s="249">
        <v>1.5</v>
      </c>
    </row>
    <row r="16" spans="1:12" x14ac:dyDescent="0.25">
      <c r="A16" s="969" t="str">
        <f>IF(AND(Paramètres!$BL$2&gt;=B16,Paramètres!$BL$2&lt;B17),1,"")</f>
        <v/>
      </c>
      <c r="B16" s="239">
        <v>2600</v>
      </c>
      <c r="C16" s="195">
        <v>100000</v>
      </c>
      <c r="D16" s="801">
        <f>LEAGUES_Bonus[[#This Row],[Bonus d''Or]]</f>
        <v>100000</v>
      </c>
      <c r="E16" s="240">
        <v>500</v>
      </c>
      <c r="G16" s="253" t="str">
        <f>IF(AND('Combats - Loots'!$D$2&gt;=H16,'Combats - Loots'!$D$2&lt;H17),1,"")</f>
        <v/>
      </c>
      <c r="H16" s="239">
        <v>3</v>
      </c>
      <c r="I16" s="249">
        <v>2</v>
      </c>
    </row>
    <row r="17" spans="1:9" x14ac:dyDescent="0.25">
      <c r="A17" s="969" t="str">
        <f>IF(AND(Paramètres!$BL$2&gt;=B17,Paramètres!$BL$2&lt;B18),1,"")</f>
        <v/>
      </c>
      <c r="B17" s="239">
        <v>2800</v>
      </c>
      <c r="C17" s="195">
        <v>120000</v>
      </c>
      <c r="D17" s="801">
        <f>LEAGUES_Bonus[[#This Row],[Bonus d''Or]]</f>
        <v>120000</v>
      </c>
      <c r="E17" s="240">
        <v>700</v>
      </c>
      <c r="G17" s="253" t="str">
        <f>IF(AND('Combats - Loots'!$D$2&gt;=H17,'Combats - Loots'!$D$2&lt;H18),1,"")</f>
        <v/>
      </c>
      <c r="H17" s="239">
        <v>4</v>
      </c>
      <c r="I17" s="249">
        <v>2</v>
      </c>
    </row>
    <row r="18" spans="1:9" x14ac:dyDescent="0.25">
      <c r="A18" s="969" t="str">
        <f>IF(AND(Paramètres!$BL$2&gt;=B18,Paramètres!$BL$2&lt;B19),1,"")</f>
        <v/>
      </c>
      <c r="B18" s="239">
        <v>3000</v>
      </c>
      <c r="C18" s="195">
        <v>140000</v>
      </c>
      <c r="D18" s="801">
        <f>LEAGUES_Bonus[[#This Row],[Bonus d''Or]]</f>
        <v>140000</v>
      </c>
      <c r="E18" s="240">
        <v>900</v>
      </c>
      <c r="G18" s="253" t="str">
        <f>IF(AND('Combats - Loots'!$D$2&gt;=H18,'Combats - Loots'!$D$2&lt;H19),1,"")</f>
        <v/>
      </c>
      <c r="H18" s="239">
        <v>5</v>
      </c>
      <c r="I18" s="249">
        <v>2</v>
      </c>
    </row>
    <row r="19" spans="1:9" x14ac:dyDescent="0.25">
      <c r="A19" s="968" t="str">
        <f>IF(AND(Paramètres!$BL$2&gt;=B19,Paramètres!$BL$2&lt;B20),1,"")</f>
        <v/>
      </c>
      <c r="B19" s="239">
        <v>3200</v>
      </c>
      <c r="C19" s="195">
        <v>180000</v>
      </c>
      <c r="D19" s="801">
        <f>LEAGUES_Bonus[[#This Row],[Bonus d''Or]]</f>
        <v>180000</v>
      </c>
      <c r="E19" s="240">
        <v>1200</v>
      </c>
      <c r="G19" s="253" t="str">
        <f>IF(AND('Combats - Loots'!$D$2&gt;=H19,'Combats - Loots'!$D$2&lt;H20),1,"")</f>
        <v/>
      </c>
      <c r="H19" s="239">
        <v>6</v>
      </c>
      <c r="I19" s="249">
        <v>2</v>
      </c>
    </row>
    <row r="20" spans="1:9" ht="15.75" thickBot="1" x14ac:dyDescent="0.3">
      <c r="A20" s="253" t="str">
        <f>IF(AND(Paramètres!$BL$2&gt;=B20,Paramètres!$BL$2&lt;B23),1,"")</f>
        <v/>
      </c>
      <c r="B20" s="241">
        <v>3400</v>
      </c>
      <c r="C20" s="242" t="s">
        <v>118</v>
      </c>
      <c r="D20" s="801" t="str">
        <f>LEAGUES_Bonus[[#This Row],[Bonus d''Or]]</f>
        <v>/</v>
      </c>
      <c r="E20" s="243" t="s">
        <v>118</v>
      </c>
      <c r="G20" s="253">
        <f>IF(AND('Combats - Loots'!$D$2&gt;=H20,'Combats - Loots'!$D$2&lt;H21),1,"")</f>
        <v>1</v>
      </c>
      <c r="H20" s="239">
        <v>7</v>
      </c>
      <c r="I20" s="249">
        <v>2</v>
      </c>
    </row>
    <row r="21" spans="1:9" x14ac:dyDescent="0.25">
      <c r="A21" s="253" t="str">
        <f>IF(AND(Paramètres!$BL$2&gt;=B21,Paramètres!$BL$2&lt;B23),1,"")</f>
        <v/>
      </c>
      <c r="B21" s="970">
        <v>3800</v>
      </c>
      <c r="C21" s="971"/>
      <c r="D21" s="951"/>
      <c r="E21" s="972"/>
      <c r="G21" s="253" t="str">
        <f>IF(AND('Combats - Loots'!$D$2&gt;=H21,'Combats - Loots'!$D$2&lt;H22),1,"")</f>
        <v/>
      </c>
      <c r="H21" s="239">
        <v>8</v>
      </c>
      <c r="I21" s="249">
        <v>2</v>
      </c>
    </row>
    <row r="22" spans="1:9" x14ac:dyDescent="0.25">
      <c r="A22" s="253" t="str">
        <f>IF(AND(Paramètres!$BL$2&gt;=B22,Paramètres!$BL$2&lt;B23),1,"")</f>
        <v/>
      </c>
      <c r="B22" s="970">
        <v>4000</v>
      </c>
      <c r="C22" s="971"/>
      <c r="D22" s="951"/>
      <c r="E22" s="972"/>
      <c r="G22" s="253" t="str">
        <f>IF(AND('Combats - Loots'!$D$2&gt;=H22,'Combats - Loots'!$D$2&lt;H23),1,"")</f>
        <v/>
      </c>
      <c r="H22" s="239">
        <v>9</v>
      </c>
      <c r="I22" s="249">
        <v>2</v>
      </c>
    </row>
    <row r="23" spans="1:9" ht="15.75" thickBot="1" x14ac:dyDescent="0.3">
      <c r="G23" s="254" t="str">
        <f>IF(AND('Combats - Loots'!$D$2&gt;=H23,'Combats - Loots'!$D$2&lt;H24),1,"")</f>
        <v/>
      </c>
      <c r="H23" s="241">
        <v>10</v>
      </c>
      <c r="I23" s="250">
        <v>2</v>
      </c>
    </row>
  </sheetData>
  <sheetProtection selectLockedCells="1"/>
  <mergeCells count="3">
    <mergeCell ref="A1:E1"/>
    <mergeCell ref="G1:I1"/>
    <mergeCell ref="K1:L1"/>
  </mergeCells>
  <pageMargins left="0.7" right="0.7" top="0.75" bottom="0.75" header="0.3" footer="0.3"/>
  <pageSetup paperSize="9" orientation="portrait" r:id="rId1"/>
  <tableParts count="3">
    <tablePart r:id="rId2"/>
    <tablePart r:id="rId3"/>
    <tablePart r:id="rId4"/>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rgb="FFFF0000"/>
  </sheetPr>
  <dimension ref="A1:AN40"/>
  <sheetViews>
    <sheetView showGridLines="0" topLeftCell="M10" zoomScaleNormal="100" workbookViewId="0">
      <selection activeCell="AN36" sqref="AN36"/>
    </sheetView>
  </sheetViews>
  <sheetFormatPr baseColWidth="10" defaultColWidth="11.42578125" defaultRowHeight="11.25" x14ac:dyDescent="0.25"/>
  <cols>
    <col min="1" max="2" width="4.7109375" style="177" customWidth="1"/>
    <col min="3" max="3" width="5.7109375" style="177" customWidth="1"/>
    <col min="4" max="4" width="6.7109375" style="177" customWidth="1"/>
    <col min="5" max="6" width="4.7109375" style="177" customWidth="1"/>
    <col min="7" max="7" width="5.7109375" style="177" customWidth="1"/>
    <col min="8" max="8" width="6.7109375" style="177" customWidth="1"/>
    <col min="9" max="10" width="4.7109375" style="177" customWidth="1"/>
    <col min="11" max="11" width="5.7109375" style="177" customWidth="1"/>
    <col min="12" max="12" width="6.7109375" style="177" customWidth="1"/>
    <col min="13" max="14" width="4.7109375" style="177" customWidth="1"/>
    <col min="15" max="15" width="5.7109375" style="177" customWidth="1"/>
    <col min="16" max="16" width="6.7109375" style="177" customWidth="1"/>
    <col min="17" max="18" width="4.7109375" style="177" customWidth="1"/>
    <col min="19" max="19" width="5.7109375" style="177" customWidth="1"/>
    <col min="20" max="20" width="6.7109375" style="177" customWidth="1"/>
    <col min="21" max="22" width="4.7109375" style="177" customWidth="1"/>
    <col min="23" max="23" width="5.7109375" style="177" customWidth="1"/>
    <col min="24" max="24" width="6.7109375" style="177" customWidth="1"/>
    <col min="25" max="26" width="4.7109375" style="177" customWidth="1"/>
    <col min="27" max="27" width="5.7109375" style="177" customWidth="1"/>
    <col min="28" max="28" width="6.7109375" style="177" customWidth="1"/>
    <col min="29" max="30" width="4.7109375" style="177" customWidth="1"/>
    <col min="31" max="31" width="5.7109375" style="177" customWidth="1"/>
    <col min="32" max="32" width="6.7109375" style="177" customWidth="1"/>
    <col min="33" max="34" width="4.7109375" style="177" customWidth="1"/>
    <col min="35" max="35" width="5.7109375" style="177" customWidth="1"/>
    <col min="36" max="36" width="6.7109375" style="177" customWidth="1"/>
    <col min="37" max="38" width="4.7109375" style="177" customWidth="1"/>
    <col min="39" max="39" width="5.7109375" style="177" customWidth="1"/>
    <col min="40" max="40" width="6.7109375" style="177" customWidth="1"/>
    <col min="41" max="16384" width="11.42578125" style="177"/>
  </cols>
  <sheetData>
    <row r="1" spans="1:40" ht="30" customHeight="1" thickBot="1" x14ac:dyDescent="0.3">
      <c r="A1" s="1262" t="s">
        <v>717</v>
      </c>
      <c r="B1" s="1263"/>
      <c r="C1" s="1263"/>
      <c r="D1" s="1263"/>
      <c r="E1" s="1263"/>
      <c r="F1" s="1263"/>
      <c r="G1" s="1263"/>
      <c r="H1" s="1263"/>
      <c r="I1" s="1263"/>
      <c r="J1" s="1263"/>
      <c r="K1" s="1263"/>
      <c r="L1" s="1263"/>
      <c r="M1" s="1263"/>
      <c r="N1" s="1263"/>
      <c r="O1" s="1263"/>
      <c r="P1" s="1263"/>
      <c r="Q1" s="1263"/>
      <c r="R1" s="1263"/>
      <c r="S1" s="1263"/>
      <c r="T1" s="1264"/>
      <c r="Y1" s="1262" t="s">
        <v>717</v>
      </c>
      <c r="Z1" s="1263"/>
      <c r="AA1" s="1263"/>
      <c r="AB1" s="1263"/>
      <c r="AC1" s="1263"/>
      <c r="AD1" s="1263"/>
      <c r="AE1" s="1263"/>
      <c r="AF1" s="1263"/>
      <c r="AG1" s="1263"/>
      <c r="AH1" s="1263"/>
      <c r="AI1" s="1263"/>
      <c r="AJ1" s="1263"/>
    </row>
    <row r="2" spans="1:40" ht="20.100000000000001" customHeight="1" thickBot="1" x14ac:dyDescent="0.3">
      <c r="A2" s="1301" t="s">
        <v>247</v>
      </c>
      <c r="B2" s="1302"/>
      <c r="C2" s="1302"/>
      <c r="D2" s="1302"/>
      <c r="E2" s="1302"/>
      <c r="F2" s="1302"/>
      <c r="G2" s="1302"/>
      <c r="H2" s="1302"/>
      <c r="I2" s="1302"/>
      <c r="J2" s="1302"/>
      <c r="K2" s="1302"/>
      <c r="L2" s="1302"/>
      <c r="M2" s="1302"/>
      <c r="N2" s="1302"/>
      <c r="O2" s="1302"/>
      <c r="P2" s="1302"/>
      <c r="Q2" s="1302"/>
      <c r="R2" s="1302"/>
      <c r="S2" s="1302"/>
      <c r="T2" s="1303"/>
      <c r="Y2" s="1318" t="s">
        <v>247</v>
      </c>
      <c r="Z2" s="1319"/>
      <c r="AA2" s="1319"/>
      <c r="AB2" s="1319"/>
      <c r="AC2" s="1319"/>
      <c r="AD2" s="1319"/>
      <c r="AE2" s="1319"/>
      <c r="AF2" s="1319"/>
      <c r="AG2" s="1319"/>
      <c r="AH2" s="1319"/>
      <c r="AI2" s="1319"/>
      <c r="AJ2" s="1319"/>
    </row>
    <row r="3" spans="1:40" ht="12" customHeight="1" thickBot="1" x14ac:dyDescent="0.3">
      <c r="A3" s="1306" t="s">
        <v>190</v>
      </c>
      <c r="B3" s="1307"/>
      <c r="C3" s="1307"/>
      <c r="D3" s="1308"/>
      <c r="E3" s="1306" t="s">
        <v>191</v>
      </c>
      <c r="F3" s="1307"/>
      <c r="G3" s="1307"/>
      <c r="H3" s="1308"/>
      <c r="I3" s="1306" t="s">
        <v>192</v>
      </c>
      <c r="J3" s="1307"/>
      <c r="K3" s="1307"/>
      <c r="L3" s="1308"/>
      <c r="M3" s="1306" t="s">
        <v>193</v>
      </c>
      <c r="N3" s="1307"/>
      <c r="O3" s="1307"/>
      <c r="P3" s="1308"/>
      <c r="Q3" s="1306" t="s">
        <v>194</v>
      </c>
      <c r="R3" s="1307"/>
      <c r="S3" s="1307"/>
      <c r="T3" s="1308"/>
      <c r="Y3" s="1306" t="str">
        <f>Paramètres!AL2</f>
        <v>Sort de Poison</v>
      </c>
      <c r="Z3" s="1307"/>
      <c r="AA3" s="1307"/>
      <c r="AB3" s="1308"/>
      <c r="AC3" s="1306" t="str">
        <f>Paramètres!AM2</f>
        <v>Tremblement de terre</v>
      </c>
      <c r="AD3" s="1307"/>
      <c r="AE3" s="1307"/>
      <c r="AF3" s="1308"/>
      <c r="AG3" s="1306" t="str">
        <f>Paramètres!AN2</f>
        <v>Sort de Hâte</v>
      </c>
      <c r="AH3" s="1307"/>
      <c r="AI3" s="1307"/>
      <c r="AJ3" s="1308"/>
    </row>
    <row r="4" spans="1:40" ht="23.25" thickBot="1" x14ac:dyDescent="0.3">
      <c r="A4" s="186" t="s">
        <v>17</v>
      </c>
      <c r="B4" s="187" t="s">
        <v>391</v>
      </c>
      <c r="C4" s="304" t="s">
        <v>258</v>
      </c>
      <c r="D4" s="188" t="s">
        <v>259</v>
      </c>
      <c r="E4" s="186" t="s">
        <v>17</v>
      </c>
      <c r="F4" s="187" t="s">
        <v>391</v>
      </c>
      <c r="G4" s="304" t="s">
        <v>258</v>
      </c>
      <c r="H4" s="188" t="s">
        <v>259</v>
      </c>
      <c r="I4" s="186" t="s">
        <v>17</v>
      </c>
      <c r="J4" s="187" t="s">
        <v>391</v>
      </c>
      <c r="K4" s="304" t="s">
        <v>258</v>
      </c>
      <c r="L4" s="188" t="s">
        <v>259</v>
      </c>
      <c r="M4" s="186" t="s">
        <v>17</v>
      </c>
      <c r="N4" s="187" t="s">
        <v>391</v>
      </c>
      <c r="O4" s="304" t="s">
        <v>258</v>
      </c>
      <c r="P4" s="188" t="s">
        <v>259</v>
      </c>
      <c r="Q4" s="202" t="s">
        <v>17</v>
      </c>
      <c r="R4" s="541" t="s">
        <v>391</v>
      </c>
      <c r="S4" s="542" t="s">
        <v>258</v>
      </c>
      <c r="T4" s="543" t="s">
        <v>259</v>
      </c>
      <c r="Y4" s="186" t="s">
        <v>17</v>
      </c>
      <c r="Z4" s="187" t="s">
        <v>391</v>
      </c>
      <c r="AA4" s="304" t="s">
        <v>258</v>
      </c>
      <c r="AB4" s="188" t="s">
        <v>259</v>
      </c>
      <c r="AC4" s="186" t="s">
        <v>17</v>
      </c>
      <c r="AD4" s="187" t="s">
        <v>391</v>
      </c>
      <c r="AE4" s="304" t="s">
        <v>258</v>
      </c>
      <c r="AF4" s="188" t="s">
        <v>259</v>
      </c>
      <c r="AG4" s="186" t="s">
        <v>17</v>
      </c>
      <c r="AH4" s="187" t="s">
        <v>391</v>
      </c>
      <c r="AI4" s="304" t="s">
        <v>258</v>
      </c>
      <c r="AJ4" s="188" t="s">
        <v>259</v>
      </c>
    </row>
    <row r="5" spans="1:40" x14ac:dyDescent="0.25">
      <c r="A5" s="166">
        <v>1</v>
      </c>
      <c r="B5" s="307">
        <v>2</v>
      </c>
      <c r="C5" s="463">
        <v>15000</v>
      </c>
      <c r="D5" s="192">
        <v>1200</v>
      </c>
      <c r="E5" s="166">
        <v>1</v>
      </c>
      <c r="F5" s="307">
        <v>2</v>
      </c>
      <c r="G5" s="463">
        <v>15000</v>
      </c>
      <c r="H5" s="192">
        <v>1200</v>
      </c>
      <c r="I5" s="166">
        <v>1</v>
      </c>
      <c r="J5" s="307">
        <v>2</v>
      </c>
      <c r="K5" s="463">
        <v>23000</v>
      </c>
      <c r="L5" s="192">
        <v>1800</v>
      </c>
      <c r="M5" s="166">
        <v>1</v>
      </c>
      <c r="N5" s="307">
        <v>2</v>
      </c>
      <c r="O5" s="463">
        <v>23000</v>
      </c>
      <c r="P5" s="192">
        <v>1800</v>
      </c>
      <c r="Q5" s="961">
        <v>1</v>
      </c>
      <c r="R5" s="776">
        <v>2</v>
      </c>
      <c r="S5" s="952">
        <v>26000</v>
      </c>
      <c r="T5" s="199">
        <v>1800</v>
      </c>
      <c r="Y5" s="166">
        <v>1</v>
      </c>
      <c r="Z5" s="307">
        <v>1</v>
      </c>
      <c r="AA5" s="305">
        <v>95</v>
      </c>
      <c r="AB5" s="192">
        <v>900</v>
      </c>
      <c r="AC5" s="166">
        <v>1</v>
      </c>
      <c r="AD5" s="307">
        <v>1</v>
      </c>
      <c r="AE5" s="305">
        <v>15000</v>
      </c>
      <c r="AF5" s="192">
        <v>1800</v>
      </c>
      <c r="AG5" s="166">
        <v>1</v>
      </c>
      <c r="AH5" s="307">
        <v>1</v>
      </c>
      <c r="AI5" s="305">
        <v>23000</v>
      </c>
      <c r="AJ5" s="192">
        <v>2700</v>
      </c>
    </row>
    <row r="6" spans="1:40" x14ac:dyDescent="0.25">
      <c r="A6" s="7">
        <v>2</v>
      </c>
      <c r="B6" s="308">
        <v>2</v>
      </c>
      <c r="C6" s="463">
        <v>16500</v>
      </c>
      <c r="D6" s="192">
        <v>1200</v>
      </c>
      <c r="E6" s="7">
        <v>2</v>
      </c>
      <c r="F6" s="308">
        <v>2</v>
      </c>
      <c r="G6" s="463">
        <v>16500</v>
      </c>
      <c r="H6" s="192">
        <v>1200</v>
      </c>
      <c r="I6" s="7">
        <v>2</v>
      </c>
      <c r="J6" s="308">
        <v>2</v>
      </c>
      <c r="K6" s="463">
        <v>25000</v>
      </c>
      <c r="L6" s="192">
        <v>1800</v>
      </c>
      <c r="M6" s="7">
        <v>2</v>
      </c>
      <c r="N6" s="308">
        <v>2</v>
      </c>
      <c r="O6" s="748">
        <v>27000</v>
      </c>
      <c r="P6" s="194">
        <v>1800</v>
      </c>
      <c r="Q6" s="561">
        <v>2</v>
      </c>
      <c r="R6" s="775">
        <v>2</v>
      </c>
      <c r="S6" s="953">
        <v>29000</v>
      </c>
      <c r="T6" s="200">
        <v>1800</v>
      </c>
      <c r="Y6" s="7">
        <v>2</v>
      </c>
      <c r="Z6" s="308">
        <v>1</v>
      </c>
      <c r="AA6" s="305">
        <v>110</v>
      </c>
      <c r="AB6" s="192">
        <v>900</v>
      </c>
      <c r="AC6" s="7">
        <v>2</v>
      </c>
      <c r="AD6" s="308">
        <v>1</v>
      </c>
      <c r="AE6" s="305">
        <v>16500</v>
      </c>
      <c r="AF6" s="194">
        <v>1800</v>
      </c>
      <c r="AG6" s="7">
        <v>2</v>
      </c>
      <c r="AH6" s="308">
        <v>1</v>
      </c>
      <c r="AI6" s="305">
        <v>25000</v>
      </c>
      <c r="AJ6" s="194">
        <v>2700</v>
      </c>
    </row>
    <row r="7" spans="1:40" ht="12" thickBot="1" x14ac:dyDescent="0.3">
      <c r="A7" s="7">
        <v>3</v>
      </c>
      <c r="B7" s="308">
        <v>2</v>
      </c>
      <c r="C7" s="463">
        <v>18000</v>
      </c>
      <c r="D7" s="192">
        <v>1200</v>
      </c>
      <c r="E7" s="7">
        <v>3</v>
      </c>
      <c r="F7" s="308">
        <v>2</v>
      </c>
      <c r="G7" s="463">
        <v>18000</v>
      </c>
      <c r="H7" s="192">
        <v>1200</v>
      </c>
      <c r="I7" s="7">
        <v>3</v>
      </c>
      <c r="J7" s="308">
        <v>2</v>
      </c>
      <c r="K7" s="463">
        <v>27000</v>
      </c>
      <c r="L7" s="192">
        <v>1800</v>
      </c>
      <c r="M7" s="8">
        <v>3</v>
      </c>
      <c r="N7" s="781">
        <v>2</v>
      </c>
      <c r="O7" s="746">
        <v>31000</v>
      </c>
      <c r="P7" s="783">
        <v>1800</v>
      </c>
      <c r="Q7" s="561">
        <v>3</v>
      </c>
      <c r="R7" s="775">
        <v>2</v>
      </c>
      <c r="S7" s="953">
        <v>31000</v>
      </c>
      <c r="T7" s="200">
        <v>1800</v>
      </c>
      <c r="Y7" s="7">
        <v>3</v>
      </c>
      <c r="Z7" s="308">
        <v>1</v>
      </c>
      <c r="AA7" s="305">
        <v>125</v>
      </c>
      <c r="AB7" s="192">
        <v>900</v>
      </c>
      <c r="AC7" s="7">
        <v>3</v>
      </c>
      <c r="AD7" s="308">
        <v>1</v>
      </c>
      <c r="AE7" s="305">
        <v>18000</v>
      </c>
      <c r="AF7" s="194">
        <v>1800</v>
      </c>
      <c r="AG7" s="7">
        <v>3</v>
      </c>
      <c r="AH7" s="308">
        <v>1</v>
      </c>
      <c r="AI7" s="305">
        <v>27000</v>
      </c>
      <c r="AJ7" s="194">
        <v>2700</v>
      </c>
    </row>
    <row r="8" spans="1:40" ht="12" thickBot="1" x14ac:dyDescent="0.3">
      <c r="A8" s="7">
        <v>4</v>
      </c>
      <c r="B8" s="308">
        <v>2</v>
      </c>
      <c r="C8" s="463">
        <v>20000</v>
      </c>
      <c r="D8" s="192">
        <v>1200</v>
      </c>
      <c r="E8" s="7">
        <v>4</v>
      </c>
      <c r="F8" s="308">
        <v>2</v>
      </c>
      <c r="G8" s="463">
        <v>20000</v>
      </c>
      <c r="H8" s="192">
        <v>1200</v>
      </c>
      <c r="I8" s="7">
        <v>4</v>
      </c>
      <c r="J8" s="308">
        <v>2</v>
      </c>
      <c r="K8" s="463">
        <v>30000</v>
      </c>
      <c r="L8" s="192">
        <v>1800</v>
      </c>
      <c r="Q8" s="561">
        <v>4</v>
      </c>
      <c r="R8" s="775">
        <v>2</v>
      </c>
      <c r="S8" s="953">
        <v>33000</v>
      </c>
      <c r="T8" s="200">
        <v>1800</v>
      </c>
      <c r="Y8" s="8">
        <v>6</v>
      </c>
      <c r="Z8" s="309">
        <v>1</v>
      </c>
      <c r="AA8" s="305">
        <v>140</v>
      </c>
      <c r="AB8" s="192">
        <v>900</v>
      </c>
      <c r="AC8" s="7">
        <v>4</v>
      </c>
      <c r="AD8" s="308">
        <v>1</v>
      </c>
      <c r="AE8" s="305">
        <v>20000</v>
      </c>
      <c r="AF8" s="194">
        <v>1800</v>
      </c>
      <c r="AG8" s="7">
        <v>4</v>
      </c>
      <c r="AH8" s="308">
        <v>1</v>
      </c>
      <c r="AI8" s="305">
        <v>30000</v>
      </c>
      <c r="AJ8" s="194">
        <v>2700</v>
      </c>
    </row>
    <row r="9" spans="1:40" ht="12" thickBot="1" x14ac:dyDescent="0.3">
      <c r="A9" s="7">
        <v>5</v>
      </c>
      <c r="B9" s="308">
        <v>2</v>
      </c>
      <c r="C9" s="463">
        <v>22000</v>
      </c>
      <c r="D9" s="192">
        <v>1200</v>
      </c>
      <c r="E9" s="7">
        <v>5</v>
      </c>
      <c r="F9" s="308">
        <v>2</v>
      </c>
      <c r="G9" s="463">
        <v>22000</v>
      </c>
      <c r="H9" s="192">
        <v>1200</v>
      </c>
      <c r="I9" s="8">
        <v>5</v>
      </c>
      <c r="J9" s="309">
        <v>2</v>
      </c>
      <c r="K9" s="463">
        <v>33000</v>
      </c>
      <c r="L9" s="192">
        <v>1800</v>
      </c>
      <c r="Q9" s="568">
        <v>5</v>
      </c>
      <c r="R9" s="777">
        <v>2</v>
      </c>
      <c r="S9" s="954">
        <v>35000</v>
      </c>
      <c r="T9" s="539">
        <v>1800</v>
      </c>
    </row>
    <row r="10" spans="1:40" ht="12" thickBot="1" x14ac:dyDescent="0.3">
      <c r="A10" s="8">
        <v>6</v>
      </c>
      <c r="B10" s="309">
        <v>2</v>
      </c>
      <c r="C10" s="463">
        <v>24000</v>
      </c>
      <c r="D10" s="192">
        <v>1200</v>
      </c>
      <c r="E10" s="8">
        <v>6</v>
      </c>
      <c r="F10" s="309">
        <v>2</v>
      </c>
      <c r="G10" s="463">
        <v>24000</v>
      </c>
      <c r="H10" s="192">
        <v>1200</v>
      </c>
    </row>
    <row r="11" spans="1:40" ht="12" customHeight="1" x14ac:dyDescent="0.25"/>
    <row r="12" spans="1:40" ht="12" customHeight="1" thickBot="1" x14ac:dyDescent="0.3"/>
    <row r="13" spans="1:40" ht="30" customHeight="1" thickBot="1" x14ac:dyDescent="0.3">
      <c r="A13" s="1262" t="s">
        <v>390</v>
      </c>
      <c r="B13" s="1263"/>
      <c r="C13" s="1263"/>
      <c r="D13" s="1263"/>
      <c r="E13" s="1263"/>
      <c r="F13" s="1263"/>
      <c r="G13" s="1263"/>
      <c r="H13" s="1263"/>
      <c r="I13" s="1263"/>
      <c r="J13" s="1263"/>
      <c r="K13" s="1263"/>
      <c r="L13" s="1263"/>
      <c r="M13" s="1263"/>
      <c r="N13" s="1263"/>
      <c r="O13" s="1263"/>
      <c r="P13" s="1263"/>
      <c r="Q13" s="1263"/>
      <c r="R13" s="1263"/>
      <c r="S13" s="1263"/>
      <c r="T13" s="1263"/>
      <c r="U13" s="1263"/>
      <c r="V13" s="1263"/>
      <c r="W13" s="1263"/>
      <c r="X13" s="1263"/>
      <c r="Y13" s="1263"/>
      <c r="Z13" s="1263"/>
      <c r="AA13" s="1263"/>
      <c r="AB13" s="1263"/>
      <c r="AC13" s="1263"/>
      <c r="AD13" s="1263"/>
      <c r="AE13" s="1263"/>
      <c r="AF13" s="1263"/>
      <c r="AG13" s="1263"/>
      <c r="AH13" s="1263"/>
      <c r="AI13" s="1263"/>
      <c r="AJ13" s="1263"/>
      <c r="AK13" s="1263"/>
      <c r="AL13" s="1263"/>
      <c r="AM13" s="1263"/>
      <c r="AN13" s="1264"/>
    </row>
    <row r="14" spans="1:40" ht="20.100000000000001" customHeight="1" thickBot="1" x14ac:dyDescent="0.3">
      <c r="A14" s="1301" t="s">
        <v>247</v>
      </c>
      <c r="B14" s="1302"/>
      <c r="C14" s="1302"/>
      <c r="D14" s="1302"/>
      <c r="E14" s="1302"/>
      <c r="F14" s="1302"/>
      <c r="G14" s="1302"/>
      <c r="H14" s="1302"/>
      <c r="I14" s="1302"/>
      <c r="J14" s="1302"/>
      <c r="K14" s="1302"/>
      <c r="L14" s="1302"/>
      <c r="M14" s="1302"/>
      <c r="N14" s="1302"/>
      <c r="O14" s="1302"/>
      <c r="P14" s="1302"/>
      <c r="Q14" s="1302"/>
      <c r="R14" s="1302"/>
      <c r="S14" s="1302"/>
      <c r="T14" s="1302"/>
      <c r="U14" s="1302"/>
      <c r="V14" s="1302"/>
      <c r="W14" s="1302"/>
      <c r="X14" s="1302"/>
      <c r="Y14" s="1302"/>
      <c r="Z14" s="1302"/>
      <c r="AA14" s="1302"/>
      <c r="AB14" s="1302"/>
      <c r="AC14" s="1302"/>
      <c r="AD14" s="1302"/>
      <c r="AE14" s="1302"/>
      <c r="AF14" s="1302"/>
      <c r="AG14" s="1302"/>
      <c r="AH14" s="1302"/>
      <c r="AI14" s="1302"/>
      <c r="AJ14" s="1302"/>
      <c r="AK14" s="1302"/>
      <c r="AL14" s="1302"/>
      <c r="AM14" s="1302"/>
      <c r="AN14" s="1303"/>
    </row>
    <row r="15" spans="1:40" ht="15.75" customHeight="1" thickBot="1" x14ac:dyDescent="0.3">
      <c r="A15" s="1306" t="s">
        <v>195</v>
      </c>
      <c r="B15" s="1307"/>
      <c r="C15" s="1307"/>
      <c r="D15" s="1308"/>
      <c r="E15" s="1306" t="s">
        <v>50</v>
      </c>
      <c r="F15" s="1307"/>
      <c r="G15" s="1307"/>
      <c r="H15" s="1308"/>
      <c r="I15" s="1306" t="s">
        <v>189</v>
      </c>
      <c r="J15" s="1307"/>
      <c r="K15" s="1307"/>
      <c r="L15" s="1308"/>
      <c r="M15" s="1306" t="s">
        <v>188</v>
      </c>
      <c r="N15" s="1307"/>
      <c r="O15" s="1307"/>
      <c r="P15" s="1308"/>
      <c r="Q15" s="1306" t="s">
        <v>187</v>
      </c>
      <c r="R15" s="1307"/>
      <c r="S15" s="1307"/>
      <c r="T15" s="1308"/>
      <c r="U15" s="1306" t="s">
        <v>186</v>
      </c>
      <c r="V15" s="1307"/>
      <c r="W15" s="1307"/>
      <c r="X15" s="1308"/>
      <c r="Y15" s="1306" t="s">
        <v>185</v>
      </c>
      <c r="Z15" s="1307"/>
      <c r="AA15" s="1307"/>
      <c r="AB15" s="1308"/>
      <c r="AC15" s="1306" t="s">
        <v>184</v>
      </c>
      <c r="AD15" s="1307"/>
      <c r="AE15" s="1307"/>
      <c r="AF15" s="1308"/>
      <c r="AG15" s="1306" t="s">
        <v>57</v>
      </c>
      <c r="AH15" s="1307"/>
      <c r="AI15" s="1307"/>
      <c r="AJ15" s="1308"/>
      <c r="AK15" s="1306" t="s">
        <v>58</v>
      </c>
      <c r="AL15" s="1307"/>
      <c r="AM15" s="1307"/>
      <c r="AN15" s="1308"/>
    </row>
    <row r="16" spans="1:40" ht="23.25" thickBot="1" x14ac:dyDescent="0.3">
      <c r="A16" s="202" t="s">
        <v>17</v>
      </c>
      <c r="B16" s="541" t="s">
        <v>391</v>
      </c>
      <c r="C16" s="542" t="s">
        <v>258</v>
      </c>
      <c r="D16" s="543" t="s">
        <v>259</v>
      </c>
      <c r="E16" s="202" t="s">
        <v>17</v>
      </c>
      <c r="F16" s="541" t="s">
        <v>391</v>
      </c>
      <c r="G16" s="542" t="s">
        <v>258</v>
      </c>
      <c r="H16" s="543" t="s">
        <v>259</v>
      </c>
      <c r="I16" s="202" t="s">
        <v>17</v>
      </c>
      <c r="J16" s="541" t="s">
        <v>391</v>
      </c>
      <c r="K16" s="542" t="s">
        <v>258</v>
      </c>
      <c r="L16" s="543" t="s">
        <v>259</v>
      </c>
      <c r="M16" s="202" t="s">
        <v>17</v>
      </c>
      <c r="N16" s="541" t="s">
        <v>391</v>
      </c>
      <c r="O16" s="542" t="s">
        <v>258</v>
      </c>
      <c r="P16" s="543" t="s">
        <v>259</v>
      </c>
      <c r="Q16" s="202" t="s">
        <v>17</v>
      </c>
      <c r="R16" s="541" t="s">
        <v>391</v>
      </c>
      <c r="S16" s="542" t="s">
        <v>258</v>
      </c>
      <c r="T16" s="543" t="s">
        <v>259</v>
      </c>
      <c r="U16" s="186" t="s">
        <v>17</v>
      </c>
      <c r="V16" s="187" t="s">
        <v>391</v>
      </c>
      <c r="W16" s="304" t="s">
        <v>258</v>
      </c>
      <c r="X16" s="188" t="s">
        <v>259</v>
      </c>
      <c r="Y16" s="186" t="s">
        <v>17</v>
      </c>
      <c r="Z16" s="187" t="s">
        <v>391</v>
      </c>
      <c r="AA16" s="304" t="s">
        <v>258</v>
      </c>
      <c r="AB16" s="188" t="s">
        <v>259</v>
      </c>
      <c r="AC16" s="186" t="s">
        <v>17</v>
      </c>
      <c r="AD16" s="187" t="s">
        <v>391</v>
      </c>
      <c r="AE16" s="304" t="s">
        <v>258</v>
      </c>
      <c r="AF16" s="188" t="s">
        <v>259</v>
      </c>
      <c r="AG16" s="186" t="s">
        <v>17</v>
      </c>
      <c r="AH16" s="187" t="s">
        <v>391</v>
      </c>
      <c r="AI16" s="304" t="s">
        <v>258</v>
      </c>
      <c r="AJ16" s="188" t="s">
        <v>259</v>
      </c>
      <c r="AK16" s="202" t="s">
        <v>17</v>
      </c>
      <c r="AL16" s="541" t="s">
        <v>391</v>
      </c>
      <c r="AM16" s="542" t="s">
        <v>258</v>
      </c>
      <c r="AN16" s="543" t="s">
        <v>259</v>
      </c>
    </row>
    <row r="17" spans="1:40" x14ac:dyDescent="0.25">
      <c r="A17" s="749">
        <v>1</v>
      </c>
      <c r="B17" s="776">
        <v>1</v>
      </c>
      <c r="C17" s="747">
        <v>25</v>
      </c>
      <c r="D17" s="199">
        <v>20</v>
      </c>
      <c r="E17" s="749">
        <v>1</v>
      </c>
      <c r="F17" s="776">
        <v>1</v>
      </c>
      <c r="G17" s="747">
        <v>50</v>
      </c>
      <c r="H17" s="199">
        <v>25</v>
      </c>
      <c r="I17" s="749">
        <v>1</v>
      </c>
      <c r="J17" s="776">
        <v>1</v>
      </c>
      <c r="K17" s="747">
        <v>25</v>
      </c>
      <c r="L17" s="778">
        <v>30</v>
      </c>
      <c r="M17" s="749">
        <v>1</v>
      </c>
      <c r="N17" s="776">
        <v>5</v>
      </c>
      <c r="O17" s="747">
        <v>250</v>
      </c>
      <c r="P17" s="199">
        <v>120</v>
      </c>
      <c r="Q17" s="538">
        <v>1</v>
      </c>
      <c r="R17" s="544">
        <v>2</v>
      </c>
      <c r="S17" s="527">
        <v>1000</v>
      </c>
      <c r="T17" s="199">
        <v>120</v>
      </c>
      <c r="U17" s="12">
        <v>1</v>
      </c>
      <c r="V17" s="307">
        <v>5</v>
      </c>
      <c r="W17" s="463">
        <v>2000</v>
      </c>
      <c r="X17" s="192">
        <v>480</v>
      </c>
      <c r="Y17" s="166">
        <v>1</v>
      </c>
      <c r="Z17" s="307">
        <v>4</v>
      </c>
      <c r="AA17" s="463">
        <v>1500</v>
      </c>
      <c r="AB17" s="192">
        <v>480</v>
      </c>
      <c r="AC17" s="166">
        <v>1</v>
      </c>
      <c r="AD17" s="307">
        <v>14</v>
      </c>
      <c r="AE17" s="463">
        <v>5000</v>
      </c>
      <c r="AF17" s="192">
        <v>900</v>
      </c>
      <c r="AG17" s="52">
        <v>1</v>
      </c>
      <c r="AH17" s="307">
        <v>20</v>
      </c>
      <c r="AI17" s="463">
        <v>25000</v>
      </c>
      <c r="AJ17" s="192">
        <v>1800</v>
      </c>
      <c r="AK17" s="829">
        <v>1</v>
      </c>
      <c r="AL17" s="776">
        <v>25</v>
      </c>
      <c r="AM17" s="825">
        <v>28000</v>
      </c>
      <c r="AN17" s="199">
        <v>2700</v>
      </c>
    </row>
    <row r="18" spans="1:40" x14ac:dyDescent="0.25">
      <c r="A18" s="561">
        <v>2</v>
      </c>
      <c r="B18" s="775">
        <v>1</v>
      </c>
      <c r="C18" s="748">
        <v>40</v>
      </c>
      <c r="D18" s="200">
        <v>20</v>
      </c>
      <c r="E18" s="561">
        <v>2</v>
      </c>
      <c r="F18" s="775">
        <v>1</v>
      </c>
      <c r="G18" s="748">
        <v>80</v>
      </c>
      <c r="H18" s="200">
        <v>25</v>
      </c>
      <c r="I18" s="561">
        <v>2</v>
      </c>
      <c r="J18" s="775">
        <v>1</v>
      </c>
      <c r="K18" s="748">
        <v>40</v>
      </c>
      <c r="L18" s="194">
        <v>30</v>
      </c>
      <c r="M18" s="561">
        <v>2</v>
      </c>
      <c r="N18" s="775">
        <v>5</v>
      </c>
      <c r="O18" s="748">
        <v>750</v>
      </c>
      <c r="P18" s="200">
        <v>120</v>
      </c>
      <c r="Q18" s="13">
        <v>2</v>
      </c>
      <c r="R18" s="308">
        <v>2</v>
      </c>
      <c r="S18" s="528">
        <v>1500</v>
      </c>
      <c r="T18" s="200">
        <v>120</v>
      </c>
      <c r="U18" s="13">
        <v>2</v>
      </c>
      <c r="V18" s="308">
        <v>5</v>
      </c>
      <c r="W18" s="447">
        <v>2500</v>
      </c>
      <c r="X18" s="194">
        <v>480</v>
      </c>
      <c r="Y18" s="7">
        <v>2</v>
      </c>
      <c r="Z18" s="308">
        <v>4</v>
      </c>
      <c r="AA18" s="447">
        <v>2000</v>
      </c>
      <c r="AB18" s="194">
        <v>480</v>
      </c>
      <c r="AC18" s="7">
        <v>2</v>
      </c>
      <c r="AD18" s="308">
        <v>14</v>
      </c>
      <c r="AE18" s="447">
        <v>6000</v>
      </c>
      <c r="AF18" s="194">
        <v>900</v>
      </c>
      <c r="AG18" s="7">
        <v>2</v>
      </c>
      <c r="AH18" s="308">
        <v>20</v>
      </c>
      <c r="AI18" s="447">
        <v>29000</v>
      </c>
      <c r="AJ18" s="194">
        <v>1800</v>
      </c>
      <c r="AK18" s="561">
        <v>2</v>
      </c>
      <c r="AL18" s="775">
        <v>25</v>
      </c>
      <c r="AM18" s="826">
        <v>35000</v>
      </c>
      <c r="AN18" s="200">
        <v>2700</v>
      </c>
    </row>
    <row r="19" spans="1:40" x14ac:dyDescent="0.25">
      <c r="A19" s="561">
        <v>3</v>
      </c>
      <c r="B19" s="775">
        <v>1</v>
      </c>
      <c r="C19" s="748">
        <v>60</v>
      </c>
      <c r="D19" s="200">
        <v>20</v>
      </c>
      <c r="E19" s="561">
        <v>3</v>
      </c>
      <c r="F19" s="775">
        <v>1</v>
      </c>
      <c r="G19" s="748">
        <v>120</v>
      </c>
      <c r="H19" s="200">
        <v>25</v>
      </c>
      <c r="I19" s="561">
        <v>3</v>
      </c>
      <c r="J19" s="775">
        <v>1</v>
      </c>
      <c r="K19" s="748">
        <v>60</v>
      </c>
      <c r="L19" s="194">
        <v>30</v>
      </c>
      <c r="M19" s="561">
        <v>3</v>
      </c>
      <c r="N19" s="775">
        <v>5</v>
      </c>
      <c r="O19" s="748">
        <v>1250</v>
      </c>
      <c r="P19" s="200">
        <v>120</v>
      </c>
      <c r="Q19" s="13">
        <v>3</v>
      </c>
      <c r="R19" s="308">
        <v>2</v>
      </c>
      <c r="S19" s="528">
        <v>2000</v>
      </c>
      <c r="T19" s="200">
        <v>120</v>
      </c>
      <c r="U19" s="13">
        <v>3</v>
      </c>
      <c r="V19" s="308">
        <v>5</v>
      </c>
      <c r="W19" s="447">
        <v>3000</v>
      </c>
      <c r="X19" s="194">
        <v>480</v>
      </c>
      <c r="Y19" s="7">
        <v>3</v>
      </c>
      <c r="Z19" s="308">
        <v>4</v>
      </c>
      <c r="AA19" s="447">
        <v>2500</v>
      </c>
      <c r="AB19" s="194">
        <v>480</v>
      </c>
      <c r="AC19" s="7">
        <v>3</v>
      </c>
      <c r="AD19" s="308">
        <v>14</v>
      </c>
      <c r="AE19" s="447">
        <v>8000</v>
      </c>
      <c r="AF19" s="194">
        <v>900</v>
      </c>
      <c r="AG19" s="7">
        <v>3</v>
      </c>
      <c r="AH19" s="308">
        <v>20</v>
      </c>
      <c r="AI19" s="447">
        <v>33000</v>
      </c>
      <c r="AJ19" s="194">
        <v>1800</v>
      </c>
      <c r="AK19" s="561">
        <v>3</v>
      </c>
      <c r="AL19" s="775">
        <v>25</v>
      </c>
      <c r="AM19" s="826">
        <v>36000</v>
      </c>
      <c r="AN19" s="200">
        <v>2700</v>
      </c>
    </row>
    <row r="20" spans="1:40" ht="12" thickBot="1" x14ac:dyDescent="0.3">
      <c r="A20" s="561">
        <v>4</v>
      </c>
      <c r="B20" s="775">
        <v>1</v>
      </c>
      <c r="C20" s="748">
        <v>100</v>
      </c>
      <c r="D20" s="200">
        <v>20</v>
      </c>
      <c r="E20" s="561">
        <v>4</v>
      </c>
      <c r="F20" s="775">
        <v>1</v>
      </c>
      <c r="G20" s="748">
        <v>160</v>
      </c>
      <c r="H20" s="200">
        <v>25</v>
      </c>
      <c r="I20" s="561">
        <v>4</v>
      </c>
      <c r="J20" s="775">
        <v>1</v>
      </c>
      <c r="K20" s="748">
        <v>80</v>
      </c>
      <c r="L20" s="194">
        <v>30</v>
      </c>
      <c r="M20" s="561">
        <v>4</v>
      </c>
      <c r="N20" s="775">
        <v>5</v>
      </c>
      <c r="O20" s="748">
        <v>1750</v>
      </c>
      <c r="P20" s="200">
        <v>120</v>
      </c>
      <c r="Q20" s="13">
        <v>4</v>
      </c>
      <c r="R20" s="308">
        <v>2</v>
      </c>
      <c r="S20" s="528">
        <v>2500</v>
      </c>
      <c r="T20" s="200">
        <v>120</v>
      </c>
      <c r="U20" s="13">
        <v>4</v>
      </c>
      <c r="V20" s="308">
        <v>5</v>
      </c>
      <c r="W20" s="447">
        <v>3500</v>
      </c>
      <c r="X20" s="194">
        <v>480</v>
      </c>
      <c r="Y20" s="7">
        <v>4</v>
      </c>
      <c r="Z20" s="308">
        <v>4</v>
      </c>
      <c r="AA20" s="447">
        <v>3000</v>
      </c>
      <c r="AB20" s="194">
        <v>480</v>
      </c>
      <c r="AC20" s="8">
        <v>4</v>
      </c>
      <c r="AD20" s="309">
        <v>14</v>
      </c>
      <c r="AE20" s="460">
        <v>10000</v>
      </c>
      <c r="AF20" s="196">
        <v>900</v>
      </c>
      <c r="AG20" s="8">
        <v>4</v>
      </c>
      <c r="AH20" s="309">
        <v>20</v>
      </c>
      <c r="AI20" s="460">
        <v>37000</v>
      </c>
      <c r="AJ20" s="196">
        <v>1800</v>
      </c>
      <c r="AK20" s="561">
        <v>4</v>
      </c>
      <c r="AL20" s="775">
        <v>25</v>
      </c>
      <c r="AM20" s="826">
        <v>40000</v>
      </c>
      <c r="AN20" s="200">
        <v>2700</v>
      </c>
    </row>
    <row r="21" spans="1:40" ht="12" thickBot="1" x14ac:dyDescent="0.3">
      <c r="A21" s="561">
        <v>5</v>
      </c>
      <c r="B21" s="775">
        <v>1</v>
      </c>
      <c r="C21" s="748">
        <v>150</v>
      </c>
      <c r="D21" s="200">
        <v>20</v>
      </c>
      <c r="E21" s="561">
        <v>5</v>
      </c>
      <c r="F21" s="775">
        <v>1</v>
      </c>
      <c r="G21" s="748">
        <v>300</v>
      </c>
      <c r="H21" s="200">
        <v>25</v>
      </c>
      <c r="I21" s="561">
        <v>5</v>
      </c>
      <c r="J21" s="775">
        <v>1</v>
      </c>
      <c r="K21" s="748">
        <v>100</v>
      </c>
      <c r="L21" s="194">
        <v>30</v>
      </c>
      <c r="M21" s="561">
        <v>5</v>
      </c>
      <c r="N21" s="775">
        <v>5</v>
      </c>
      <c r="O21" s="748">
        <v>2500</v>
      </c>
      <c r="P21" s="200">
        <v>120</v>
      </c>
      <c r="Q21" s="13">
        <v>5</v>
      </c>
      <c r="R21" s="308">
        <v>2</v>
      </c>
      <c r="S21" s="528">
        <v>3000</v>
      </c>
      <c r="T21" s="200">
        <v>120</v>
      </c>
      <c r="U21" s="13">
        <v>5</v>
      </c>
      <c r="V21" s="308">
        <v>5</v>
      </c>
      <c r="W21" s="447">
        <v>4000</v>
      </c>
      <c r="X21" s="194">
        <v>480</v>
      </c>
      <c r="Y21" s="13">
        <v>5</v>
      </c>
      <c r="Z21" s="308">
        <v>4</v>
      </c>
      <c r="AA21" s="580">
        <v>3500</v>
      </c>
      <c r="AB21" s="194">
        <v>480</v>
      </c>
      <c r="AG21" s="963">
        <v>5</v>
      </c>
      <c r="AH21" s="775">
        <v>20</v>
      </c>
      <c r="AI21" s="953">
        <v>41000</v>
      </c>
      <c r="AJ21" s="194">
        <v>1800</v>
      </c>
      <c r="AK21" s="568">
        <v>5</v>
      </c>
      <c r="AL21" s="777">
        <v>25</v>
      </c>
      <c r="AM21" s="827">
        <v>45000</v>
      </c>
      <c r="AN21" s="539">
        <v>2700</v>
      </c>
    </row>
    <row r="22" spans="1:40" ht="12" thickBot="1" x14ac:dyDescent="0.3">
      <c r="A22" s="561">
        <v>6</v>
      </c>
      <c r="B22" s="775">
        <v>1</v>
      </c>
      <c r="C22" s="748">
        <v>200</v>
      </c>
      <c r="D22" s="200">
        <v>20</v>
      </c>
      <c r="E22" s="561">
        <v>6</v>
      </c>
      <c r="F22" s="775">
        <v>1</v>
      </c>
      <c r="G22" s="748">
        <v>400</v>
      </c>
      <c r="H22" s="200">
        <v>25</v>
      </c>
      <c r="I22" s="568">
        <v>6</v>
      </c>
      <c r="J22" s="777">
        <v>1</v>
      </c>
      <c r="K22" s="746">
        <v>150</v>
      </c>
      <c r="L22" s="779">
        <v>30</v>
      </c>
      <c r="M22" s="561">
        <v>6</v>
      </c>
      <c r="N22" s="775">
        <v>5</v>
      </c>
      <c r="O22" s="748">
        <v>3000</v>
      </c>
      <c r="P22" s="200">
        <v>120</v>
      </c>
      <c r="Q22" s="540">
        <v>6</v>
      </c>
      <c r="R22" s="545">
        <v>2</v>
      </c>
      <c r="S22" s="529">
        <v>3500</v>
      </c>
      <c r="T22" s="539">
        <v>120</v>
      </c>
      <c r="U22" s="540">
        <v>6</v>
      </c>
      <c r="V22" s="309">
        <v>5</v>
      </c>
      <c r="W22" s="460">
        <v>4500</v>
      </c>
      <c r="X22" s="196">
        <v>480</v>
      </c>
      <c r="Y22" s="540">
        <v>6</v>
      </c>
      <c r="Z22" s="309">
        <v>4</v>
      </c>
      <c r="AA22" s="460">
        <v>4000</v>
      </c>
      <c r="AB22" s="196">
        <v>480</v>
      </c>
    </row>
    <row r="23" spans="1:40" ht="12" customHeight="1" thickBot="1" x14ac:dyDescent="0.3">
      <c r="A23" s="568">
        <v>7</v>
      </c>
      <c r="B23" s="777">
        <v>1</v>
      </c>
      <c r="C23" s="746">
        <v>250</v>
      </c>
      <c r="D23" s="539">
        <v>20</v>
      </c>
      <c r="E23" s="568">
        <v>7</v>
      </c>
      <c r="F23" s="777">
        <v>1</v>
      </c>
      <c r="G23" s="746">
        <v>500</v>
      </c>
      <c r="H23" s="539">
        <v>25</v>
      </c>
      <c r="M23" s="568">
        <v>7</v>
      </c>
      <c r="N23" s="777">
        <v>5</v>
      </c>
      <c r="O23" s="746">
        <v>3500</v>
      </c>
      <c r="P23" s="539">
        <v>120</v>
      </c>
    </row>
    <row r="24" spans="1:40" ht="12" customHeight="1" x14ac:dyDescent="0.25"/>
    <row r="25" spans="1:40" ht="12" customHeight="1" thickBot="1" x14ac:dyDescent="0.3"/>
    <row r="26" spans="1:40" ht="30" customHeight="1" thickBot="1" x14ac:dyDescent="0.3">
      <c r="A26" s="1262" t="s">
        <v>392</v>
      </c>
      <c r="B26" s="1263"/>
      <c r="C26" s="1263"/>
      <c r="D26" s="1263"/>
      <c r="E26" s="1263"/>
      <c r="F26" s="1263"/>
      <c r="G26" s="1263"/>
      <c r="H26" s="1263"/>
      <c r="I26" s="1263"/>
      <c r="J26" s="1263"/>
      <c r="K26" s="1263"/>
      <c r="L26" s="1263"/>
      <c r="M26" s="1263"/>
      <c r="N26" s="1263"/>
      <c r="O26" s="1263"/>
      <c r="P26" s="1263"/>
      <c r="Q26" s="1329"/>
      <c r="R26" s="1329"/>
      <c r="S26" s="1329"/>
      <c r="T26" s="1329"/>
      <c r="U26" s="1329"/>
      <c r="V26" s="1329"/>
      <c r="W26" s="1329"/>
      <c r="X26" s="1330"/>
      <c r="AA26" s="1025" t="s">
        <v>393</v>
      </c>
      <c r="AB26" s="1026"/>
      <c r="AC26" s="1026"/>
      <c r="AD26" s="1026"/>
      <c r="AE26" s="1026"/>
      <c r="AF26" s="1026"/>
      <c r="AG26" s="1026"/>
      <c r="AH26" s="1026"/>
      <c r="AI26" s="1026"/>
      <c r="AJ26" s="1026"/>
    </row>
    <row r="27" spans="1:40" ht="20.100000000000001" customHeight="1" thickBot="1" x14ac:dyDescent="0.3">
      <c r="A27" s="1318" t="s">
        <v>248</v>
      </c>
      <c r="B27" s="1319"/>
      <c r="C27" s="1319"/>
      <c r="D27" s="1319"/>
      <c r="E27" s="1319"/>
      <c r="F27" s="1319"/>
      <c r="G27" s="1319"/>
      <c r="H27" s="1319"/>
      <c r="I27" s="1319"/>
      <c r="J27" s="1319"/>
      <c r="K27" s="1319"/>
      <c r="L27" s="1319"/>
      <c r="M27" s="1319"/>
      <c r="N27" s="1319"/>
      <c r="O27" s="1319"/>
      <c r="P27" s="1319"/>
      <c r="Q27" s="1319"/>
      <c r="R27" s="1319"/>
      <c r="S27" s="1319"/>
      <c r="T27" s="1319"/>
      <c r="U27" s="1319"/>
      <c r="V27" s="1319"/>
      <c r="W27" s="1319"/>
      <c r="X27" s="1319"/>
      <c r="AA27" s="1161"/>
      <c r="AB27" s="1161"/>
      <c r="AC27" s="1161"/>
      <c r="AD27" s="1161"/>
      <c r="AE27" s="1161"/>
      <c r="AF27" s="1161"/>
      <c r="AG27" s="1161"/>
      <c r="AH27" s="1161"/>
      <c r="AI27" s="1161"/>
      <c r="AJ27" s="1161"/>
    </row>
    <row r="28" spans="1:40" ht="12" customHeight="1" thickBot="1" x14ac:dyDescent="0.3">
      <c r="A28" s="1321" t="s">
        <v>183</v>
      </c>
      <c r="B28" s="1322"/>
      <c r="C28" s="1322"/>
      <c r="D28" s="1323"/>
      <c r="E28" s="1321" t="s">
        <v>245</v>
      </c>
      <c r="F28" s="1322"/>
      <c r="G28" s="1322"/>
      <c r="H28" s="1323"/>
      <c r="I28" s="1321" t="s">
        <v>66</v>
      </c>
      <c r="J28" s="1322"/>
      <c r="K28" s="1322"/>
      <c r="L28" s="1323"/>
      <c r="M28" s="1321" t="s">
        <v>67</v>
      </c>
      <c r="N28" s="1322"/>
      <c r="O28" s="1322"/>
      <c r="P28" s="1323"/>
      <c r="Q28" s="1321" t="s">
        <v>539</v>
      </c>
      <c r="R28" s="1322"/>
      <c r="S28" s="1322"/>
      <c r="T28" s="1323"/>
      <c r="U28" s="1321" t="s">
        <v>576</v>
      </c>
      <c r="V28" s="1322"/>
      <c r="W28" s="1322"/>
      <c r="X28" s="1323"/>
      <c r="AA28" s="1327" t="s">
        <v>707</v>
      </c>
      <c r="AB28" s="1328"/>
      <c r="AC28" s="1327" t="s">
        <v>209</v>
      </c>
      <c r="AD28" s="1328"/>
      <c r="AE28" s="1327" t="s">
        <v>343</v>
      </c>
      <c r="AF28" s="1328"/>
      <c r="AG28" s="1327" t="s">
        <v>338</v>
      </c>
      <c r="AH28" s="1328"/>
      <c r="AI28" s="1327" t="s">
        <v>207</v>
      </c>
      <c r="AJ28" s="1328"/>
    </row>
    <row r="29" spans="1:40" ht="23.25" thickBot="1" x14ac:dyDescent="0.3">
      <c r="A29" s="186" t="s">
        <v>17</v>
      </c>
      <c r="B29" s="187" t="s">
        <v>391</v>
      </c>
      <c r="C29" s="304" t="s">
        <v>258</v>
      </c>
      <c r="D29" s="188" t="s">
        <v>259</v>
      </c>
      <c r="E29" s="186" t="s">
        <v>17</v>
      </c>
      <c r="F29" s="187" t="s">
        <v>391</v>
      </c>
      <c r="G29" s="304" t="s">
        <v>258</v>
      </c>
      <c r="H29" s="188" t="s">
        <v>259</v>
      </c>
      <c r="I29" s="186" t="s">
        <v>17</v>
      </c>
      <c r="J29" s="187" t="s">
        <v>391</v>
      </c>
      <c r="K29" s="304" t="s">
        <v>258</v>
      </c>
      <c r="L29" s="188" t="s">
        <v>259</v>
      </c>
      <c r="M29" s="186" t="s">
        <v>17</v>
      </c>
      <c r="N29" s="187" t="s">
        <v>391</v>
      </c>
      <c r="O29" s="304" t="s">
        <v>258</v>
      </c>
      <c r="P29" s="188" t="s">
        <v>259</v>
      </c>
      <c r="Q29" s="186" t="s">
        <v>17</v>
      </c>
      <c r="R29" s="187" t="s">
        <v>391</v>
      </c>
      <c r="S29" s="304" t="s">
        <v>258</v>
      </c>
      <c r="T29" s="188" t="s">
        <v>259</v>
      </c>
      <c r="U29" s="186" t="s">
        <v>17</v>
      </c>
      <c r="V29" s="187" t="s">
        <v>391</v>
      </c>
      <c r="W29" s="304" t="s">
        <v>258</v>
      </c>
      <c r="X29" s="188" t="s">
        <v>259</v>
      </c>
      <c r="AA29" s="311" t="s">
        <v>17</v>
      </c>
      <c r="AB29" s="962" t="s">
        <v>383</v>
      </c>
      <c r="AC29" s="311" t="s">
        <v>17</v>
      </c>
      <c r="AD29" s="932" t="s">
        <v>383</v>
      </c>
      <c r="AE29" s="683" t="s">
        <v>17</v>
      </c>
      <c r="AF29" s="684" t="s">
        <v>383</v>
      </c>
      <c r="AG29" s="311" t="s">
        <v>17</v>
      </c>
      <c r="AH29" s="322" t="s">
        <v>383</v>
      </c>
      <c r="AI29" s="311" t="s">
        <v>17</v>
      </c>
      <c r="AJ29" s="322" t="s">
        <v>383</v>
      </c>
    </row>
    <row r="30" spans="1:40" x14ac:dyDescent="0.25">
      <c r="A30" s="166">
        <v>1</v>
      </c>
      <c r="B30" s="307">
        <v>2</v>
      </c>
      <c r="C30" s="305">
        <v>6</v>
      </c>
      <c r="D30" s="192">
        <v>45</v>
      </c>
      <c r="E30" s="166">
        <v>1</v>
      </c>
      <c r="F30" s="307">
        <v>5</v>
      </c>
      <c r="G30" s="305">
        <v>40</v>
      </c>
      <c r="H30" s="192">
        <v>120</v>
      </c>
      <c r="I30" s="166">
        <v>1</v>
      </c>
      <c r="J30" s="307">
        <v>8</v>
      </c>
      <c r="K30" s="305">
        <v>70</v>
      </c>
      <c r="L30" s="192">
        <v>900</v>
      </c>
      <c r="M30" s="166">
        <v>1</v>
      </c>
      <c r="N30" s="307">
        <v>30</v>
      </c>
      <c r="O30" s="305">
        <v>450</v>
      </c>
      <c r="P30" s="192">
        <v>2700</v>
      </c>
      <c r="Q30" s="166">
        <v>1</v>
      </c>
      <c r="R30" s="307">
        <v>12</v>
      </c>
      <c r="S30" s="305">
        <v>250</v>
      </c>
      <c r="T30" s="192">
        <v>1200</v>
      </c>
      <c r="U30" s="52">
        <v>1</v>
      </c>
      <c r="V30" s="544">
        <v>30</v>
      </c>
      <c r="W30" s="780">
        <v>390</v>
      </c>
      <c r="X30" s="778">
        <v>2700</v>
      </c>
      <c r="AA30" s="320">
        <v>1</v>
      </c>
      <c r="AB30" s="321">
        <v>2</v>
      </c>
      <c r="AC30" s="320">
        <v>1</v>
      </c>
      <c r="AD30" s="321">
        <v>2</v>
      </c>
      <c r="AE30" s="769">
        <v>0</v>
      </c>
      <c r="AF30" s="770">
        <v>0</v>
      </c>
      <c r="AG30" s="681">
        <v>0</v>
      </c>
      <c r="AH30" s="321">
        <v>0</v>
      </c>
      <c r="AI30" s="320">
        <v>0</v>
      </c>
      <c r="AJ30" s="679">
        <v>0</v>
      </c>
    </row>
    <row r="31" spans="1:40" x14ac:dyDescent="0.25">
      <c r="A31" s="7">
        <v>2</v>
      </c>
      <c r="B31" s="308">
        <v>2</v>
      </c>
      <c r="C31" s="298">
        <v>7</v>
      </c>
      <c r="D31" s="194">
        <v>45</v>
      </c>
      <c r="E31" s="7">
        <v>2</v>
      </c>
      <c r="F31" s="308">
        <v>5</v>
      </c>
      <c r="G31" s="298">
        <v>45</v>
      </c>
      <c r="H31" s="194">
        <v>120</v>
      </c>
      <c r="I31" s="7">
        <v>2</v>
      </c>
      <c r="J31" s="308">
        <v>8</v>
      </c>
      <c r="K31" s="298">
        <v>100</v>
      </c>
      <c r="L31" s="194">
        <v>900</v>
      </c>
      <c r="M31" s="7">
        <v>2</v>
      </c>
      <c r="N31" s="308">
        <v>30</v>
      </c>
      <c r="O31" s="298">
        <v>525</v>
      </c>
      <c r="P31" s="194">
        <v>2700</v>
      </c>
      <c r="Q31" s="7">
        <v>2</v>
      </c>
      <c r="R31" s="308">
        <v>12</v>
      </c>
      <c r="S31" s="488">
        <v>350</v>
      </c>
      <c r="T31" s="194">
        <v>1200</v>
      </c>
      <c r="U31" s="7">
        <v>2</v>
      </c>
      <c r="V31" s="308">
        <v>30</v>
      </c>
      <c r="W31" s="488">
        <v>450</v>
      </c>
      <c r="X31" s="194">
        <v>2700</v>
      </c>
      <c r="AA31" s="318">
        <v>2</v>
      </c>
      <c r="AB31" s="316">
        <v>4</v>
      </c>
      <c r="AC31" s="318">
        <v>2</v>
      </c>
      <c r="AD31" s="316">
        <v>4</v>
      </c>
      <c r="AE31" s="771">
        <v>1</v>
      </c>
      <c r="AF31" s="772">
        <v>40</v>
      </c>
      <c r="AG31" s="682">
        <v>1</v>
      </c>
      <c r="AH31" s="316">
        <v>20</v>
      </c>
      <c r="AI31" s="318">
        <v>1</v>
      </c>
      <c r="AJ31" s="680">
        <v>20</v>
      </c>
    </row>
    <row r="32" spans="1:40" ht="12" thickBot="1" x14ac:dyDescent="0.3">
      <c r="A32" s="7">
        <v>3</v>
      </c>
      <c r="B32" s="308">
        <v>2</v>
      </c>
      <c r="C32" s="298">
        <v>8</v>
      </c>
      <c r="D32" s="194">
        <v>45</v>
      </c>
      <c r="E32" s="7">
        <v>3</v>
      </c>
      <c r="F32" s="308">
        <v>5</v>
      </c>
      <c r="G32" s="298">
        <v>52</v>
      </c>
      <c r="H32" s="194">
        <v>120</v>
      </c>
      <c r="I32" s="7">
        <v>3</v>
      </c>
      <c r="J32" s="308">
        <v>8</v>
      </c>
      <c r="K32" s="298">
        <v>130</v>
      </c>
      <c r="L32" s="194">
        <v>900</v>
      </c>
      <c r="M32" s="7">
        <v>3</v>
      </c>
      <c r="N32" s="308">
        <v>30</v>
      </c>
      <c r="O32" s="298">
        <v>600</v>
      </c>
      <c r="P32" s="194">
        <v>2700</v>
      </c>
      <c r="U32" s="8">
        <v>3</v>
      </c>
      <c r="V32" s="781">
        <v>30</v>
      </c>
      <c r="W32" s="782">
        <v>510</v>
      </c>
      <c r="X32" s="783">
        <v>2700</v>
      </c>
      <c r="AA32" s="318">
        <v>3</v>
      </c>
      <c r="AB32" s="316">
        <v>6</v>
      </c>
      <c r="AC32" s="318">
        <v>3</v>
      </c>
      <c r="AD32" s="316">
        <v>6</v>
      </c>
      <c r="AE32" s="771">
        <v>2</v>
      </c>
      <c r="AF32" s="772">
        <v>50</v>
      </c>
      <c r="AG32" s="682">
        <v>2</v>
      </c>
      <c r="AH32" s="316">
        <v>30</v>
      </c>
      <c r="AI32" s="318">
        <v>2</v>
      </c>
      <c r="AJ32" s="680">
        <v>25</v>
      </c>
    </row>
    <row r="33" spans="1:36" ht="12" thickBot="1" x14ac:dyDescent="0.3">
      <c r="A33" s="7">
        <v>4</v>
      </c>
      <c r="B33" s="308">
        <v>2</v>
      </c>
      <c r="C33" s="488">
        <v>9</v>
      </c>
      <c r="D33" s="194">
        <v>45</v>
      </c>
      <c r="E33" s="7">
        <v>4</v>
      </c>
      <c r="F33" s="308">
        <v>5</v>
      </c>
      <c r="G33" s="298">
        <v>58</v>
      </c>
      <c r="H33" s="194">
        <v>120</v>
      </c>
      <c r="I33" s="8">
        <v>4</v>
      </c>
      <c r="J33" s="309">
        <v>8</v>
      </c>
      <c r="K33" s="303">
        <v>160</v>
      </c>
      <c r="L33" s="196">
        <v>900</v>
      </c>
      <c r="M33" s="7">
        <v>4</v>
      </c>
      <c r="N33" s="308">
        <v>30</v>
      </c>
      <c r="O33" s="298">
        <v>675</v>
      </c>
      <c r="P33" s="194">
        <v>2700</v>
      </c>
      <c r="AA33" s="310"/>
      <c r="AB33" s="310"/>
      <c r="AC33" s="318">
        <v>4</v>
      </c>
      <c r="AD33" s="316">
        <v>8</v>
      </c>
      <c r="AE33" s="771">
        <v>3</v>
      </c>
      <c r="AF33" s="772">
        <v>60</v>
      </c>
      <c r="AG33" s="682">
        <v>3</v>
      </c>
      <c r="AH33" s="316">
        <v>35</v>
      </c>
      <c r="AI33" s="318">
        <v>3</v>
      </c>
      <c r="AJ33" s="680">
        <v>30</v>
      </c>
    </row>
    <row r="34" spans="1:36" ht="12" thickBot="1" x14ac:dyDescent="0.3">
      <c r="A34" s="7">
        <v>5</v>
      </c>
      <c r="B34" s="308">
        <v>2</v>
      </c>
      <c r="C34" s="488">
        <v>10</v>
      </c>
      <c r="D34" s="194">
        <v>45</v>
      </c>
      <c r="E34" s="8">
        <v>5</v>
      </c>
      <c r="F34" s="309">
        <v>5</v>
      </c>
      <c r="G34" s="303">
        <v>65</v>
      </c>
      <c r="H34" s="196">
        <v>120</v>
      </c>
      <c r="M34" s="8">
        <v>5</v>
      </c>
      <c r="N34" s="309">
        <v>30</v>
      </c>
      <c r="O34" s="303">
        <v>750</v>
      </c>
      <c r="P34" s="196">
        <v>2700</v>
      </c>
      <c r="AA34" s="310"/>
      <c r="AB34" s="310"/>
      <c r="AC34" s="318">
        <v>5</v>
      </c>
      <c r="AD34" s="316">
        <v>10</v>
      </c>
      <c r="AE34" s="771">
        <v>4</v>
      </c>
      <c r="AF34" s="772">
        <v>70</v>
      </c>
      <c r="AG34" s="682">
        <v>4</v>
      </c>
      <c r="AH34" s="316">
        <v>40</v>
      </c>
      <c r="AI34" s="318">
        <v>4</v>
      </c>
      <c r="AJ34" s="680">
        <v>35</v>
      </c>
    </row>
    <row r="35" spans="1:36" ht="12" thickBot="1" x14ac:dyDescent="0.3">
      <c r="A35" s="8">
        <v>6</v>
      </c>
      <c r="B35" s="309">
        <v>2</v>
      </c>
      <c r="C35" s="303">
        <v>11</v>
      </c>
      <c r="D35" s="196">
        <v>45</v>
      </c>
      <c r="AA35" s="310"/>
      <c r="AB35" s="310"/>
      <c r="AE35" s="771">
        <v>5</v>
      </c>
      <c r="AF35" s="772">
        <v>80</v>
      </c>
      <c r="AG35" s="682">
        <v>5</v>
      </c>
      <c r="AH35" s="316">
        <v>45</v>
      </c>
      <c r="AI35" s="318">
        <v>5</v>
      </c>
      <c r="AJ35" s="680">
        <v>40</v>
      </c>
    </row>
    <row r="36" spans="1:36" ht="12" thickBot="1" x14ac:dyDescent="0.3">
      <c r="AA36" s="310"/>
      <c r="AB36" s="310"/>
      <c r="AE36" s="773">
        <v>6</v>
      </c>
      <c r="AF36" s="774">
        <v>90</v>
      </c>
      <c r="AG36" s="682">
        <v>6</v>
      </c>
      <c r="AH36" s="316">
        <v>50</v>
      </c>
      <c r="AI36" s="318">
        <v>6</v>
      </c>
      <c r="AJ36" s="680">
        <v>45</v>
      </c>
    </row>
    <row r="37" spans="1:36" x14ac:dyDescent="0.25">
      <c r="AA37" s="310"/>
      <c r="AB37" s="310"/>
      <c r="AF37" s="310"/>
      <c r="AG37" s="318">
        <v>7</v>
      </c>
      <c r="AH37" s="316">
        <v>55</v>
      </c>
      <c r="AI37" s="318">
        <v>7</v>
      </c>
      <c r="AJ37" s="316">
        <v>50</v>
      </c>
    </row>
    <row r="38" spans="1:36" ht="12" thickBot="1" x14ac:dyDescent="0.3">
      <c r="AF38" s="310"/>
      <c r="AG38" s="319">
        <v>8</v>
      </c>
      <c r="AH38" s="317">
        <v>60</v>
      </c>
      <c r="AI38" s="318">
        <v>8</v>
      </c>
      <c r="AJ38" s="316">
        <v>55</v>
      </c>
    </row>
    <row r="39" spans="1:36" x14ac:dyDescent="0.25">
      <c r="AF39" s="310"/>
      <c r="AG39" s="310"/>
      <c r="AH39" s="310"/>
      <c r="AI39" s="318">
        <v>9</v>
      </c>
      <c r="AJ39" s="316">
        <v>60</v>
      </c>
    </row>
    <row r="40" spans="1:36" ht="12" thickBot="1" x14ac:dyDescent="0.3">
      <c r="AF40" s="310"/>
      <c r="AG40" s="310"/>
      <c r="AH40" s="310"/>
      <c r="AI40" s="319">
        <v>10</v>
      </c>
      <c r="AJ40" s="317">
        <v>75</v>
      </c>
    </row>
  </sheetData>
  <sheetProtection selectLockedCells="1"/>
  <mergeCells count="39">
    <mergeCell ref="A1:T1"/>
    <mergeCell ref="A28:D28"/>
    <mergeCell ref="E28:H28"/>
    <mergeCell ref="I28:L28"/>
    <mergeCell ref="M28:P28"/>
    <mergeCell ref="A2:T2"/>
    <mergeCell ref="A3:D3"/>
    <mergeCell ref="E3:H3"/>
    <mergeCell ref="I3:L3"/>
    <mergeCell ref="M3:P3"/>
    <mergeCell ref="Q28:T28"/>
    <mergeCell ref="A27:X27"/>
    <mergeCell ref="U28:X28"/>
    <mergeCell ref="A26:X26"/>
    <mergeCell ref="Q3:T3"/>
    <mergeCell ref="AK15:AN15"/>
    <mergeCell ref="A13:AN13"/>
    <mergeCell ref="A14:AN14"/>
    <mergeCell ref="A15:D15"/>
    <mergeCell ref="E15:H15"/>
    <mergeCell ref="I15:L15"/>
    <mergeCell ref="M15:P15"/>
    <mergeCell ref="Q15:T15"/>
    <mergeCell ref="U15:X15"/>
    <mergeCell ref="Y15:AB15"/>
    <mergeCell ref="AC15:AF15"/>
    <mergeCell ref="AG15:AJ15"/>
    <mergeCell ref="Y1:AJ1"/>
    <mergeCell ref="Y2:AJ2"/>
    <mergeCell ref="AA28:AB28"/>
    <mergeCell ref="AA26:AJ26"/>
    <mergeCell ref="AA27:AJ27"/>
    <mergeCell ref="Y3:AB3"/>
    <mergeCell ref="AC3:AF3"/>
    <mergeCell ref="AC28:AD28"/>
    <mergeCell ref="AI28:AJ28"/>
    <mergeCell ref="AE28:AF28"/>
    <mergeCell ref="AG28:AH28"/>
    <mergeCell ref="AG3:AJ3"/>
  </mergeCells>
  <pageMargins left="0.7" right="0.7" top="0.75" bottom="0.75" header="0.3" footer="0.3"/>
  <pageSetup paperSize="9" orientation="portrait" r:id="rId1"/>
  <tableParts count="2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rgb="FFFF0000"/>
  </sheetPr>
  <dimension ref="A1:A1000"/>
  <sheetViews>
    <sheetView showGridLines="0" workbookViewId="0">
      <selection activeCell="A2" sqref="A2"/>
    </sheetView>
  </sheetViews>
  <sheetFormatPr baseColWidth="10" defaultColWidth="11.42578125" defaultRowHeight="11.25" x14ac:dyDescent="0.25"/>
  <cols>
    <col min="1" max="1" width="14.7109375" style="464" customWidth="1"/>
    <col min="2" max="16384" width="11.42578125" style="464"/>
  </cols>
  <sheetData>
    <row r="1" spans="1:1" ht="12" thickBot="1" x14ac:dyDescent="0.3">
      <c r="A1" s="469" t="s">
        <v>493</v>
      </c>
    </row>
    <row r="2" spans="1:1" x14ac:dyDescent="0.25">
      <c r="A2" s="471">
        <f>Planning!$C$2</f>
        <v>42187.691527777781</v>
      </c>
    </row>
    <row r="3" spans="1:1" x14ac:dyDescent="0.25">
      <c r="A3" s="472">
        <f>$A2+Planning!$D$2</f>
        <v>42188.691527777781</v>
      </c>
    </row>
    <row r="4" spans="1:1" x14ac:dyDescent="0.25">
      <c r="A4" s="472">
        <f>$A3+Planning!$D$2</f>
        <v>42189.691527777781</v>
      </c>
    </row>
    <row r="5" spans="1:1" x14ac:dyDescent="0.25">
      <c r="A5" s="472">
        <f>$A4+Planning!$D$2</f>
        <v>42190.691527777781</v>
      </c>
    </row>
    <row r="6" spans="1:1" x14ac:dyDescent="0.25">
      <c r="A6" s="472">
        <f>$A5+Planning!$D$2</f>
        <v>42191.691527777781</v>
      </c>
    </row>
    <row r="7" spans="1:1" x14ac:dyDescent="0.25">
      <c r="A7" s="472">
        <f>$A6+Planning!$D$2</f>
        <v>42192.691527777781</v>
      </c>
    </row>
    <row r="8" spans="1:1" x14ac:dyDescent="0.25">
      <c r="A8" s="472">
        <f>$A7+Planning!$D$2</f>
        <v>42193.691527777781</v>
      </c>
    </row>
    <row r="9" spans="1:1" x14ac:dyDescent="0.25">
      <c r="A9" s="472">
        <f>$A8+Planning!$D$2</f>
        <v>42194.691527777781</v>
      </c>
    </row>
    <row r="10" spans="1:1" x14ac:dyDescent="0.25">
      <c r="A10" s="472">
        <f>$A9+Planning!$D$2</f>
        <v>42195.691527777781</v>
      </c>
    </row>
    <row r="11" spans="1:1" x14ac:dyDescent="0.25">
      <c r="A11" s="472">
        <f>$A10+Planning!$D$2</f>
        <v>42196.691527777781</v>
      </c>
    </row>
    <row r="12" spans="1:1" x14ac:dyDescent="0.25">
      <c r="A12" s="472">
        <f>$A11+Planning!$D$2</f>
        <v>42197.691527777781</v>
      </c>
    </row>
    <row r="13" spans="1:1" x14ac:dyDescent="0.25">
      <c r="A13" s="472">
        <f>$A12+Planning!$D$2</f>
        <v>42198.691527777781</v>
      </c>
    </row>
    <row r="14" spans="1:1" x14ac:dyDescent="0.25">
      <c r="A14" s="472">
        <f>$A13+Planning!$D$2</f>
        <v>42199.691527777781</v>
      </c>
    </row>
    <row r="15" spans="1:1" x14ac:dyDescent="0.25">
      <c r="A15" s="472">
        <f>$A14+Planning!$D$2</f>
        <v>42200.691527777781</v>
      </c>
    </row>
    <row r="16" spans="1:1" x14ac:dyDescent="0.25">
      <c r="A16" s="472">
        <f>$A15+Planning!$D$2</f>
        <v>42201.691527777781</v>
      </c>
    </row>
    <row r="17" spans="1:1" x14ac:dyDescent="0.25">
      <c r="A17" s="472">
        <f>$A16+Planning!$D$2</f>
        <v>42202.691527777781</v>
      </c>
    </row>
    <row r="18" spans="1:1" x14ac:dyDescent="0.25">
      <c r="A18" s="472">
        <f>$A17+Planning!$D$2</f>
        <v>42203.691527777781</v>
      </c>
    </row>
    <row r="19" spans="1:1" x14ac:dyDescent="0.25">
      <c r="A19" s="472">
        <f>$A18+Planning!$D$2</f>
        <v>42204.691527777781</v>
      </c>
    </row>
    <row r="20" spans="1:1" x14ac:dyDescent="0.25">
      <c r="A20" s="472">
        <f>$A19+Planning!$D$2</f>
        <v>42205.691527777781</v>
      </c>
    </row>
    <row r="21" spans="1:1" x14ac:dyDescent="0.25">
      <c r="A21" s="472">
        <f>$A20+Planning!$D$2</f>
        <v>42206.691527777781</v>
      </c>
    </row>
    <row r="22" spans="1:1" x14ac:dyDescent="0.25">
      <c r="A22" s="472">
        <f>$A21+Planning!$D$2</f>
        <v>42207.691527777781</v>
      </c>
    </row>
    <row r="23" spans="1:1" x14ac:dyDescent="0.25">
      <c r="A23" s="472">
        <f>$A22+Planning!$D$2</f>
        <v>42208.691527777781</v>
      </c>
    </row>
    <row r="24" spans="1:1" x14ac:dyDescent="0.25">
      <c r="A24" s="472">
        <f>$A23+Planning!$D$2</f>
        <v>42209.691527777781</v>
      </c>
    </row>
    <row r="25" spans="1:1" x14ac:dyDescent="0.25">
      <c r="A25" s="472">
        <f>$A24+Planning!$D$2</f>
        <v>42210.691527777781</v>
      </c>
    </row>
    <row r="26" spans="1:1" x14ac:dyDescent="0.25">
      <c r="A26" s="472">
        <f>$A25+Planning!$D$2</f>
        <v>42211.691527777781</v>
      </c>
    </row>
    <row r="27" spans="1:1" x14ac:dyDescent="0.25">
      <c r="A27" s="472">
        <f>$A26+Planning!$D$2</f>
        <v>42212.691527777781</v>
      </c>
    </row>
    <row r="28" spans="1:1" x14ac:dyDescent="0.25">
      <c r="A28" s="472">
        <f>$A27+Planning!$D$2</f>
        <v>42213.691527777781</v>
      </c>
    </row>
    <row r="29" spans="1:1" x14ac:dyDescent="0.25">
      <c r="A29" s="472">
        <f>$A28+Planning!$D$2</f>
        <v>42214.691527777781</v>
      </c>
    </row>
    <row r="30" spans="1:1" x14ac:dyDescent="0.25">
      <c r="A30" s="472">
        <f>$A29+Planning!$D$2</f>
        <v>42215.691527777781</v>
      </c>
    </row>
    <row r="31" spans="1:1" x14ac:dyDescent="0.25">
      <c r="A31" s="472">
        <f>$A30+Planning!$D$2</f>
        <v>42216.691527777781</v>
      </c>
    </row>
    <row r="32" spans="1:1" x14ac:dyDescent="0.25">
      <c r="A32" s="472">
        <f>$A31+Planning!$D$2</f>
        <v>42217.691527777781</v>
      </c>
    </row>
    <row r="33" spans="1:1" x14ac:dyDescent="0.25">
      <c r="A33" s="472">
        <f>$A32+Planning!$D$2</f>
        <v>42218.691527777781</v>
      </c>
    </row>
    <row r="34" spans="1:1" x14ac:dyDescent="0.25">
      <c r="A34" s="472">
        <f>$A33+Planning!$D$2</f>
        <v>42219.691527777781</v>
      </c>
    </row>
    <row r="35" spans="1:1" x14ac:dyDescent="0.25">
      <c r="A35" s="472">
        <f>$A34+Planning!$D$2</f>
        <v>42220.691527777781</v>
      </c>
    </row>
    <row r="36" spans="1:1" x14ac:dyDescent="0.25">
      <c r="A36" s="472">
        <f>$A35+Planning!$D$2</f>
        <v>42221.691527777781</v>
      </c>
    </row>
    <row r="37" spans="1:1" x14ac:dyDescent="0.25">
      <c r="A37" s="472">
        <f>$A36+Planning!$D$2</f>
        <v>42222.691527777781</v>
      </c>
    </row>
    <row r="38" spans="1:1" x14ac:dyDescent="0.25">
      <c r="A38" s="472">
        <f>$A37+Planning!$D$2</f>
        <v>42223.691527777781</v>
      </c>
    </row>
    <row r="39" spans="1:1" x14ac:dyDescent="0.25">
      <c r="A39" s="472">
        <f>$A38+Planning!$D$2</f>
        <v>42224.691527777781</v>
      </c>
    </row>
    <row r="40" spans="1:1" x14ac:dyDescent="0.25">
      <c r="A40" s="472">
        <f>$A39+Planning!$D$2</f>
        <v>42225.691527777781</v>
      </c>
    </row>
    <row r="41" spans="1:1" x14ac:dyDescent="0.25">
      <c r="A41" s="472">
        <f>$A40+Planning!$D$2</f>
        <v>42226.691527777781</v>
      </c>
    </row>
    <row r="42" spans="1:1" x14ac:dyDescent="0.25">
      <c r="A42" s="472">
        <f>$A41+Planning!$D$2</f>
        <v>42227.691527777781</v>
      </c>
    </row>
    <row r="43" spans="1:1" x14ac:dyDescent="0.25">
      <c r="A43" s="472">
        <f>$A42+Planning!$D$2</f>
        <v>42228.691527777781</v>
      </c>
    </row>
    <row r="44" spans="1:1" x14ac:dyDescent="0.25">
      <c r="A44" s="472">
        <f>$A43+Planning!$D$2</f>
        <v>42229.691527777781</v>
      </c>
    </row>
    <row r="45" spans="1:1" x14ac:dyDescent="0.25">
      <c r="A45" s="472">
        <f>$A44+Planning!$D$2</f>
        <v>42230.691527777781</v>
      </c>
    </row>
    <row r="46" spans="1:1" x14ac:dyDescent="0.25">
      <c r="A46" s="472">
        <f>$A45+Planning!$D$2</f>
        <v>42231.691527777781</v>
      </c>
    </row>
    <row r="47" spans="1:1" x14ac:dyDescent="0.25">
      <c r="A47" s="472">
        <f>$A46+Planning!$D$2</f>
        <v>42232.691527777781</v>
      </c>
    </row>
    <row r="48" spans="1:1" x14ac:dyDescent="0.25">
      <c r="A48" s="472">
        <f>$A47+Planning!$D$2</f>
        <v>42233.691527777781</v>
      </c>
    </row>
    <row r="49" spans="1:1" x14ac:dyDescent="0.25">
      <c r="A49" s="472">
        <f>$A48+Planning!$D$2</f>
        <v>42234.691527777781</v>
      </c>
    </row>
    <row r="50" spans="1:1" x14ac:dyDescent="0.25">
      <c r="A50" s="472">
        <f>$A49+Planning!$D$2</f>
        <v>42235.691527777781</v>
      </c>
    </row>
    <row r="51" spans="1:1" x14ac:dyDescent="0.25">
      <c r="A51" s="472">
        <f>$A50+Planning!$D$2</f>
        <v>42236.691527777781</v>
      </c>
    </row>
    <row r="52" spans="1:1" x14ac:dyDescent="0.25">
      <c r="A52" s="472">
        <f>$A51+Planning!$D$2</f>
        <v>42237.691527777781</v>
      </c>
    </row>
    <row r="53" spans="1:1" x14ac:dyDescent="0.25">
      <c r="A53" s="472">
        <f>$A52+Planning!$D$2</f>
        <v>42238.691527777781</v>
      </c>
    </row>
    <row r="54" spans="1:1" x14ac:dyDescent="0.25">
      <c r="A54" s="472">
        <f>$A53+Planning!$D$2</f>
        <v>42239.691527777781</v>
      </c>
    </row>
    <row r="55" spans="1:1" x14ac:dyDescent="0.25">
      <c r="A55" s="472">
        <f>$A54+Planning!$D$2</f>
        <v>42240.691527777781</v>
      </c>
    </row>
    <row r="56" spans="1:1" x14ac:dyDescent="0.25">
      <c r="A56" s="472">
        <f>$A55+Planning!$D$2</f>
        <v>42241.691527777781</v>
      </c>
    </row>
    <row r="57" spans="1:1" x14ac:dyDescent="0.25">
      <c r="A57" s="472">
        <f>$A56+Planning!$D$2</f>
        <v>42242.691527777781</v>
      </c>
    </row>
    <row r="58" spans="1:1" x14ac:dyDescent="0.25">
      <c r="A58" s="472">
        <f>$A57+Planning!$D$2</f>
        <v>42243.691527777781</v>
      </c>
    </row>
    <row r="59" spans="1:1" x14ac:dyDescent="0.25">
      <c r="A59" s="472">
        <f>$A58+Planning!$D$2</f>
        <v>42244.691527777781</v>
      </c>
    </row>
    <row r="60" spans="1:1" x14ac:dyDescent="0.25">
      <c r="A60" s="472">
        <f>$A59+Planning!$D$2</f>
        <v>42245.691527777781</v>
      </c>
    </row>
    <row r="61" spans="1:1" x14ac:dyDescent="0.25">
      <c r="A61" s="472">
        <f>$A60+Planning!$D$2</f>
        <v>42246.691527777781</v>
      </c>
    </row>
    <row r="62" spans="1:1" x14ac:dyDescent="0.25">
      <c r="A62" s="472">
        <f>$A61+Planning!$D$2</f>
        <v>42247.691527777781</v>
      </c>
    </row>
    <row r="63" spans="1:1" x14ac:dyDescent="0.25">
      <c r="A63" s="472">
        <f>$A62+Planning!$D$2</f>
        <v>42248.691527777781</v>
      </c>
    </row>
    <row r="64" spans="1:1" x14ac:dyDescent="0.25">
      <c r="A64" s="472">
        <f>$A63+Planning!$D$2</f>
        <v>42249.691527777781</v>
      </c>
    </row>
    <row r="65" spans="1:1" x14ac:dyDescent="0.25">
      <c r="A65" s="472">
        <f>$A64+Planning!$D$2</f>
        <v>42250.691527777781</v>
      </c>
    </row>
    <row r="66" spans="1:1" x14ac:dyDescent="0.25">
      <c r="A66" s="472">
        <f>$A65+Planning!$D$2</f>
        <v>42251.691527777781</v>
      </c>
    </row>
    <row r="67" spans="1:1" x14ac:dyDescent="0.25">
      <c r="A67" s="472">
        <f>$A66+Planning!$D$2</f>
        <v>42252.691527777781</v>
      </c>
    </row>
    <row r="68" spans="1:1" x14ac:dyDescent="0.25">
      <c r="A68" s="472">
        <f>$A67+Planning!$D$2</f>
        <v>42253.691527777781</v>
      </c>
    </row>
    <row r="69" spans="1:1" x14ac:dyDescent="0.25">
      <c r="A69" s="472">
        <f>$A68+Planning!$D$2</f>
        <v>42254.691527777781</v>
      </c>
    </row>
    <row r="70" spans="1:1" x14ac:dyDescent="0.25">
      <c r="A70" s="472">
        <f>$A69+Planning!$D$2</f>
        <v>42255.691527777781</v>
      </c>
    </row>
    <row r="71" spans="1:1" x14ac:dyDescent="0.25">
      <c r="A71" s="472">
        <f>$A70+Planning!$D$2</f>
        <v>42256.691527777781</v>
      </c>
    </row>
    <row r="72" spans="1:1" x14ac:dyDescent="0.25">
      <c r="A72" s="472">
        <f>$A71+Planning!$D$2</f>
        <v>42257.691527777781</v>
      </c>
    </row>
    <row r="73" spans="1:1" x14ac:dyDescent="0.25">
      <c r="A73" s="472">
        <f>$A72+Planning!$D$2</f>
        <v>42258.691527777781</v>
      </c>
    </row>
    <row r="74" spans="1:1" x14ac:dyDescent="0.25">
      <c r="A74" s="472">
        <f>$A73+Planning!$D$2</f>
        <v>42259.691527777781</v>
      </c>
    </row>
    <row r="75" spans="1:1" x14ac:dyDescent="0.25">
      <c r="A75" s="472">
        <f>$A74+Planning!$D$2</f>
        <v>42260.691527777781</v>
      </c>
    </row>
    <row r="76" spans="1:1" x14ac:dyDescent="0.25">
      <c r="A76" s="472">
        <f>$A75+Planning!$D$2</f>
        <v>42261.691527777781</v>
      </c>
    </row>
    <row r="77" spans="1:1" x14ac:dyDescent="0.25">
      <c r="A77" s="472">
        <f>$A76+Planning!$D$2</f>
        <v>42262.691527777781</v>
      </c>
    </row>
    <row r="78" spans="1:1" x14ac:dyDescent="0.25">
      <c r="A78" s="472">
        <f>$A77+Planning!$D$2</f>
        <v>42263.691527777781</v>
      </c>
    </row>
    <row r="79" spans="1:1" x14ac:dyDescent="0.25">
      <c r="A79" s="472">
        <f>$A78+Planning!$D$2</f>
        <v>42264.691527777781</v>
      </c>
    </row>
    <row r="80" spans="1:1" x14ac:dyDescent="0.25">
      <c r="A80" s="472">
        <f>$A79+Planning!$D$2</f>
        <v>42265.691527777781</v>
      </c>
    </row>
    <row r="81" spans="1:1" x14ac:dyDescent="0.25">
      <c r="A81" s="472">
        <f>$A80+Planning!$D$2</f>
        <v>42266.691527777781</v>
      </c>
    </row>
    <row r="82" spans="1:1" x14ac:dyDescent="0.25">
      <c r="A82" s="472">
        <f>$A81+Planning!$D$2</f>
        <v>42267.691527777781</v>
      </c>
    </row>
    <row r="83" spans="1:1" x14ac:dyDescent="0.25">
      <c r="A83" s="472">
        <f>$A82+Planning!$D$2</f>
        <v>42268.691527777781</v>
      </c>
    </row>
    <row r="84" spans="1:1" x14ac:dyDescent="0.25">
      <c r="A84" s="472">
        <f>$A83+Planning!$D$2</f>
        <v>42269.691527777781</v>
      </c>
    </row>
    <row r="85" spans="1:1" x14ac:dyDescent="0.25">
      <c r="A85" s="472">
        <f>$A84+Planning!$D$2</f>
        <v>42270.691527777781</v>
      </c>
    </row>
    <row r="86" spans="1:1" x14ac:dyDescent="0.25">
      <c r="A86" s="472">
        <f>$A85+Planning!$D$2</f>
        <v>42271.691527777781</v>
      </c>
    </row>
    <row r="87" spans="1:1" x14ac:dyDescent="0.25">
      <c r="A87" s="472">
        <f>$A86+Planning!$D$2</f>
        <v>42272.691527777781</v>
      </c>
    </row>
    <row r="88" spans="1:1" x14ac:dyDescent="0.25">
      <c r="A88" s="472">
        <f>$A87+Planning!$D$2</f>
        <v>42273.691527777781</v>
      </c>
    </row>
    <row r="89" spans="1:1" x14ac:dyDescent="0.25">
      <c r="A89" s="472">
        <f>$A88+Planning!$D$2</f>
        <v>42274.691527777781</v>
      </c>
    </row>
    <row r="90" spans="1:1" x14ac:dyDescent="0.25">
      <c r="A90" s="472">
        <f>$A89+Planning!$D$2</f>
        <v>42275.691527777781</v>
      </c>
    </row>
    <row r="91" spans="1:1" x14ac:dyDescent="0.25">
      <c r="A91" s="472">
        <f>$A90+Planning!$D$2</f>
        <v>42276.691527777781</v>
      </c>
    </row>
    <row r="92" spans="1:1" x14ac:dyDescent="0.25">
      <c r="A92" s="472">
        <f>$A91+Planning!$D$2</f>
        <v>42277.691527777781</v>
      </c>
    </row>
    <row r="93" spans="1:1" x14ac:dyDescent="0.25">
      <c r="A93" s="472">
        <f>$A92+Planning!$D$2</f>
        <v>42278.691527777781</v>
      </c>
    </row>
    <row r="94" spans="1:1" x14ac:dyDescent="0.25">
      <c r="A94" s="472">
        <f>$A93+Planning!$D$2</f>
        <v>42279.691527777781</v>
      </c>
    </row>
    <row r="95" spans="1:1" x14ac:dyDescent="0.25">
      <c r="A95" s="472">
        <f>$A94+Planning!$D$2</f>
        <v>42280.691527777781</v>
      </c>
    </row>
    <row r="96" spans="1:1" x14ac:dyDescent="0.25">
      <c r="A96" s="472">
        <f>$A95+Planning!$D$2</f>
        <v>42281.691527777781</v>
      </c>
    </row>
    <row r="97" spans="1:1" x14ac:dyDescent="0.25">
      <c r="A97" s="472">
        <f>$A96+Planning!$D$2</f>
        <v>42282.691527777781</v>
      </c>
    </row>
    <row r="98" spans="1:1" x14ac:dyDescent="0.25">
      <c r="A98" s="472">
        <f>$A97+Planning!$D$2</f>
        <v>42283.691527777781</v>
      </c>
    </row>
    <row r="99" spans="1:1" x14ac:dyDescent="0.25">
      <c r="A99" s="472">
        <f>$A98+Planning!$D$2</f>
        <v>42284.691527777781</v>
      </c>
    </row>
    <row r="100" spans="1:1" x14ac:dyDescent="0.25">
      <c r="A100" s="472">
        <f>$A99+Planning!$D$2</f>
        <v>42285.691527777781</v>
      </c>
    </row>
    <row r="101" spans="1:1" x14ac:dyDescent="0.25">
      <c r="A101" s="472">
        <f>$A100+Planning!$D$2</f>
        <v>42286.691527777781</v>
      </c>
    </row>
    <row r="102" spans="1:1" x14ac:dyDescent="0.25">
      <c r="A102" s="472">
        <f>$A101+Planning!$D$2</f>
        <v>42287.691527777781</v>
      </c>
    </row>
    <row r="103" spans="1:1" x14ac:dyDescent="0.25">
      <c r="A103" s="472">
        <f>$A102+Planning!$D$2</f>
        <v>42288.691527777781</v>
      </c>
    </row>
    <row r="104" spans="1:1" x14ac:dyDescent="0.25">
      <c r="A104" s="472">
        <f>$A103+Planning!$D$2</f>
        <v>42289.691527777781</v>
      </c>
    </row>
    <row r="105" spans="1:1" x14ac:dyDescent="0.25">
      <c r="A105" s="472">
        <f>$A104+Planning!$D$2</f>
        <v>42290.691527777781</v>
      </c>
    </row>
    <row r="106" spans="1:1" x14ac:dyDescent="0.25">
      <c r="A106" s="472">
        <f>$A105+Planning!$D$2</f>
        <v>42291.691527777781</v>
      </c>
    </row>
    <row r="107" spans="1:1" x14ac:dyDescent="0.25">
      <c r="A107" s="472">
        <f>$A106+Planning!$D$2</f>
        <v>42292.691527777781</v>
      </c>
    </row>
    <row r="108" spans="1:1" x14ac:dyDescent="0.25">
      <c r="A108" s="472">
        <f>$A107+Planning!$D$2</f>
        <v>42293.691527777781</v>
      </c>
    </row>
    <row r="109" spans="1:1" x14ac:dyDescent="0.25">
      <c r="A109" s="472">
        <f>$A108+Planning!$D$2</f>
        <v>42294.691527777781</v>
      </c>
    </row>
    <row r="110" spans="1:1" x14ac:dyDescent="0.25">
      <c r="A110" s="472">
        <f>$A109+Planning!$D$2</f>
        <v>42295.691527777781</v>
      </c>
    </row>
    <row r="111" spans="1:1" x14ac:dyDescent="0.25">
      <c r="A111" s="472">
        <f>$A110+Planning!$D$2</f>
        <v>42296.691527777781</v>
      </c>
    </row>
    <row r="112" spans="1:1" x14ac:dyDescent="0.25">
      <c r="A112" s="472">
        <f>$A111+Planning!$D$2</f>
        <v>42297.691527777781</v>
      </c>
    </row>
    <row r="113" spans="1:1" x14ac:dyDescent="0.25">
      <c r="A113" s="472">
        <f>$A112+Planning!$D$2</f>
        <v>42298.691527777781</v>
      </c>
    </row>
    <row r="114" spans="1:1" x14ac:dyDescent="0.25">
      <c r="A114" s="472">
        <f>$A113+Planning!$D$2</f>
        <v>42299.691527777781</v>
      </c>
    </row>
    <row r="115" spans="1:1" x14ac:dyDescent="0.25">
      <c r="A115" s="472">
        <f>$A114+Planning!$D$2</f>
        <v>42300.691527777781</v>
      </c>
    </row>
    <row r="116" spans="1:1" x14ac:dyDescent="0.25">
      <c r="A116" s="472">
        <f>$A115+Planning!$D$2</f>
        <v>42301.691527777781</v>
      </c>
    </row>
    <row r="117" spans="1:1" x14ac:dyDescent="0.25">
      <c r="A117" s="472">
        <f>$A116+Planning!$D$2</f>
        <v>42302.691527777781</v>
      </c>
    </row>
    <row r="118" spans="1:1" x14ac:dyDescent="0.25">
      <c r="A118" s="472">
        <f>$A117+Planning!$D$2</f>
        <v>42303.691527777781</v>
      </c>
    </row>
    <row r="119" spans="1:1" x14ac:dyDescent="0.25">
      <c r="A119" s="472">
        <f>$A118+Planning!$D$2</f>
        <v>42304.691527777781</v>
      </c>
    </row>
    <row r="120" spans="1:1" x14ac:dyDescent="0.25">
      <c r="A120" s="472">
        <f>$A119+Planning!$D$2</f>
        <v>42305.691527777781</v>
      </c>
    </row>
    <row r="121" spans="1:1" x14ac:dyDescent="0.25">
      <c r="A121" s="472">
        <f>$A120+Planning!$D$2</f>
        <v>42306.691527777781</v>
      </c>
    </row>
    <row r="122" spans="1:1" x14ac:dyDescent="0.25">
      <c r="A122" s="472">
        <f>$A121+Planning!$D$2</f>
        <v>42307.691527777781</v>
      </c>
    </row>
    <row r="123" spans="1:1" x14ac:dyDescent="0.25">
      <c r="A123" s="472">
        <f>$A122+Planning!$D$2</f>
        <v>42308.691527777781</v>
      </c>
    </row>
    <row r="124" spans="1:1" x14ac:dyDescent="0.25">
      <c r="A124" s="472">
        <f>$A123+Planning!$D$2</f>
        <v>42309.691527777781</v>
      </c>
    </row>
    <row r="125" spans="1:1" x14ac:dyDescent="0.25">
      <c r="A125" s="472">
        <f>$A124+Planning!$D$2</f>
        <v>42310.691527777781</v>
      </c>
    </row>
    <row r="126" spans="1:1" x14ac:dyDescent="0.25">
      <c r="A126" s="472">
        <f>$A125+Planning!$D$2</f>
        <v>42311.691527777781</v>
      </c>
    </row>
    <row r="127" spans="1:1" x14ac:dyDescent="0.25">
      <c r="A127" s="472">
        <f>$A126+Planning!$D$2</f>
        <v>42312.691527777781</v>
      </c>
    </row>
    <row r="128" spans="1:1" x14ac:dyDescent="0.25">
      <c r="A128" s="472">
        <f>$A127+Planning!$D$2</f>
        <v>42313.691527777781</v>
      </c>
    </row>
    <row r="129" spans="1:1" x14ac:dyDescent="0.25">
      <c r="A129" s="472">
        <f>$A128+Planning!$D$2</f>
        <v>42314.691527777781</v>
      </c>
    </row>
    <row r="130" spans="1:1" x14ac:dyDescent="0.25">
      <c r="A130" s="472">
        <f>$A129+Planning!$D$2</f>
        <v>42315.691527777781</v>
      </c>
    </row>
    <row r="131" spans="1:1" x14ac:dyDescent="0.25">
      <c r="A131" s="472">
        <f>$A130+Planning!$D$2</f>
        <v>42316.691527777781</v>
      </c>
    </row>
    <row r="132" spans="1:1" x14ac:dyDescent="0.25">
      <c r="A132" s="472">
        <f>$A131+Planning!$D$2</f>
        <v>42317.691527777781</v>
      </c>
    </row>
    <row r="133" spans="1:1" x14ac:dyDescent="0.25">
      <c r="A133" s="472">
        <f>$A132+Planning!$D$2</f>
        <v>42318.691527777781</v>
      </c>
    </row>
    <row r="134" spans="1:1" x14ac:dyDescent="0.25">
      <c r="A134" s="472">
        <f>$A133+Planning!$D$2</f>
        <v>42319.691527777781</v>
      </c>
    </row>
    <row r="135" spans="1:1" x14ac:dyDescent="0.25">
      <c r="A135" s="472">
        <f>$A134+Planning!$D$2</f>
        <v>42320.691527777781</v>
      </c>
    </row>
    <row r="136" spans="1:1" x14ac:dyDescent="0.25">
      <c r="A136" s="472">
        <f>$A135+Planning!$D$2</f>
        <v>42321.691527777781</v>
      </c>
    </row>
    <row r="137" spans="1:1" x14ac:dyDescent="0.25">
      <c r="A137" s="472">
        <f>$A136+Planning!$D$2</f>
        <v>42322.691527777781</v>
      </c>
    </row>
    <row r="138" spans="1:1" x14ac:dyDescent="0.25">
      <c r="A138" s="472">
        <f>$A137+Planning!$D$2</f>
        <v>42323.691527777781</v>
      </c>
    </row>
    <row r="139" spans="1:1" x14ac:dyDescent="0.25">
      <c r="A139" s="472">
        <f>$A138+Planning!$D$2</f>
        <v>42324.691527777781</v>
      </c>
    </row>
    <row r="140" spans="1:1" x14ac:dyDescent="0.25">
      <c r="A140" s="472">
        <f>$A139+Planning!$D$2</f>
        <v>42325.691527777781</v>
      </c>
    </row>
    <row r="141" spans="1:1" x14ac:dyDescent="0.25">
      <c r="A141" s="472">
        <f>$A140+Planning!$D$2</f>
        <v>42326.691527777781</v>
      </c>
    </row>
    <row r="142" spans="1:1" x14ac:dyDescent="0.25">
      <c r="A142" s="472">
        <f>$A141+Planning!$D$2</f>
        <v>42327.691527777781</v>
      </c>
    </row>
    <row r="143" spans="1:1" x14ac:dyDescent="0.25">
      <c r="A143" s="472">
        <f>$A142+Planning!$D$2</f>
        <v>42328.691527777781</v>
      </c>
    </row>
    <row r="144" spans="1:1" x14ac:dyDescent="0.25">
      <c r="A144" s="472">
        <f>$A143+Planning!$D$2</f>
        <v>42329.691527777781</v>
      </c>
    </row>
    <row r="145" spans="1:1" x14ac:dyDescent="0.25">
      <c r="A145" s="472">
        <f>$A144+Planning!$D$2</f>
        <v>42330.691527777781</v>
      </c>
    </row>
    <row r="146" spans="1:1" x14ac:dyDescent="0.25">
      <c r="A146" s="472">
        <f>$A145+Planning!$D$2</f>
        <v>42331.691527777781</v>
      </c>
    </row>
    <row r="147" spans="1:1" x14ac:dyDescent="0.25">
      <c r="A147" s="472">
        <f>$A146+Planning!$D$2</f>
        <v>42332.691527777781</v>
      </c>
    </row>
    <row r="148" spans="1:1" x14ac:dyDescent="0.25">
      <c r="A148" s="472">
        <f>$A147+Planning!$D$2</f>
        <v>42333.691527777781</v>
      </c>
    </row>
    <row r="149" spans="1:1" x14ac:dyDescent="0.25">
      <c r="A149" s="472">
        <f>$A148+Planning!$D$2</f>
        <v>42334.691527777781</v>
      </c>
    </row>
    <row r="150" spans="1:1" x14ac:dyDescent="0.25">
      <c r="A150" s="472">
        <f>$A149+Planning!$D$2</f>
        <v>42335.691527777781</v>
      </c>
    </row>
    <row r="151" spans="1:1" x14ac:dyDescent="0.25">
      <c r="A151" s="472">
        <f>$A150+Planning!$D$2</f>
        <v>42336.691527777781</v>
      </c>
    </row>
    <row r="152" spans="1:1" x14ac:dyDescent="0.25">
      <c r="A152" s="472">
        <f>$A151+Planning!$D$2</f>
        <v>42337.691527777781</v>
      </c>
    </row>
    <row r="153" spans="1:1" x14ac:dyDescent="0.25">
      <c r="A153" s="472">
        <f>$A152+Planning!$D$2</f>
        <v>42338.691527777781</v>
      </c>
    </row>
    <row r="154" spans="1:1" x14ac:dyDescent="0.25">
      <c r="A154" s="472">
        <f>$A153+Planning!$D$2</f>
        <v>42339.691527777781</v>
      </c>
    </row>
    <row r="155" spans="1:1" x14ac:dyDescent="0.25">
      <c r="A155" s="472">
        <f>$A154+Planning!$D$2</f>
        <v>42340.691527777781</v>
      </c>
    </row>
    <row r="156" spans="1:1" x14ac:dyDescent="0.25">
      <c r="A156" s="472">
        <f>$A155+Planning!$D$2</f>
        <v>42341.691527777781</v>
      </c>
    </row>
    <row r="157" spans="1:1" x14ac:dyDescent="0.25">
      <c r="A157" s="472">
        <f>$A156+Planning!$D$2</f>
        <v>42342.691527777781</v>
      </c>
    </row>
    <row r="158" spans="1:1" x14ac:dyDescent="0.25">
      <c r="A158" s="472">
        <f>$A157+Planning!$D$2</f>
        <v>42343.691527777781</v>
      </c>
    </row>
    <row r="159" spans="1:1" x14ac:dyDescent="0.25">
      <c r="A159" s="472">
        <f>$A158+Planning!$D$2</f>
        <v>42344.691527777781</v>
      </c>
    </row>
    <row r="160" spans="1:1" x14ac:dyDescent="0.25">
      <c r="A160" s="472">
        <f>$A159+Planning!$D$2</f>
        <v>42345.691527777781</v>
      </c>
    </row>
    <row r="161" spans="1:1" x14ac:dyDescent="0.25">
      <c r="A161" s="472">
        <f>$A160+Planning!$D$2</f>
        <v>42346.691527777781</v>
      </c>
    </row>
    <row r="162" spans="1:1" x14ac:dyDescent="0.25">
      <c r="A162" s="472">
        <f>$A161+Planning!$D$2</f>
        <v>42347.691527777781</v>
      </c>
    </row>
    <row r="163" spans="1:1" x14ac:dyDescent="0.25">
      <c r="A163" s="472">
        <f>$A162+Planning!$D$2</f>
        <v>42348.691527777781</v>
      </c>
    </row>
    <row r="164" spans="1:1" x14ac:dyDescent="0.25">
      <c r="A164" s="472">
        <f>$A163+Planning!$D$2</f>
        <v>42349.691527777781</v>
      </c>
    </row>
    <row r="165" spans="1:1" x14ac:dyDescent="0.25">
      <c r="A165" s="472">
        <f>$A164+Planning!$D$2</f>
        <v>42350.691527777781</v>
      </c>
    </row>
    <row r="166" spans="1:1" x14ac:dyDescent="0.25">
      <c r="A166" s="472">
        <f>$A165+Planning!$D$2</f>
        <v>42351.691527777781</v>
      </c>
    </row>
    <row r="167" spans="1:1" x14ac:dyDescent="0.25">
      <c r="A167" s="472">
        <f>$A166+Planning!$D$2</f>
        <v>42352.691527777781</v>
      </c>
    </row>
    <row r="168" spans="1:1" x14ac:dyDescent="0.25">
      <c r="A168" s="472">
        <f>$A167+Planning!$D$2</f>
        <v>42353.691527777781</v>
      </c>
    </row>
    <row r="169" spans="1:1" x14ac:dyDescent="0.25">
      <c r="A169" s="472">
        <f>$A168+Planning!$D$2</f>
        <v>42354.691527777781</v>
      </c>
    </row>
    <row r="170" spans="1:1" x14ac:dyDescent="0.25">
      <c r="A170" s="472">
        <f>$A169+Planning!$D$2</f>
        <v>42355.691527777781</v>
      </c>
    </row>
    <row r="171" spans="1:1" x14ac:dyDescent="0.25">
      <c r="A171" s="472">
        <f>$A170+Planning!$D$2</f>
        <v>42356.691527777781</v>
      </c>
    </row>
    <row r="172" spans="1:1" x14ac:dyDescent="0.25">
      <c r="A172" s="472">
        <f>$A171+Planning!$D$2</f>
        <v>42357.691527777781</v>
      </c>
    </row>
    <row r="173" spans="1:1" x14ac:dyDescent="0.25">
      <c r="A173" s="472">
        <f>$A172+Planning!$D$2</f>
        <v>42358.691527777781</v>
      </c>
    </row>
    <row r="174" spans="1:1" x14ac:dyDescent="0.25">
      <c r="A174" s="472">
        <f>$A173+Planning!$D$2</f>
        <v>42359.691527777781</v>
      </c>
    </row>
    <row r="175" spans="1:1" x14ac:dyDescent="0.25">
      <c r="A175" s="472">
        <f>$A174+Planning!$D$2</f>
        <v>42360.691527777781</v>
      </c>
    </row>
    <row r="176" spans="1:1" x14ac:dyDescent="0.25">
      <c r="A176" s="472">
        <f>$A175+Planning!$D$2</f>
        <v>42361.691527777781</v>
      </c>
    </row>
    <row r="177" spans="1:1" x14ac:dyDescent="0.25">
      <c r="A177" s="472">
        <f>$A176+Planning!$D$2</f>
        <v>42362.691527777781</v>
      </c>
    </row>
    <row r="178" spans="1:1" x14ac:dyDescent="0.25">
      <c r="A178" s="472">
        <f>$A177+Planning!$D$2</f>
        <v>42363.691527777781</v>
      </c>
    </row>
    <row r="179" spans="1:1" x14ac:dyDescent="0.25">
      <c r="A179" s="472">
        <f>$A178+Planning!$D$2</f>
        <v>42364.691527777781</v>
      </c>
    </row>
    <row r="180" spans="1:1" x14ac:dyDescent="0.25">
      <c r="A180" s="472">
        <f>$A179+Planning!$D$2</f>
        <v>42365.691527777781</v>
      </c>
    </row>
    <row r="181" spans="1:1" x14ac:dyDescent="0.25">
      <c r="A181" s="472">
        <f>$A180+Planning!$D$2</f>
        <v>42366.691527777781</v>
      </c>
    </row>
    <row r="182" spans="1:1" x14ac:dyDescent="0.25">
      <c r="A182" s="472">
        <f>$A181+Planning!$D$2</f>
        <v>42367.691527777781</v>
      </c>
    </row>
    <row r="183" spans="1:1" x14ac:dyDescent="0.25">
      <c r="A183" s="472">
        <f>$A182+Planning!$D$2</f>
        <v>42368.691527777781</v>
      </c>
    </row>
    <row r="184" spans="1:1" x14ac:dyDescent="0.25">
      <c r="A184" s="472">
        <f>$A183+Planning!$D$2</f>
        <v>42369.691527777781</v>
      </c>
    </row>
    <row r="185" spans="1:1" x14ac:dyDescent="0.25">
      <c r="A185" s="472">
        <f>$A184+Planning!$D$2</f>
        <v>42370.691527777781</v>
      </c>
    </row>
    <row r="186" spans="1:1" x14ac:dyDescent="0.25">
      <c r="A186" s="472">
        <f>$A185+Planning!$D$2</f>
        <v>42371.691527777781</v>
      </c>
    </row>
    <row r="187" spans="1:1" x14ac:dyDescent="0.25">
      <c r="A187" s="472">
        <f>$A186+Planning!$D$2</f>
        <v>42372.691527777781</v>
      </c>
    </row>
    <row r="188" spans="1:1" x14ac:dyDescent="0.25">
      <c r="A188" s="472">
        <f>$A187+Planning!$D$2</f>
        <v>42373.691527777781</v>
      </c>
    </row>
    <row r="189" spans="1:1" x14ac:dyDescent="0.25">
      <c r="A189" s="472">
        <f>$A188+Planning!$D$2</f>
        <v>42374.691527777781</v>
      </c>
    </row>
    <row r="190" spans="1:1" x14ac:dyDescent="0.25">
      <c r="A190" s="472">
        <f>$A189+Planning!$D$2</f>
        <v>42375.691527777781</v>
      </c>
    </row>
    <row r="191" spans="1:1" x14ac:dyDescent="0.25">
      <c r="A191" s="472">
        <f>$A190+Planning!$D$2</f>
        <v>42376.691527777781</v>
      </c>
    </row>
    <row r="192" spans="1:1" x14ac:dyDescent="0.25">
      <c r="A192" s="472">
        <f>$A191+Planning!$D$2</f>
        <v>42377.691527777781</v>
      </c>
    </row>
    <row r="193" spans="1:1" x14ac:dyDescent="0.25">
      <c r="A193" s="472">
        <f>$A192+Planning!$D$2</f>
        <v>42378.691527777781</v>
      </c>
    </row>
    <row r="194" spans="1:1" x14ac:dyDescent="0.25">
      <c r="A194" s="472">
        <f>$A193+Planning!$D$2</f>
        <v>42379.691527777781</v>
      </c>
    </row>
    <row r="195" spans="1:1" x14ac:dyDescent="0.25">
      <c r="A195" s="472">
        <f>$A194+Planning!$D$2</f>
        <v>42380.691527777781</v>
      </c>
    </row>
    <row r="196" spans="1:1" x14ac:dyDescent="0.25">
      <c r="A196" s="472">
        <f>$A195+Planning!$D$2</f>
        <v>42381.691527777781</v>
      </c>
    </row>
    <row r="197" spans="1:1" x14ac:dyDescent="0.25">
      <c r="A197" s="472">
        <f>$A196+Planning!$D$2</f>
        <v>42382.691527777781</v>
      </c>
    </row>
    <row r="198" spans="1:1" x14ac:dyDescent="0.25">
      <c r="A198" s="472">
        <f>$A197+Planning!$D$2</f>
        <v>42383.691527777781</v>
      </c>
    </row>
    <row r="199" spans="1:1" x14ac:dyDescent="0.25">
      <c r="A199" s="472">
        <f>$A198+Planning!$D$2</f>
        <v>42384.691527777781</v>
      </c>
    </row>
    <row r="200" spans="1:1" x14ac:dyDescent="0.25">
      <c r="A200" s="472">
        <f>$A199+Planning!$D$2</f>
        <v>42385.691527777781</v>
      </c>
    </row>
    <row r="201" spans="1:1" x14ac:dyDescent="0.25">
      <c r="A201" s="472">
        <f>$A200+Planning!$D$2</f>
        <v>42386.691527777781</v>
      </c>
    </row>
    <row r="202" spans="1:1" x14ac:dyDescent="0.25">
      <c r="A202" s="472">
        <f>$A201+Planning!$D$2</f>
        <v>42387.691527777781</v>
      </c>
    </row>
    <row r="203" spans="1:1" x14ac:dyDescent="0.25">
      <c r="A203" s="472">
        <f>$A202+Planning!$D$2</f>
        <v>42388.691527777781</v>
      </c>
    </row>
    <row r="204" spans="1:1" x14ac:dyDescent="0.25">
      <c r="A204" s="472">
        <f>$A203+Planning!$D$2</f>
        <v>42389.691527777781</v>
      </c>
    </row>
    <row r="205" spans="1:1" x14ac:dyDescent="0.25">
      <c r="A205" s="472">
        <f>$A204+Planning!$D$2</f>
        <v>42390.691527777781</v>
      </c>
    </row>
    <row r="206" spans="1:1" x14ac:dyDescent="0.25">
      <c r="A206" s="472">
        <f>$A205+Planning!$D$2</f>
        <v>42391.691527777781</v>
      </c>
    </row>
    <row r="207" spans="1:1" x14ac:dyDescent="0.25">
      <c r="A207" s="472">
        <f>$A206+Planning!$D$2</f>
        <v>42392.691527777781</v>
      </c>
    </row>
    <row r="208" spans="1:1" x14ac:dyDescent="0.25">
      <c r="A208" s="472">
        <f>$A207+Planning!$D$2</f>
        <v>42393.691527777781</v>
      </c>
    </row>
    <row r="209" spans="1:1" x14ac:dyDescent="0.25">
      <c r="A209" s="472">
        <f>$A208+Planning!$D$2</f>
        <v>42394.691527777781</v>
      </c>
    </row>
    <row r="210" spans="1:1" x14ac:dyDescent="0.25">
      <c r="A210" s="472">
        <f>$A209+Planning!$D$2</f>
        <v>42395.691527777781</v>
      </c>
    </row>
    <row r="211" spans="1:1" x14ac:dyDescent="0.25">
      <c r="A211" s="472">
        <f>$A210+Planning!$D$2</f>
        <v>42396.691527777781</v>
      </c>
    </row>
    <row r="212" spans="1:1" x14ac:dyDescent="0.25">
      <c r="A212" s="472">
        <f>$A211+Planning!$D$2</f>
        <v>42397.691527777781</v>
      </c>
    </row>
    <row r="213" spans="1:1" x14ac:dyDescent="0.25">
      <c r="A213" s="472">
        <f>$A212+Planning!$D$2</f>
        <v>42398.691527777781</v>
      </c>
    </row>
    <row r="214" spans="1:1" x14ac:dyDescent="0.25">
      <c r="A214" s="472">
        <f>$A213+Planning!$D$2</f>
        <v>42399.691527777781</v>
      </c>
    </row>
    <row r="215" spans="1:1" x14ac:dyDescent="0.25">
      <c r="A215" s="472">
        <f>$A214+Planning!$D$2</f>
        <v>42400.691527777781</v>
      </c>
    </row>
    <row r="216" spans="1:1" x14ac:dyDescent="0.25">
      <c r="A216" s="472">
        <f>$A215+Planning!$D$2</f>
        <v>42401.691527777781</v>
      </c>
    </row>
    <row r="217" spans="1:1" x14ac:dyDescent="0.25">
      <c r="A217" s="472">
        <f>$A216+Planning!$D$2</f>
        <v>42402.691527777781</v>
      </c>
    </row>
    <row r="218" spans="1:1" x14ac:dyDescent="0.25">
      <c r="A218" s="472">
        <f>$A217+Planning!$D$2</f>
        <v>42403.691527777781</v>
      </c>
    </row>
    <row r="219" spans="1:1" x14ac:dyDescent="0.25">
      <c r="A219" s="472">
        <f>$A218+Planning!$D$2</f>
        <v>42404.691527777781</v>
      </c>
    </row>
    <row r="220" spans="1:1" x14ac:dyDescent="0.25">
      <c r="A220" s="472">
        <f>$A219+Planning!$D$2</f>
        <v>42405.691527777781</v>
      </c>
    </row>
    <row r="221" spans="1:1" x14ac:dyDescent="0.25">
      <c r="A221" s="472">
        <f>$A220+Planning!$D$2</f>
        <v>42406.691527777781</v>
      </c>
    </row>
    <row r="222" spans="1:1" x14ac:dyDescent="0.25">
      <c r="A222" s="472">
        <f>$A221+Planning!$D$2</f>
        <v>42407.691527777781</v>
      </c>
    </row>
    <row r="223" spans="1:1" x14ac:dyDescent="0.25">
      <c r="A223" s="472">
        <f>$A222+Planning!$D$2</f>
        <v>42408.691527777781</v>
      </c>
    </row>
    <row r="224" spans="1:1" x14ac:dyDescent="0.25">
      <c r="A224" s="472">
        <f>$A223+Planning!$D$2</f>
        <v>42409.691527777781</v>
      </c>
    </row>
    <row r="225" spans="1:1" x14ac:dyDescent="0.25">
      <c r="A225" s="472">
        <f>$A224+Planning!$D$2</f>
        <v>42410.691527777781</v>
      </c>
    </row>
    <row r="226" spans="1:1" x14ac:dyDescent="0.25">
      <c r="A226" s="472">
        <f>$A225+Planning!$D$2</f>
        <v>42411.691527777781</v>
      </c>
    </row>
    <row r="227" spans="1:1" x14ac:dyDescent="0.25">
      <c r="A227" s="472">
        <f>$A226+Planning!$D$2</f>
        <v>42412.691527777781</v>
      </c>
    </row>
    <row r="228" spans="1:1" x14ac:dyDescent="0.25">
      <c r="A228" s="472">
        <f>$A227+Planning!$D$2</f>
        <v>42413.691527777781</v>
      </c>
    </row>
    <row r="229" spans="1:1" x14ac:dyDescent="0.25">
      <c r="A229" s="472">
        <f>$A228+Planning!$D$2</f>
        <v>42414.691527777781</v>
      </c>
    </row>
    <row r="230" spans="1:1" x14ac:dyDescent="0.25">
      <c r="A230" s="472">
        <f>$A229+Planning!$D$2</f>
        <v>42415.691527777781</v>
      </c>
    </row>
    <row r="231" spans="1:1" x14ac:dyDescent="0.25">
      <c r="A231" s="472">
        <f>$A230+Planning!$D$2</f>
        <v>42416.691527777781</v>
      </c>
    </row>
    <row r="232" spans="1:1" x14ac:dyDescent="0.25">
      <c r="A232" s="472">
        <f>$A231+Planning!$D$2</f>
        <v>42417.691527777781</v>
      </c>
    </row>
    <row r="233" spans="1:1" x14ac:dyDescent="0.25">
      <c r="A233" s="472">
        <f>$A232+Planning!$D$2</f>
        <v>42418.691527777781</v>
      </c>
    </row>
    <row r="234" spans="1:1" x14ac:dyDescent="0.25">
      <c r="A234" s="472">
        <f>$A233+Planning!$D$2</f>
        <v>42419.691527777781</v>
      </c>
    </row>
    <row r="235" spans="1:1" x14ac:dyDescent="0.25">
      <c r="A235" s="472">
        <f>$A234+Planning!$D$2</f>
        <v>42420.691527777781</v>
      </c>
    </row>
    <row r="236" spans="1:1" x14ac:dyDescent="0.25">
      <c r="A236" s="472">
        <f>$A235+Planning!$D$2</f>
        <v>42421.691527777781</v>
      </c>
    </row>
    <row r="237" spans="1:1" x14ac:dyDescent="0.25">
      <c r="A237" s="472">
        <f>$A236+Planning!$D$2</f>
        <v>42422.691527777781</v>
      </c>
    </row>
    <row r="238" spans="1:1" x14ac:dyDescent="0.25">
      <c r="A238" s="472">
        <f>$A237+Planning!$D$2</f>
        <v>42423.691527777781</v>
      </c>
    </row>
    <row r="239" spans="1:1" x14ac:dyDescent="0.25">
      <c r="A239" s="472">
        <f>$A238+Planning!$D$2</f>
        <v>42424.691527777781</v>
      </c>
    </row>
    <row r="240" spans="1:1" x14ac:dyDescent="0.25">
      <c r="A240" s="472">
        <f>$A239+Planning!$D$2</f>
        <v>42425.691527777781</v>
      </c>
    </row>
    <row r="241" spans="1:1" x14ac:dyDescent="0.25">
      <c r="A241" s="472">
        <f>$A240+Planning!$D$2</f>
        <v>42426.691527777781</v>
      </c>
    </row>
    <row r="242" spans="1:1" x14ac:dyDescent="0.25">
      <c r="A242" s="472">
        <f>$A241+Planning!$D$2</f>
        <v>42427.691527777781</v>
      </c>
    </row>
    <row r="243" spans="1:1" x14ac:dyDescent="0.25">
      <c r="A243" s="472">
        <f>$A242+Planning!$D$2</f>
        <v>42428.691527777781</v>
      </c>
    </row>
    <row r="244" spans="1:1" x14ac:dyDescent="0.25">
      <c r="A244" s="472">
        <f>$A243+Planning!$D$2</f>
        <v>42429.691527777781</v>
      </c>
    </row>
    <row r="245" spans="1:1" x14ac:dyDescent="0.25">
      <c r="A245" s="472">
        <f>$A244+Planning!$D$2</f>
        <v>42430.691527777781</v>
      </c>
    </row>
    <row r="246" spans="1:1" x14ac:dyDescent="0.25">
      <c r="A246" s="472">
        <f>$A245+Planning!$D$2</f>
        <v>42431.691527777781</v>
      </c>
    </row>
    <row r="247" spans="1:1" x14ac:dyDescent="0.25">
      <c r="A247" s="472">
        <f>$A246+Planning!$D$2</f>
        <v>42432.691527777781</v>
      </c>
    </row>
    <row r="248" spans="1:1" x14ac:dyDescent="0.25">
      <c r="A248" s="472">
        <f>$A247+Planning!$D$2</f>
        <v>42433.691527777781</v>
      </c>
    </row>
    <row r="249" spans="1:1" x14ac:dyDescent="0.25">
      <c r="A249" s="472">
        <f>$A248+Planning!$D$2</f>
        <v>42434.691527777781</v>
      </c>
    </row>
    <row r="250" spans="1:1" x14ac:dyDescent="0.25">
      <c r="A250" s="472">
        <f>$A249+Planning!$D$2</f>
        <v>42435.691527777781</v>
      </c>
    </row>
    <row r="251" spans="1:1" x14ac:dyDescent="0.25">
      <c r="A251" s="472">
        <f>$A250+Planning!$D$2</f>
        <v>42436.691527777781</v>
      </c>
    </row>
    <row r="252" spans="1:1" x14ac:dyDescent="0.25">
      <c r="A252" s="472">
        <f>$A251+Planning!$D$2</f>
        <v>42437.691527777781</v>
      </c>
    </row>
    <row r="253" spans="1:1" x14ac:dyDescent="0.25">
      <c r="A253" s="472">
        <f>$A252+Planning!$D$2</f>
        <v>42438.691527777781</v>
      </c>
    </row>
    <row r="254" spans="1:1" x14ac:dyDescent="0.25">
      <c r="A254" s="472">
        <f>$A253+Planning!$D$2</f>
        <v>42439.691527777781</v>
      </c>
    </row>
    <row r="255" spans="1:1" x14ac:dyDescent="0.25">
      <c r="A255" s="472">
        <f>$A254+Planning!$D$2</f>
        <v>42440.691527777781</v>
      </c>
    </row>
    <row r="256" spans="1:1" x14ac:dyDescent="0.25">
      <c r="A256" s="472">
        <f>$A255+Planning!$D$2</f>
        <v>42441.691527777781</v>
      </c>
    </row>
    <row r="257" spans="1:1" x14ac:dyDescent="0.25">
      <c r="A257" s="472">
        <f>$A256+Planning!$D$2</f>
        <v>42442.691527777781</v>
      </c>
    </row>
    <row r="258" spans="1:1" x14ac:dyDescent="0.25">
      <c r="A258" s="472">
        <f>$A257+Planning!$D$2</f>
        <v>42443.691527777781</v>
      </c>
    </row>
    <row r="259" spans="1:1" x14ac:dyDescent="0.25">
      <c r="A259" s="472">
        <f>$A258+Planning!$D$2</f>
        <v>42444.691527777781</v>
      </c>
    </row>
    <row r="260" spans="1:1" x14ac:dyDescent="0.25">
      <c r="A260" s="472">
        <f>$A259+Planning!$D$2</f>
        <v>42445.691527777781</v>
      </c>
    </row>
    <row r="261" spans="1:1" x14ac:dyDescent="0.25">
      <c r="A261" s="472">
        <f>$A260+Planning!$D$2</f>
        <v>42446.691527777781</v>
      </c>
    </row>
    <row r="262" spans="1:1" x14ac:dyDescent="0.25">
      <c r="A262" s="472">
        <f>$A261+Planning!$D$2</f>
        <v>42447.691527777781</v>
      </c>
    </row>
    <row r="263" spans="1:1" x14ac:dyDescent="0.25">
      <c r="A263" s="472">
        <f>$A262+Planning!$D$2</f>
        <v>42448.691527777781</v>
      </c>
    </row>
    <row r="264" spans="1:1" x14ac:dyDescent="0.25">
      <c r="A264" s="472">
        <f>$A263+Planning!$D$2</f>
        <v>42449.691527777781</v>
      </c>
    </row>
    <row r="265" spans="1:1" x14ac:dyDescent="0.25">
      <c r="A265" s="472">
        <f>$A264+Planning!$D$2</f>
        <v>42450.691527777781</v>
      </c>
    </row>
    <row r="266" spans="1:1" x14ac:dyDescent="0.25">
      <c r="A266" s="472">
        <f>$A265+Planning!$D$2</f>
        <v>42451.691527777781</v>
      </c>
    </row>
    <row r="267" spans="1:1" x14ac:dyDescent="0.25">
      <c r="A267" s="472">
        <f>$A266+Planning!$D$2</f>
        <v>42452.691527777781</v>
      </c>
    </row>
    <row r="268" spans="1:1" x14ac:dyDescent="0.25">
      <c r="A268" s="472">
        <f>$A267+Planning!$D$2</f>
        <v>42453.691527777781</v>
      </c>
    </row>
    <row r="269" spans="1:1" x14ac:dyDescent="0.25">
      <c r="A269" s="472">
        <f>$A268+Planning!$D$2</f>
        <v>42454.691527777781</v>
      </c>
    </row>
    <row r="270" spans="1:1" x14ac:dyDescent="0.25">
      <c r="A270" s="472">
        <f>$A269+Planning!$D$2</f>
        <v>42455.691527777781</v>
      </c>
    </row>
    <row r="271" spans="1:1" x14ac:dyDescent="0.25">
      <c r="A271" s="472">
        <f>$A270+Planning!$D$2</f>
        <v>42456.691527777781</v>
      </c>
    </row>
    <row r="272" spans="1:1" x14ac:dyDescent="0.25">
      <c r="A272" s="472">
        <f>$A271+Planning!$D$2</f>
        <v>42457.691527777781</v>
      </c>
    </row>
    <row r="273" spans="1:1" x14ac:dyDescent="0.25">
      <c r="A273" s="472">
        <f>$A272+Planning!$D$2</f>
        <v>42458.691527777781</v>
      </c>
    </row>
    <row r="274" spans="1:1" x14ac:dyDescent="0.25">
      <c r="A274" s="472">
        <f>$A273+Planning!$D$2</f>
        <v>42459.691527777781</v>
      </c>
    </row>
    <row r="275" spans="1:1" x14ac:dyDescent="0.25">
      <c r="A275" s="472">
        <f>$A274+Planning!$D$2</f>
        <v>42460.691527777781</v>
      </c>
    </row>
    <row r="276" spans="1:1" x14ac:dyDescent="0.25">
      <c r="A276" s="472">
        <f>$A275+Planning!$D$2</f>
        <v>42461.691527777781</v>
      </c>
    </row>
    <row r="277" spans="1:1" x14ac:dyDescent="0.25">
      <c r="A277" s="472">
        <f>$A276+Planning!$D$2</f>
        <v>42462.691527777781</v>
      </c>
    </row>
    <row r="278" spans="1:1" x14ac:dyDescent="0.25">
      <c r="A278" s="472">
        <f>$A277+Planning!$D$2</f>
        <v>42463.691527777781</v>
      </c>
    </row>
    <row r="279" spans="1:1" x14ac:dyDescent="0.25">
      <c r="A279" s="472">
        <f>$A278+Planning!$D$2</f>
        <v>42464.691527777781</v>
      </c>
    </row>
    <row r="280" spans="1:1" x14ac:dyDescent="0.25">
      <c r="A280" s="472">
        <f>$A279+Planning!$D$2</f>
        <v>42465.691527777781</v>
      </c>
    </row>
    <row r="281" spans="1:1" x14ac:dyDescent="0.25">
      <c r="A281" s="472">
        <f>$A280+Planning!$D$2</f>
        <v>42466.691527777781</v>
      </c>
    </row>
    <row r="282" spans="1:1" x14ac:dyDescent="0.25">
      <c r="A282" s="472">
        <f>$A281+Planning!$D$2</f>
        <v>42467.691527777781</v>
      </c>
    </row>
    <row r="283" spans="1:1" x14ac:dyDescent="0.25">
      <c r="A283" s="472">
        <f>$A282+Planning!$D$2</f>
        <v>42468.691527777781</v>
      </c>
    </row>
    <row r="284" spans="1:1" x14ac:dyDescent="0.25">
      <c r="A284" s="472">
        <f>$A283+Planning!$D$2</f>
        <v>42469.691527777781</v>
      </c>
    </row>
    <row r="285" spans="1:1" x14ac:dyDescent="0.25">
      <c r="A285" s="472">
        <f>$A284+Planning!$D$2</f>
        <v>42470.691527777781</v>
      </c>
    </row>
    <row r="286" spans="1:1" x14ac:dyDescent="0.25">
      <c r="A286" s="472">
        <f>$A285+Planning!$D$2</f>
        <v>42471.691527777781</v>
      </c>
    </row>
    <row r="287" spans="1:1" x14ac:dyDescent="0.25">
      <c r="A287" s="472">
        <f>$A286+Planning!$D$2</f>
        <v>42472.691527777781</v>
      </c>
    </row>
    <row r="288" spans="1:1" x14ac:dyDescent="0.25">
      <c r="A288" s="472">
        <f>$A287+Planning!$D$2</f>
        <v>42473.691527777781</v>
      </c>
    </row>
    <row r="289" spans="1:1" x14ac:dyDescent="0.25">
      <c r="A289" s="472">
        <f>$A288+Planning!$D$2</f>
        <v>42474.691527777781</v>
      </c>
    </row>
    <row r="290" spans="1:1" x14ac:dyDescent="0.25">
      <c r="A290" s="472">
        <f>$A289+Planning!$D$2</f>
        <v>42475.691527777781</v>
      </c>
    </row>
    <row r="291" spans="1:1" x14ac:dyDescent="0.25">
      <c r="A291" s="472">
        <f>$A290+Planning!$D$2</f>
        <v>42476.691527777781</v>
      </c>
    </row>
    <row r="292" spans="1:1" x14ac:dyDescent="0.25">
      <c r="A292" s="472">
        <f>$A291+Planning!$D$2</f>
        <v>42477.691527777781</v>
      </c>
    </row>
    <row r="293" spans="1:1" x14ac:dyDescent="0.25">
      <c r="A293" s="472">
        <f>$A292+Planning!$D$2</f>
        <v>42478.691527777781</v>
      </c>
    </row>
    <row r="294" spans="1:1" x14ac:dyDescent="0.25">
      <c r="A294" s="472">
        <f>$A293+Planning!$D$2</f>
        <v>42479.691527777781</v>
      </c>
    </row>
    <row r="295" spans="1:1" x14ac:dyDescent="0.25">
      <c r="A295" s="472">
        <f>$A294+Planning!$D$2</f>
        <v>42480.691527777781</v>
      </c>
    </row>
    <row r="296" spans="1:1" x14ac:dyDescent="0.25">
      <c r="A296" s="472">
        <f>$A295+Planning!$D$2</f>
        <v>42481.691527777781</v>
      </c>
    </row>
    <row r="297" spans="1:1" x14ac:dyDescent="0.25">
      <c r="A297" s="472">
        <f>$A296+Planning!$D$2</f>
        <v>42482.691527777781</v>
      </c>
    </row>
    <row r="298" spans="1:1" x14ac:dyDescent="0.25">
      <c r="A298" s="472">
        <f>$A297+Planning!$D$2</f>
        <v>42483.691527777781</v>
      </c>
    </row>
    <row r="299" spans="1:1" x14ac:dyDescent="0.25">
      <c r="A299" s="472">
        <f>$A298+Planning!$D$2</f>
        <v>42484.691527777781</v>
      </c>
    </row>
    <row r="300" spans="1:1" x14ac:dyDescent="0.25">
      <c r="A300" s="472">
        <f>$A299+Planning!$D$2</f>
        <v>42485.691527777781</v>
      </c>
    </row>
    <row r="301" spans="1:1" x14ac:dyDescent="0.25">
      <c r="A301" s="472">
        <f>$A300+Planning!$D$2</f>
        <v>42486.691527777781</v>
      </c>
    </row>
    <row r="302" spans="1:1" x14ac:dyDescent="0.25">
      <c r="A302" s="472">
        <f>$A301+Planning!$D$2</f>
        <v>42487.691527777781</v>
      </c>
    </row>
    <row r="303" spans="1:1" x14ac:dyDescent="0.25">
      <c r="A303" s="472">
        <f>$A302+Planning!$D$2</f>
        <v>42488.691527777781</v>
      </c>
    </row>
    <row r="304" spans="1:1" x14ac:dyDescent="0.25">
      <c r="A304" s="472">
        <f>$A303+Planning!$D$2</f>
        <v>42489.691527777781</v>
      </c>
    </row>
    <row r="305" spans="1:1" x14ac:dyDescent="0.25">
      <c r="A305" s="472">
        <f>$A304+Planning!$D$2</f>
        <v>42490.691527777781</v>
      </c>
    </row>
    <row r="306" spans="1:1" x14ac:dyDescent="0.25">
      <c r="A306" s="472">
        <f>$A305+Planning!$D$2</f>
        <v>42491.691527777781</v>
      </c>
    </row>
    <row r="307" spans="1:1" x14ac:dyDescent="0.25">
      <c r="A307" s="472">
        <f>$A306+Planning!$D$2</f>
        <v>42492.691527777781</v>
      </c>
    </row>
    <row r="308" spans="1:1" x14ac:dyDescent="0.25">
      <c r="A308" s="472">
        <f>$A307+Planning!$D$2</f>
        <v>42493.691527777781</v>
      </c>
    </row>
    <row r="309" spans="1:1" x14ac:dyDescent="0.25">
      <c r="A309" s="472">
        <f>$A308+Planning!$D$2</f>
        <v>42494.691527777781</v>
      </c>
    </row>
    <row r="310" spans="1:1" x14ac:dyDescent="0.25">
      <c r="A310" s="472">
        <f>$A309+Planning!$D$2</f>
        <v>42495.691527777781</v>
      </c>
    </row>
    <row r="311" spans="1:1" x14ac:dyDescent="0.25">
      <c r="A311" s="472">
        <f>$A310+Planning!$D$2</f>
        <v>42496.691527777781</v>
      </c>
    </row>
    <row r="312" spans="1:1" x14ac:dyDescent="0.25">
      <c r="A312" s="472">
        <f>$A311+Planning!$D$2</f>
        <v>42497.691527777781</v>
      </c>
    </row>
    <row r="313" spans="1:1" x14ac:dyDescent="0.25">
      <c r="A313" s="472">
        <f>$A312+Planning!$D$2</f>
        <v>42498.691527777781</v>
      </c>
    </row>
    <row r="314" spans="1:1" x14ac:dyDescent="0.25">
      <c r="A314" s="472">
        <f>$A313+Planning!$D$2</f>
        <v>42499.691527777781</v>
      </c>
    </row>
    <row r="315" spans="1:1" x14ac:dyDescent="0.25">
      <c r="A315" s="472">
        <f>$A314+Planning!$D$2</f>
        <v>42500.691527777781</v>
      </c>
    </row>
    <row r="316" spans="1:1" x14ac:dyDescent="0.25">
      <c r="A316" s="472">
        <f>$A315+Planning!$D$2</f>
        <v>42501.691527777781</v>
      </c>
    </row>
    <row r="317" spans="1:1" x14ac:dyDescent="0.25">
      <c r="A317" s="472">
        <f>$A316+Planning!$D$2</f>
        <v>42502.691527777781</v>
      </c>
    </row>
    <row r="318" spans="1:1" x14ac:dyDescent="0.25">
      <c r="A318" s="472">
        <f>$A317+Planning!$D$2</f>
        <v>42503.691527777781</v>
      </c>
    </row>
    <row r="319" spans="1:1" x14ac:dyDescent="0.25">
      <c r="A319" s="472">
        <f>$A318+Planning!$D$2</f>
        <v>42504.691527777781</v>
      </c>
    </row>
    <row r="320" spans="1:1" x14ac:dyDescent="0.25">
      <c r="A320" s="472">
        <f>$A319+Planning!$D$2</f>
        <v>42505.691527777781</v>
      </c>
    </row>
    <row r="321" spans="1:1" x14ac:dyDescent="0.25">
      <c r="A321" s="472">
        <f>$A320+Planning!$D$2</f>
        <v>42506.691527777781</v>
      </c>
    </row>
    <row r="322" spans="1:1" x14ac:dyDescent="0.25">
      <c r="A322" s="472">
        <f>$A321+Planning!$D$2</f>
        <v>42507.691527777781</v>
      </c>
    </row>
    <row r="323" spans="1:1" x14ac:dyDescent="0.25">
      <c r="A323" s="472">
        <f>$A322+Planning!$D$2</f>
        <v>42508.691527777781</v>
      </c>
    </row>
    <row r="324" spans="1:1" x14ac:dyDescent="0.25">
      <c r="A324" s="472">
        <f>$A323+Planning!$D$2</f>
        <v>42509.691527777781</v>
      </c>
    </row>
    <row r="325" spans="1:1" x14ac:dyDescent="0.25">
      <c r="A325" s="472">
        <f>$A324+Planning!$D$2</f>
        <v>42510.691527777781</v>
      </c>
    </row>
    <row r="326" spans="1:1" x14ac:dyDescent="0.25">
      <c r="A326" s="472">
        <f>$A325+Planning!$D$2</f>
        <v>42511.691527777781</v>
      </c>
    </row>
    <row r="327" spans="1:1" x14ac:dyDescent="0.25">
      <c r="A327" s="472">
        <f>$A326+Planning!$D$2</f>
        <v>42512.691527777781</v>
      </c>
    </row>
    <row r="328" spans="1:1" x14ac:dyDescent="0.25">
      <c r="A328" s="472">
        <f>$A327+Planning!$D$2</f>
        <v>42513.691527777781</v>
      </c>
    </row>
    <row r="329" spans="1:1" x14ac:dyDescent="0.25">
      <c r="A329" s="472">
        <f>$A328+Planning!$D$2</f>
        <v>42514.691527777781</v>
      </c>
    </row>
    <row r="330" spans="1:1" x14ac:dyDescent="0.25">
      <c r="A330" s="472">
        <f>$A329+Planning!$D$2</f>
        <v>42515.691527777781</v>
      </c>
    </row>
    <row r="331" spans="1:1" x14ac:dyDescent="0.25">
      <c r="A331" s="472">
        <f>$A330+Planning!$D$2</f>
        <v>42516.691527777781</v>
      </c>
    </row>
    <row r="332" spans="1:1" x14ac:dyDescent="0.25">
      <c r="A332" s="472">
        <f>$A331+Planning!$D$2</f>
        <v>42517.691527777781</v>
      </c>
    </row>
    <row r="333" spans="1:1" x14ac:dyDescent="0.25">
      <c r="A333" s="472">
        <f>$A332+Planning!$D$2</f>
        <v>42518.691527777781</v>
      </c>
    </row>
    <row r="334" spans="1:1" x14ac:dyDescent="0.25">
      <c r="A334" s="472">
        <f>$A333+Planning!$D$2</f>
        <v>42519.691527777781</v>
      </c>
    </row>
    <row r="335" spans="1:1" x14ac:dyDescent="0.25">
      <c r="A335" s="472">
        <f>$A334+Planning!$D$2</f>
        <v>42520.691527777781</v>
      </c>
    </row>
    <row r="336" spans="1:1" x14ac:dyDescent="0.25">
      <c r="A336" s="472">
        <f>$A335+Planning!$D$2</f>
        <v>42521.691527777781</v>
      </c>
    </row>
    <row r="337" spans="1:1" x14ac:dyDescent="0.25">
      <c r="A337" s="472">
        <f>$A336+Planning!$D$2</f>
        <v>42522.691527777781</v>
      </c>
    </row>
    <row r="338" spans="1:1" x14ac:dyDescent="0.25">
      <c r="A338" s="472">
        <f>$A337+Planning!$D$2</f>
        <v>42523.691527777781</v>
      </c>
    </row>
    <row r="339" spans="1:1" x14ac:dyDescent="0.25">
      <c r="A339" s="472">
        <f>$A338+Planning!$D$2</f>
        <v>42524.691527777781</v>
      </c>
    </row>
    <row r="340" spans="1:1" x14ac:dyDescent="0.25">
      <c r="A340" s="472">
        <f>$A339+Planning!$D$2</f>
        <v>42525.691527777781</v>
      </c>
    </row>
    <row r="341" spans="1:1" x14ac:dyDescent="0.25">
      <c r="A341" s="472">
        <f>$A340+Planning!$D$2</f>
        <v>42526.691527777781</v>
      </c>
    </row>
    <row r="342" spans="1:1" x14ac:dyDescent="0.25">
      <c r="A342" s="472">
        <f>$A341+Planning!$D$2</f>
        <v>42527.691527777781</v>
      </c>
    </row>
    <row r="343" spans="1:1" x14ac:dyDescent="0.25">
      <c r="A343" s="472">
        <f>$A342+Planning!$D$2</f>
        <v>42528.691527777781</v>
      </c>
    </row>
    <row r="344" spans="1:1" x14ac:dyDescent="0.25">
      <c r="A344" s="472">
        <f>$A343+Planning!$D$2</f>
        <v>42529.691527777781</v>
      </c>
    </row>
    <row r="345" spans="1:1" x14ac:dyDescent="0.25">
      <c r="A345" s="472">
        <f>$A344+Planning!$D$2</f>
        <v>42530.691527777781</v>
      </c>
    </row>
    <row r="346" spans="1:1" x14ac:dyDescent="0.25">
      <c r="A346" s="472">
        <f>$A345+Planning!$D$2</f>
        <v>42531.691527777781</v>
      </c>
    </row>
    <row r="347" spans="1:1" x14ac:dyDescent="0.25">
      <c r="A347" s="472">
        <f>$A346+Planning!$D$2</f>
        <v>42532.691527777781</v>
      </c>
    </row>
    <row r="348" spans="1:1" x14ac:dyDescent="0.25">
      <c r="A348" s="472">
        <f>$A347+Planning!$D$2</f>
        <v>42533.691527777781</v>
      </c>
    </row>
    <row r="349" spans="1:1" x14ac:dyDescent="0.25">
      <c r="A349" s="472">
        <f>$A348+Planning!$D$2</f>
        <v>42534.691527777781</v>
      </c>
    </row>
    <row r="350" spans="1:1" x14ac:dyDescent="0.25">
      <c r="A350" s="472">
        <f>$A349+Planning!$D$2</f>
        <v>42535.691527777781</v>
      </c>
    </row>
    <row r="351" spans="1:1" x14ac:dyDescent="0.25">
      <c r="A351" s="472">
        <f>$A350+Planning!$D$2</f>
        <v>42536.691527777781</v>
      </c>
    </row>
    <row r="352" spans="1:1" x14ac:dyDescent="0.25">
      <c r="A352" s="472">
        <f>$A351+Planning!$D$2</f>
        <v>42537.691527777781</v>
      </c>
    </row>
    <row r="353" spans="1:1" x14ac:dyDescent="0.25">
      <c r="A353" s="472">
        <f>$A352+Planning!$D$2</f>
        <v>42538.691527777781</v>
      </c>
    </row>
    <row r="354" spans="1:1" x14ac:dyDescent="0.25">
      <c r="A354" s="472">
        <f>$A353+Planning!$D$2</f>
        <v>42539.691527777781</v>
      </c>
    </row>
    <row r="355" spans="1:1" x14ac:dyDescent="0.25">
      <c r="A355" s="472">
        <f>$A354+Planning!$D$2</f>
        <v>42540.691527777781</v>
      </c>
    </row>
    <row r="356" spans="1:1" x14ac:dyDescent="0.25">
      <c r="A356" s="472">
        <f>$A355+Planning!$D$2</f>
        <v>42541.691527777781</v>
      </c>
    </row>
    <row r="357" spans="1:1" x14ac:dyDescent="0.25">
      <c r="A357" s="472">
        <f>$A356+Planning!$D$2</f>
        <v>42542.691527777781</v>
      </c>
    </row>
    <row r="358" spans="1:1" x14ac:dyDescent="0.25">
      <c r="A358" s="472">
        <f>$A357+Planning!$D$2</f>
        <v>42543.691527777781</v>
      </c>
    </row>
    <row r="359" spans="1:1" x14ac:dyDescent="0.25">
      <c r="A359" s="472">
        <f>$A358+Planning!$D$2</f>
        <v>42544.691527777781</v>
      </c>
    </row>
    <row r="360" spans="1:1" x14ac:dyDescent="0.25">
      <c r="A360" s="472">
        <f>$A359+Planning!$D$2</f>
        <v>42545.691527777781</v>
      </c>
    </row>
    <row r="361" spans="1:1" x14ac:dyDescent="0.25">
      <c r="A361" s="472">
        <f>$A360+Planning!$D$2</f>
        <v>42546.691527777781</v>
      </c>
    </row>
    <row r="362" spans="1:1" x14ac:dyDescent="0.25">
      <c r="A362" s="472">
        <f>$A361+Planning!$D$2</f>
        <v>42547.691527777781</v>
      </c>
    </row>
    <row r="363" spans="1:1" x14ac:dyDescent="0.25">
      <c r="A363" s="472">
        <f>$A362+Planning!$D$2</f>
        <v>42548.691527777781</v>
      </c>
    </row>
    <row r="364" spans="1:1" x14ac:dyDescent="0.25">
      <c r="A364" s="472">
        <f>$A363+Planning!$D$2</f>
        <v>42549.691527777781</v>
      </c>
    </row>
    <row r="365" spans="1:1" x14ac:dyDescent="0.25">
      <c r="A365" s="472">
        <f>$A364+Planning!$D$2</f>
        <v>42550.691527777781</v>
      </c>
    </row>
    <row r="366" spans="1:1" x14ac:dyDescent="0.25">
      <c r="A366" s="472">
        <f>$A365+Planning!$D$2</f>
        <v>42551.691527777781</v>
      </c>
    </row>
    <row r="367" spans="1:1" x14ac:dyDescent="0.25">
      <c r="A367" s="472">
        <f>$A366+Planning!$D$2</f>
        <v>42552.691527777781</v>
      </c>
    </row>
    <row r="368" spans="1:1" x14ac:dyDescent="0.25">
      <c r="A368" s="472">
        <f>$A367+Planning!$D$2</f>
        <v>42553.691527777781</v>
      </c>
    </row>
    <row r="369" spans="1:1" x14ac:dyDescent="0.25">
      <c r="A369" s="472">
        <f>$A368+Planning!$D$2</f>
        <v>42554.691527777781</v>
      </c>
    </row>
    <row r="370" spans="1:1" x14ac:dyDescent="0.25">
      <c r="A370" s="472">
        <f>$A369+Planning!$D$2</f>
        <v>42555.691527777781</v>
      </c>
    </row>
    <row r="371" spans="1:1" x14ac:dyDescent="0.25">
      <c r="A371" s="472">
        <f>$A370+Planning!$D$2</f>
        <v>42556.691527777781</v>
      </c>
    </row>
    <row r="372" spans="1:1" x14ac:dyDescent="0.25">
      <c r="A372" s="472">
        <f>$A371+Planning!$D$2</f>
        <v>42557.691527777781</v>
      </c>
    </row>
    <row r="373" spans="1:1" x14ac:dyDescent="0.25">
      <c r="A373" s="472">
        <f>$A372+Planning!$D$2</f>
        <v>42558.691527777781</v>
      </c>
    </row>
    <row r="374" spans="1:1" x14ac:dyDescent="0.25">
      <c r="A374" s="472">
        <f>$A373+Planning!$D$2</f>
        <v>42559.691527777781</v>
      </c>
    </row>
    <row r="375" spans="1:1" x14ac:dyDescent="0.25">
      <c r="A375" s="472">
        <f>$A374+Planning!$D$2</f>
        <v>42560.691527777781</v>
      </c>
    </row>
    <row r="376" spans="1:1" x14ac:dyDescent="0.25">
      <c r="A376" s="472">
        <f>$A375+Planning!$D$2</f>
        <v>42561.691527777781</v>
      </c>
    </row>
    <row r="377" spans="1:1" x14ac:dyDescent="0.25">
      <c r="A377" s="472">
        <f>$A376+Planning!$D$2</f>
        <v>42562.691527777781</v>
      </c>
    </row>
    <row r="378" spans="1:1" x14ac:dyDescent="0.25">
      <c r="A378" s="472">
        <f>$A377+Planning!$D$2</f>
        <v>42563.691527777781</v>
      </c>
    </row>
    <row r="379" spans="1:1" x14ac:dyDescent="0.25">
      <c r="A379" s="472">
        <f>$A378+Planning!$D$2</f>
        <v>42564.691527777781</v>
      </c>
    </row>
    <row r="380" spans="1:1" x14ac:dyDescent="0.25">
      <c r="A380" s="472">
        <f>$A379+Planning!$D$2</f>
        <v>42565.691527777781</v>
      </c>
    </row>
    <row r="381" spans="1:1" x14ac:dyDescent="0.25">
      <c r="A381" s="472">
        <f>$A380+Planning!$D$2</f>
        <v>42566.691527777781</v>
      </c>
    </row>
    <row r="382" spans="1:1" x14ac:dyDescent="0.25">
      <c r="A382" s="472">
        <f>$A381+Planning!$D$2</f>
        <v>42567.691527777781</v>
      </c>
    </row>
    <row r="383" spans="1:1" x14ac:dyDescent="0.25">
      <c r="A383" s="472">
        <f>$A382+Planning!$D$2</f>
        <v>42568.691527777781</v>
      </c>
    </row>
    <row r="384" spans="1:1" x14ac:dyDescent="0.25">
      <c r="A384" s="472">
        <f>$A383+Planning!$D$2</f>
        <v>42569.691527777781</v>
      </c>
    </row>
    <row r="385" spans="1:1" x14ac:dyDescent="0.25">
      <c r="A385" s="472">
        <f>$A384+Planning!$D$2</f>
        <v>42570.691527777781</v>
      </c>
    </row>
    <row r="386" spans="1:1" x14ac:dyDescent="0.25">
      <c r="A386" s="472">
        <f>$A385+Planning!$D$2</f>
        <v>42571.691527777781</v>
      </c>
    </row>
    <row r="387" spans="1:1" x14ac:dyDescent="0.25">
      <c r="A387" s="472">
        <f>$A386+Planning!$D$2</f>
        <v>42572.691527777781</v>
      </c>
    </row>
    <row r="388" spans="1:1" x14ac:dyDescent="0.25">
      <c r="A388" s="472">
        <f>$A387+Planning!$D$2</f>
        <v>42573.691527777781</v>
      </c>
    </row>
    <row r="389" spans="1:1" x14ac:dyDescent="0.25">
      <c r="A389" s="472">
        <f>$A388+Planning!$D$2</f>
        <v>42574.691527777781</v>
      </c>
    </row>
    <row r="390" spans="1:1" x14ac:dyDescent="0.25">
      <c r="A390" s="472">
        <f>$A389+Planning!$D$2</f>
        <v>42575.691527777781</v>
      </c>
    </row>
    <row r="391" spans="1:1" x14ac:dyDescent="0.25">
      <c r="A391" s="472">
        <f>$A390+Planning!$D$2</f>
        <v>42576.691527777781</v>
      </c>
    </row>
    <row r="392" spans="1:1" x14ac:dyDescent="0.25">
      <c r="A392" s="472">
        <f>$A391+Planning!$D$2</f>
        <v>42577.691527777781</v>
      </c>
    </row>
    <row r="393" spans="1:1" x14ac:dyDescent="0.25">
      <c r="A393" s="472">
        <f>$A392+Planning!$D$2</f>
        <v>42578.691527777781</v>
      </c>
    </row>
    <row r="394" spans="1:1" x14ac:dyDescent="0.25">
      <c r="A394" s="472">
        <f>$A393+Planning!$D$2</f>
        <v>42579.691527777781</v>
      </c>
    </row>
    <row r="395" spans="1:1" x14ac:dyDescent="0.25">
      <c r="A395" s="472">
        <f>$A394+Planning!$D$2</f>
        <v>42580.691527777781</v>
      </c>
    </row>
    <row r="396" spans="1:1" x14ac:dyDescent="0.25">
      <c r="A396" s="472">
        <f>$A395+Planning!$D$2</f>
        <v>42581.691527777781</v>
      </c>
    </row>
    <row r="397" spans="1:1" x14ac:dyDescent="0.25">
      <c r="A397" s="472">
        <f>$A396+Planning!$D$2</f>
        <v>42582.691527777781</v>
      </c>
    </row>
    <row r="398" spans="1:1" x14ac:dyDescent="0.25">
      <c r="A398" s="472">
        <f>$A397+Planning!$D$2</f>
        <v>42583.691527777781</v>
      </c>
    </row>
    <row r="399" spans="1:1" x14ac:dyDescent="0.25">
      <c r="A399" s="472">
        <f>$A398+Planning!$D$2</f>
        <v>42584.691527777781</v>
      </c>
    </row>
    <row r="400" spans="1:1" x14ac:dyDescent="0.25">
      <c r="A400" s="472">
        <f>$A399+Planning!$D$2</f>
        <v>42585.691527777781</v>
      </c>
    </row>
    <row r="401" spans="1:1" x14ac:dyDescent="0.25">
      <c r="A401" s="472">
        <f>$A400+Planning!$D$2</f>
        <v>42586.691527777781</v>
      </c>
    </row>
    <row r="402" spans="1:1" x14ac:dyDescent="0.25">
      <c r="A402" s="472">
        <f>$A401+Planning!$D$2</f>
        <v>42587.691527777781</v>
      </c>
    </row>
    <row r="403" spans="1:1" x14ac:dyDescent="0.25">
      <c r="A403" s="472">
        <f>$A402+Planning!$D$2</f>
        <v>42588.691527777781</v>
      </c>
    </row>
    <row r="404" spans="1:1" x14ac:dyDescent="0.25">
      <c r="A404" s="472">
        <f>$A403+Planning!$D$2</f>
        <v>42589.691527777781</v>
      </c>
    </row>
    <row r="405" spans="1:1" x14ac:dyDescent="0.25">
      <c r="A405" s="472">
        <f>$A404+Planning!$D$2</f>
        <v>42590.691527777781</v>
      </c>
    </row>
    <row r="406" spans="1:1" x14ac:dyDescent="0.25">
      <c r="A406" s="472">
        <f>$A405+Planning!$D$2</f>
        <v>42591.691527777781</v>
      </c>
    </row>
    <row r="407" spans="1:1" x14ac:dyDescent="0.25">
      <c r="A407" s="472">
        <f>$A406+Planning!$D$2</f>
        <v>42592.691527777781</v>
      </c>
    </row>
    <row r="408" spans="1:1" x14ac:dyDescent="0.25">
      <c r="A408" s="472">
        <f>$A407+Planning!$D$2</f>
        <v>42593.691527777781</v>
      </c>
    </row>
    <row r="409" spans="1:1" x14ac:dyDescent="0.25">
      <c r="A409" s="472">
        <f>$A408+Planning!$D$2</f>
        <v>42594.691527777781</v>
      </c>
    </row>
    <row r="410" spans="1:1" x14ac:dyDescent="0.25">
      <c r="A410" s="472">
        <f>$A409+Planning!$D$2</f>
        <v>42595.691527777781</v>
      </c>
    </row>
    <row r="411" spans="1:1" x14ac:dyDescent="0.25">
      <c r="A411" s="472">
        <f>$A410+Planning!$D$2</f>
        <v>42596.691527777781</v>
      </c>
    </row>
    <row r="412" spans="1:1" x14ac:dyDescent="0.25">
      <c r="A412" s="472">
        <f>$A411+Planning!$D$2</f>
        <v>42597.691527777781</v>
      </c>
    </row>
    <row r="413" spans="1:1" x14ac:dyDescent="0.25">
      <c r="A413" s="472">
        <f>$A412+Planning!$D$2</f>
        <v>42598.691527777781</v>
      </c>
    </row>
    <row r="414" spans="1:1" x14ac:dyDescent="0.25">
      <c r="A414" s="472">
        <f>$A413+Planning!$D$2</f>
        <v>42599.691527777781</v>
      </c>
    </row>
    <row r="415" spans="1:1" x14ac:dyDescent="0.25">
      <c r="A415" s="472">
        <f>$A414+Planning!$D$2</f>
        <v>42600.691527777781</v>
      </c>
    </row>
    <row r="416" spans="1:1" x14ac:dyDescent="0.25">
      <c r="A416" s="472">
        <f>$A415+Planning!$D$2</f>
        <v>42601.691527777781</v>
      </c>
    </row>
    <row r="417" spans="1:1" x14ac:dyDescent="0.25">
      <c r="A417" s="472">
        <f>$A416+Planning!$D$2</f>
        <v>42602.691527777781</v>
      </c>
    </row>
    <row r="418" spans="1:1" x14ac:dyDescent="0.25">
      <c r="A418" s="472">
        <f>$A417+Planning!$D$2</f>
        <v>42603.691527777781</v>
      </c>
    </row>
    <row r="419" spans="1:1" x14ac:dyDescent="0.25">
      <c r="A419" s="472">
        <f>$A418+Planning!$D$2</f>
        <v>42604.691527777781</v>
      </c>
    </row>
    <row r="420" spans="1:1" x14ac:dyDescent="0.25">
      <c r="A420" s="472">
        <f>$A419+Planning!$D$2</f>
        <v>42605.691527777781</v>
      </c>
    </row>
    <row r="421" spans="1:1" x14ac:dyDescent="0.25">
      <c r="A421" s="472">
        <f>$A420+Planning!$D$2</f>
        <v>42606.691527777781</v>
      </c>
    </row>
    <row r="422" spans="1:1" x14ac:dyDescent="0.25">
      <c r="A422" s="472">
        <f>$A421+Planning!$D$2</f>
        <v>42607.691527777781</v>
      </c>
    </row>
    <row r="423" spans="1:1" x14ac:dyDescent="0.25">
      <c r="A423" s="472">
        <f>$A422+Planning!$D$2</f>
        <v>42608.691527777781</v>
      </c>
    </row>
    <row r="424" spans="1:1" x14ac:dyDescent="0.25">
      <c r="A424" s="472">
        <f>$A423+Planning!$D$2</f>
        <v>42609.691527777781</v>
      </c>
    </row>
    <row r="425" spans="1:1" x14ac:dyDescent="0.25">
      <c r="A425" s="472">
        <f>$A424+Planning!$D$2</f>
        <v>42610.691527777781</v>
      </c>
    </row>
    <row r="426" spans="1:1" x14ac:dyDescent="0.25">
      <c r="A426" s="472">
        <f>$A425+Planning!$D$2</f>
        <v>42611.691527777781</v>
      </c>
    </row>
    <row r="427" spans="1:1" x14ac:dyDescent="0.25">
      <c r="A427" s="472">
        <f>$A426+Planning!$D$2</f>
        <v>42612.691527777781</v>
      </c>
    </row>
    <row r="428" spans="1:1" x14ac:dyDescent="0.25">
      <c r="A428" s="472">
        <f>$A427+Planning!$D$2</f>
        <v>42613.691527777781</v>
      </c>
    </row>
    <row r="429" spans="1:1" x14ac:dyDescent="0.25">
      <c r="A429" s="472">
        <f>$A428+Planning!$D$2</f>
        <v>42614.691527777781</v>
      </c>
    </row>
    <row r="430" spans="1:1" x14ac:dyDescent="0.25">
      <c r="A430" s="472">
        <f>$A429+Planning!$D$2</f>
        <v>42615.691527777781</v>
      </c>
    </row>
    <row r="431" spans="1:1" x14ac:dyDescent="0.25">
      <c r="A431" s="472">
        <f>$A430+Planning!$D$2</f>
        <v>42616.691527777781</v>
      </c>
    </row>
    <row r="432" spans="1:1" x14ac:dyDescent="0.25">
      <c r="A432" s="472">
        <f>$A431+Planning!$D$2</f>
        <v>42617.691527777781</v>
      </c>
    </row>
    <row r="433" spans="1:1" x14ac:dyDescent="0.25">
      <c r="A433" s="472">
        <f>$A432+Planning!$D$2</f>
        <v>42618.691527777781</v>
      </c>
    </row>
    <row r="434" spans="1:1" x14ac:dyDescent="0.25">
      <c r="A434" s="472">
        <f>$A433+Planning!$D$2</f>
        <v>42619.691527777781</v>
      </c>
    </row>
    <row r="435" spans="1:1" x14ac:dyDescent="0.25">
      <c r="A435" s="472">
        <f>$A434+Planning!$D$2</f>
        <v>42620.691527777781</v>
      </c>
    </row>
    <row r="436" spans="1:1" x14ac:dyDescent="0.25">
      <c r="A436" s="472">
        <f>$A435+Planning!$D$2</f>
        <v>42621.691527777781</v>
      </c>
    </row>
    <row r="437" spans="1:1" x14ac:dyDescent="0.25">
      <c r="A437" s="472">
        <f>$A436+Planning!$D$2</f>
        <v>42622.691527777781</v>
      </c>
    </row>
    <row r="438" spans="1:1" x14ac:dyDescent="0.25">
      <c r="A438" s="472">
        <f>$A437+Planning!$D$2</f>
        <v>42623.691527777781</v>
      </c>
    </row>
    <row r="439" spans="1:1" x14ac:dyDescent="0.25">
      <c r="A439" s="472">
        <f>$A438+Planning!$D$2</f>
        <v>42624.691527777781</v>
      </c>
    </row>
    <row r="440" spans="1:1" x14ac:dyDescent="0.25">
      <c r="A440" s="472">
        <f>$A439+Planning!$D$2</f>
        <v>42625.691527777781</v>
      </c>
    </row>
    <row r="441" spans="1:1" x14ac:dyDescent="0.25">
      <c r="A441" s="472">
        <f>$A440+Planning!$D$2</f>
        <v>42626.691527777781</v>
      </c>
    </row>
    <row r="442" spans="1:1" x14ac:dyDescent="0.25">
      <c r="A442" s="472">
        <f>$A441+Planning!$D$2</f>
        <v>42627.691527777781</v>
      </c>
    </row>
    <row r="443" spans="1:1" x14ac:dyDescent="0.25">
      <c r="A443" s="472">
        <f>$A442+Planning!$D$2</f>
        <v>42628.691527777781</v>
      </c>
    </row>
    <row r="444" spans="1:1" x14ac:dyDescent="0.25">
      <c r="A444" s="472">
        <f>$A443+Planning!$D$2</f>
        <v>42629.691527777781</v>
      </c>
    </row>
    <row r="445" spans="1:1" x14ac:dyDescent="0.25">
      <c r="A445" s="472">
        <f>$A444+Planning!$D$2</f>
        <v>42630.691527777781</v>
      </c>
    </row>
    <row r="446" spans="1:1" x14ac:dyDescent="0.25">
      <c r="A446" s="472">
        <f>$A445+Planning!$D$2</f>
        <v>42631.691527777781</v>
      </c>
    </row>
    <row r="447" spans="1:1" x14ac:dyDescent="0.25">
      <c r="A447" s="472">
        <f>$A446+Planning!$D$2</f>
        <v>42632.691527777781</v>
      </c>
    </row>
    <row r="448" spans="1:1" x14ac:dyDescent="0.25">
      <c r="A448" s="472">
        <f>$A447+Planning!$D$2</f>
        <v>42633.691527777781</v>
      </c>
    </row>
    <row r="449" spans="1:1" x14ac:dyDescent="0.25">
      <c r="A449" s="472">
        <f>$A448+Planning!$D$2</f>
        <v>42634.691527777781</v>
      </c>
    </row>
    <row r="450" spans="1:1" x14ac:dyDescent="0.25">
      <c r="A450" s="472">
        <f>$A449+Planning!$D$2</f>
        <v>42635.691527777781</v>
      </c>
    </row>
    <row r="451" spans="1:1" x14ac:dyDescent="0.25">
      <c r="A451" s="472">
        <f>$A450+Planning!$D$2</f>
        <v>42636.691527777781</v>
      </c>
    </row>
    <row r="452" spans="1:1" x14ac:dyDescent="0.25">
      <c r="A452" s="472">
        <f>$A451+Planning!$D$2</f>
        <v>42637.691527777781</v>
      </c>
    </row>
    <row r="453" spans="1:1" x14ac:dyDescent="0.25">
      <c r="A453" s="472">
        <f>$A452+Planning!$D$2</f>
        <v>42638.691527777781</v>
      </c>
    </row>
    <row r="454" spans="1:1" x14ac:dyDescent="0.25">
      <c r="A454" s="472">
        <f>$A453+Planning!$D$2</f>
        <v>42639.691527777781</v>
      </c>
    </row>
    <row r="455" spans="1:1" x14ac:dyDescent="0.25">
      <c r="A455" s="472">
        <f>$A454+Planning!$D$2</f>
        <v>42640.691527777781</v>
      </c>
    </row>
    <row r="456" spans="1:1" x14ac:dyDescent="0.25">
      <c r="A456" s="472">
        <f>$A455+Planning!$D$2</f>
        <v>42641.691527777781</v>
      </c>
    </row>
    <row r="457" spans="1:1" x14ac:dyDescent="0.25">
      <c r="A457" s="472">
        <f>$A456+Planning!$D$2</f>
        <v>42642.691527777781</v>
      </c>
    </row>
    <row r="458" spans="1:1" x14ac:dyDescent="0.25">
      <c r="A458" s="472">
        <f>$A457+Planning!$D$2</f>
        <v>42643.691527777781</v>
      </c>
    </row>
    <row r="459" spans="1:1" x14ac:dyDescent="0.25">
      <c r="A459" s="472">
        <f>$A458+Planning!$D$2</f>
        <v>42644.691527777781</v>
      </c>
    </row>
    <row r="460" spans="1:1" x14ac:dyDescent="0.25">
      <c r="A460" s="472">
        <f>$A459+Planning!$D$2</f>
        <v>42645.691527777781</v>
      </c>
    </row>
    <row r="461" spans="1:1" x14ac:dyDescent="0.25">
      <c r="A461" s="472">
        <f>$A460+Planning!$D$2</f>
        <v>42646.691527777781</v>
      </c>
    </row>
    <row r="462" spans="1:1" x14ac:dyDescent="0.25">
      <c r="A462" s="472">
        <f>$A461+Planning!$D$2</f>
        <v>42647.691527777781</v>
      </c>
    </row>
    <row r="463" spans="1:1" x14ac:dyDescent="0.25">
      <c r="A463" s="472">
        <f>$A462+Planning!$D$2</f>
        <v>42648.691527777781</v>
      </c>
    </row>
    <row r="464" spans="1:1" x14ac:dyDescent="0.25">
      <c r="A464" s="472">
        <f>$A463+Planning!$D$2</f>
        <v>42649.691527777781</v>
      </c>
    </row>
    <row r="465" spans="1:1" x14ac:dyDescent="0.25">
      <c r="A465" s="472">
        <f>$A464+Planning!$D$2</f>
        <v>42650.691527777781</v>
      </c>
    </row>
    <row r="466" spans="1:1" x14ac:dyDescent="0.25">
      <c r="A466" s="472">
        <f>$A465+Planning!$D$2</f>
        <v>42651.691527777781</v>
      </c>
    </row>
    <row r="467" spans="1:1" x14ac:dyDescent="0.25">
      <c r="A467" s="472">
        <f>$A466+Planning!$D$2</f>
        <v>42652.691527777781</v>
      </c>
    </row>
    <row r="468" spans="1:1" x14ac:dyDescent="0.25">
      <c r="A468" s="472">
        <f>$A467+Planning!$D$2</f>
        <v>42653.691527777781</v>
      </c>
    </row>
    <row r="469" spans="1:1" x14ac:dyDescent="0.25">
      <c r="A469" s="472">
        <f>$A468+Planning!$D$2</f>
        <v>42654.691527777781</v>
      </c>
    </row>
    <row r="470" spans="1:1" x14ac:dyDescent="0.25">
      <c r="A470" s="472">
        <f>$A469+Planning!$D$2</f>
        <v>42655.691527777781</v>
      </c>
    </row>
    <row r="471" spans="1:1" x14ac:dyDescent="0.25">
      <c r="A471" s="472">
        <f>$A470+Planning!$D$2</f>
        <v>42656.691527777781</v>
      </c>
    </row>
    <row r="472" spans="1:1" x14ac:dyDescent="0.25">
      <c r="A472" s="472">
        <f>$A471+Planning!$D$2</f>
        <v>42657.691527777781</v>
      </c>
    </row>
    <row r="473" spans="1:1" x14ac:dyDescent="0.25">
      <c r="A473" s="472">
        <f>$A472+Planning!$D$2</f>
        <v>42658.691527777781</v>
      </c>
    </row>
    <row r="474" spans="1:1" x14ac:dyDescent="0.25">
      <c r="A474" s="472">
        <f>$A473+Planning!$D$2</f>
        <v>42659.691527777781</v>
      </c>
    </row>
    <row r="475" spans="1:1" x14ac:dyDescent="0.25">
      <c r="A475" s="472">
        <f>$A474+Planning!$D$2</f>
        <v>42660.691527777781</v>
      </c>
    </row>
    <row r="476" spans="1:1" x14ac:dyDescent="0.25">
      <c r="A476" s="472">
        <f>$A475+Planning!$D$2</f>
        <v>42661.691527777781</v>
      </c>
    </row>
    <row r="477" spans="1:1" x14ac:dyDescent="0.25">
      <c r="A477" s="472">
        <f>$A476+Planning!$D$2</f>
        <v>42662.691527777781</v>
      </c>
    </row>
    <row r="478" spans="1:1" x14ac:dyDescent="0.25">
      <c r="A478" s="472">
        <f>$A477+Planning!$D$2</f>
        <v>42663.691527777781</v>
      </c>
    </row>
    <row r="479" spans="1:1" x14ac:dyDescent="0.25">
      <c r="A479" s="472">
        <f>$A478+Planning!$D$2</f>
        <v>42664.691527777781</v>
      </c>
    </row>
    <row r="480" spans="1:1" x14ac:dyDescent="0.25">
      <c r="A480" s="472">
        <f>$A479+Planning!$D$2</f>
        <v>42665.691527777781</v>
      </c>
    </row>
    <row r="481" spans="1:1" x14ac:dyDescent="0.25">
      <c r="A481" s="472">
        <f>$A480+Planning!$D$2</f>
        <v>42666.691527777781</v>
      </c>
    </row>
    <row r="482" spans="1:1" x14ac:dyDescent="0.25">
      <c r="A482" s="472">
        <f>$A481+Planning!$D$2</f>
        <v>42667.691527777781</v>
      </c>
    </row>
    <row r="483" spans="1:1" x14ac:dyDescent="0.25">
      <c r="A483" s="472">
        <f>$A482+Planning!$D$2</f>
        <v>42668.691527777781</v>
      </c>
    </row>
    <row r="484" spans="1:1" x14ac:dyDescent="0.25">
      <c r="A484" s="472">
        <f>$A483+Planning!$D$2</f>
        <v>42669.691527777781</v>
      </c>
    </row>
    <row r="485" spans="1:1" x14ac:dyDescent="0.25">
      <c r="A485" s="472">
        <f>$A484+Planning!$D$2</f>
        <v>42670.691527777781</v>
      </c>
    </row>
    <row r="486" spans="1:1" x14ac:dyDescent="0.25">
      <c r="A486" s="472">
        <f>$A485+Planning!$D$2</f>
        <v>42671.691527777781</v>
      </c>
    </row>
    <row r="487" spans="1:1" x14ac:dyDescent="0.25">
      <c r="A487" s="472">
        <f>$A486+Planning!$D$2</f>
        <v>42672.691527777781</v>
      </c>
    </row>
    <row r="488" spans="1:1" x14ac:dyDescent="0.25">
      <c r="A488" s="472">
        <f>$A487+Planning!$D$2</f>
        <v>42673.691527777781</v>
      </c>
    </row>
    <row r="489" spans="1:1" x14ac:dyDescent="0.25">
      <c r="A489" s="472">
        <f>$A488+Planning!$D$2</f>
        <v>42674.691527777781</v>
      </c>
    </row>
    <row r="490" spans="1:1" x14ac:dyDescent="0.25">
      <c r="A490" s="472">
        <f>$A489+Planning!$D$2</f>
        <v>42675.691527777781</v>
      </c>
    </row>
    <row r="491" spans="1:1" x14ac:dyDescent="0.25">
      <c r="A491" s="472">
        <f>$A490+Planning!$D$2</f>
        <v>42676.691527777781</v>
      </c>
    </row>
    <row r="492" spans="1:1" x14ac:dyDescent="0.25">
      <c r="A492" s="472">
        <f>$A491+Planning!$D$2</f>
        <v>42677.691527777781</v>
      </c>
    </row>
    <row r="493" spans="1:1" x14ac:dyDescent="0.25">
      <c r="A493" s="472">
        <f>$A492+Planning!$D$2</f>
        <v>42678.691527777781</v>
      </c>
    </row>
    <row r="494" spans="1:1" x14ac:dyDescent="0.25">
      <c r="A494" s="472">
        <f>$A493+Planning!$D$2</f>
        <v>42679.691527777781</v>
      </c>
    </row>
    <row r="495" spans="1:1" x14ac:dyDescent="0.25">
      <c r="A495" s="472">
        <f>$A494+Planning!$D$2</f>
        <v>42680.691527777781</v>
      </c>
    </row>
    <row r="496" spans="1:1" x14ac:dyDescent="0.25">
      <c r="A496" s="472">
        <f>$A495+Planning!$D$2</f>
        <v>42681.691527777781</v>
      </c>
    </row>
    <row r="497" spans="1:1" x14ac:dyDescent="0.25">
      <c r="A497" s="472">
        <f>$A496+Planning!$D$2</f>
        <v>42682.691527777781</v>
      </c>
    </row>
    <row r="498" spans="1:1" x14ac:dyDescent="0.25">
      <c r="A498" s="472">
        <f>$A497+Planning!$D$2</f>
        <v>42683.691527777781</v>
      </c>
    </row>
    <row r="499" spans="1:1" x14ac:dyDescent="0.25">
      <c r="A499" s="472">
        <f>$A498+Planning!$D$2</f>
        <v>42684.691527777781</v>
      </c>
    </row>
    <row r="500" spans="1:1" x14ac:dyDescent="0.25">
      <c r="A500" s="472">
        <f>$A499+Planning!$D$2</f>
        <v>42685.691527777781</v>
      </c>
    </row>
    <row r="501" spans="1:1" x14ac:dyDescent="0.25">
      <c r="A501" s="472">
        <f>$A500+Planning!$D$2</f>
        <v>42686.691527777781</v>
      </c>
    </row>
    <row r="502" spans="1:1" x14ac:dyDescent="0.25">
      <c r="A502" s="472">
        <f>$A501+Planning!$D$2</f>
        <v>42687.691527777781</v>
      </c>
    </row>
    <row r="503" spans="1:1" x14ac:dyDescent="0.25">
      <c r="A503" s="472">
        <f>$A502+Planning!$D$2</f>
        <v>42688.691527777781</v>
      </c>
    </row>
    <row r="504" spans="1:1" x14ac:dyDescent="0.25">
      <c r="A504" s="472">
        <f>$A503+Planning!$D$2</f>
        <v>42689.691527777781</v>
      </c>
    </row>
    <row r="505" spans="1:1" x14ac:dyDescent="0.25">
      <c r="A505" s="472">
        <f>$A504+Planning!$D$2</f>
        <v>42690.691527777781</v>
      </c>
    </row>
    <row r="506" spans="1:1" x14ac:dyDescent="0.25">
      <c r="A506" s="472">
        <f>$A505+Planning!$D$2</f>
        <v>42691.691527777781</v>
      </c>
    </row>
    <row r="507" spans="1:1" x14ac:dyDescent="0.25">
      <c r="A507" s="472">
        <f>$A506+Planning!$D$2</f>
        <v>42692.691527777781</v>
      </c>
    </row>
    <row r="508" spans="1:1" x14ac:dyDescent="0.25">
      <c r="A508" s="472">
        <f>$A507+Planning!$D$2</f>
        <v>42693.691527777781</v>
      </c>
    </row>
    <row r="509" spans="1:1" x14ac:dyDescent="0.25">
      <c r="A509" s="472">
        <f>$A508+Planning!$D$2</f>
        <v>42694.691527777781</v>
      </c>
    </row>
    <row r="510" spans="1:1" x14ac:dyDescent="0.25">
      <c r="A510" s="472">
        <f>$A509+Planning!$D$2</f>
        <v>42695.691527777781</v>
      </c>
    </row>
    <row r="511" spans="1:1" x14ac:dyDescent="0.25">
      <c r="A511" s="472">
        <f>$A510+Planning!$D$2</f>
        <v>42696.691527777781</v>
      </c>
    </row>
    <row r="512" spans="1:1" x14ac:dyDescent="0.25">
      <c r="A512" s="472">
        <f>$A511+Planning!$D$2</f>
        <v>42697.691527777781</v>
      </c>
    </row>
    <row r="513" spans="1:1" x14ac:dyDescent="0.25">
      <c r="A513" s="472">
        <f>$A512+Planning!$D$2</f>
        <v>42698.691527777781</v>
      </c>
    </row>
    <row r="514" spans="1:1" x14ac:dyDescent="0.25">
      <c r="A514" s="472">
        <f>$A513+Planning!$D$2</f>
        <v>42699.691527777781</v>
      </c>
    </row>
    <row r="515" spans="1:1" x14ac:dyDescent="0.25">
      <c r="A515" s="472">
        <f>$A514+Planning!$D$2</f>
        <v>42700.691527777781</v>
      </c>
    </row>
    <row r="516" spans="1:1" x14ac:dyDescent="0.25">
      <c r="A516" s="472">
        <f>$A515+Planning!$D$2</f>
        <v>42701.691527777781</v>
      </c>
    </row>
    <row r="517" spans="1:1" x14ac:dyDescent="0.25">
      <c r="A517" s="472">
        <f>$A516+Planning!$D$2</f>
        <v>42702.691527777781</v>
      </c>
    </row>
    <row r="518" spans="1:1" x14ac:dyDescent="0.25">
      <c r="A518" s="472">
        <f>$A517+Planning!$D$2</f>
        <v>42703.691527777781</v>
      </c>
    </row>
    <row r="519" spans="1:1" x14ac:dyDescent="0.25">
      <c r="A519" s="472">
        <f>$A518+Planning!$D$2</f>
        <v>42704.691527777781</v>
      </c>
    </row>
    <row r="520" spans="1:1" x14ac:dyDescent="0.25">
      <c r="A520" s="472">
        <f>$A519+Planning!$D$2</f>
        <v>42705.691527777781</v>
      </c>
    </row>
    <row r="521" spans="1:1" x14ac:dyDescent="0.25">
      <c r="A521" s="472">
        <f>$A520+Planning!$D$2</f>
        <v>42706.691527777781</v>
      </c>
    </row>
    <row r="522" spans="1:1" x14ac:dyDescent="0.25">
      <c r="A522" s="472">
        <f>$A521+Planning!$D$2</f>
        <v>42707.691527777781</v>
      </c>
    </row>
    <row r="523" spans="1:1" x14ac:dyDescent="0.25">
      <c r="A523" s="472">
        <f>$A522+Planning!$D$2</f>
        <v>42708.691527777781</v>
      </c>
    </row>
    <row r="524" spans="1:1" x14ac:dyDescent="0.25">
      <c r="A524" s="472">
        <f>$A523+Planning!$D$2</f>
        <v>42709.691527777781</v>
      </c>
    </row>
    <row r="525" spans="1:1" x14ac:dyDescent="0.25">
      <c r="A525" s="472">
        <f>$A524+Planning!$D$2</f>
        <v>42710.691527777781</v>
      </c>
    </row>
    <row r="526" spans="1:1" x14ac:dyDescent="0.25">
      <c r="A526" s="472">
        <f>$A525+Planning!$D$2</f>
        <v>42711.691527777781</v>
      </c>
    </row>
    <row r="527" spans="1:1" x14ac:dyDescent="0.25">
      <c r="A527" s="472">
        <f>$A526+Planning!$D$2</f>
        <v>42712.691527777781</v>
      </c>
    </row>
    <row r="528" spans="1:1" x14ac:dyDescent="0.25">
      <c r="A528" s="472">
        <f>$A527+Planning!$D$2</f>
        <v>42713.691527777781</v>
      </c>
    </row>
    <row r="529" spans="1:1" x14ac:dyDescent="0.25">
      <c r="A529" s="472">
        <f>$A528+Planning!$D$2</f>
        <v>42714.691527777781</v>
      </c>
    </row>
    <row r="530" spans="1:1" x14ac:dyDescent="0.25">
      <c r="A530" s="472">
        <f>$A529+Planning!$D$2</f>
        <v>42715.691527777781</v>
      </c>
    </row>
    <row r="531" spans="1:1" x14ac:dyDescent="0.25">
      <c r="A531" s="472">
        <f>$A530+Planning!$D$2</f>
        <v>42716.691527777781</v>
      </c>
    </row>
    <row r="532" spans="1:1" x14ac:dyDescent="0.25">
      <c r="A532" s="472">
        <f>$A531+Planning!$D$2</f>
        <v>42717.691527777781</v>
      </c>
    </row>
    <row r="533" spans="1:1" x14ac:dyDescent="0.25">
      <c r="A533" s="472">
        <f>$A532+Planning!$D$2</f>
        <v>42718.691527777781</v>
      </c>
    </row>
    <row r="534" spans="1:1" x14ac:dyDescent="0.25">
      <c r="A534" s="472">
        <f>$A533+Planning!$D$2</f>
        <v>42719.691527777781</v>
      </c>
    </row>
    <row r="535" spans="1:1" x14ac:dyDescent="0.25">
      <c r="A535" s="472">
        <f>$A534+Planning!$D$2</f>
        <v>42720.691527777781</v>
      </c>
    </row>
    <row r="536" spans="1:1" x14ac:dyDescent="0.25">
      <c r="A536" s="472">
        <f>$A535+Planning!$D$2</f>
        <v>42721.691527777781</v>
      </c>
    </row>
    <row r="537" spans="1:1" x14ac:dyDescent="0.25">
      <c r="A537" s="472">
        <f>$A536+Planning!$D$2</f>
        <v>42722.691527777781</v>
      </c>
    </row>
    <row r="538" spans="1:1" x14ac:dyDescent="0.25">
      <c r="A538" s="472">
        <f>$A537+Planning!$D$2</f>
        <v>42723.691527777781</v>
      </c>
    </row>
    <row r="539" spans="1:1" x14ac:dyDescent="0.25">
      <c r="A539" s="472">
        <f>$A538+Planning!$D$2</f>
        <v>42724.691527777781</v>
      </c>
    </row>
    <row r="540" spans="1:1" x14ac:dyDescent="0.25">
      <c r="A540" s="472">
        <f>$A539+Planning!$D$2</f>
        <v>42725.691527777781</v>
      </c>
    </row>
    <row r="541" spans="1:1" x14ac:dyDescent="0.25">
      <c r="A541" s="472">
        <f>$A540+Planning!$D$2</f>
        <v>42726.691527777781</v>
      </c>
    </row>
    <row r="542" spans="1:1" x14ac:dyDescent="0.25">
      <c r="A542" s="472">
        <f>$A541+Planning!$D$2</f>
        <v>42727.691527777781</v>
      </c>
    </row>
    <row r="543" spans="1:1" x14ac:dyDescent="0.25">
      <c r="A543" s="472">
        <f>$A542+Planning!$D$2</f>
        <v>42728.691527777781</v>
      </c>
    </row>
    <row r="544" spans="1:1" x14ac:dyDescent="0.25">
      <c r="A544" s="472">
        <f>$A543+Planning!$D$2</f>
        <v>42729.691527777781</v>
      </c>
    </row>
    <row r="545" spans="1:1" x14ac:dyDescent="0.25">
      <c r="A545" s="472">
        <f>$A544+Planning!$D$2</f>
        <v>42730.691527777781</v>
      </c>
    </row>
    <row r="546" spans="1:1" x14ac:dyDescent="0.25">
      <c r="A546" s="472">
        <f>$A545+Planning!$D$2</f>
        <v>42731.691527777781</v>
      </c>
    </row>
    <row r="547" spans="1:1" x14ac:dyDescent="0.25">
      <c r="A547" s="472">
        <f>$A546+Planning!$D$2</f>
        <v>42732.691527777781</v>
      </c>
    </row>
    <row r="548" spans="1:1" x14ac:dyDescent="0.25">
      <c r="A548" s="472">
        <f>$A547+Planning!$D$2</f>
        <v>42733.691527777781</v>
      </c>
    </row>
    <row r="549" spans="1:1" x14ac:dyDescent="0.25">
      <c r="A549" s="472">
        <f>$A548+Planning!$D$2</f>
        <v>42734.691527777781</v>
      </c>
    </row>
    <row r="550" spans="1:1" x14ac:dyDescent="0.25">
      <c r="A550" s="472">
        <f>$A549+Planning!$D$2</f>
        <v>42735.691527777781</v>
      </c>
    </row>
    <row r="551" spans="1:1" x14ac:dyDescent="0.25">
      <c r="A551" s="472">
        <f>$A550+Planning!$D$2</f>
        <v>42736.691527777781</v>
      </c>
    </row>
    <row r="552" spans="1:1" x14ac:dyDescent="0.25">
      <c r="A552" s="472">
        <f>$A551+Planning!$D$2</f>
        <v>42737.691527777781</v>
      </c>
    </row>
    <row r="553" spans="1:1" x14ac:dyDescent="0.25">
      <c r="A553" s="472">
        <f>$A552+Planning!$D$2</f>
        <v>42738.691527777781</v>
      </c>
    </row>
    <row r="554" spans="1:1" x14ac:dyDescent="0.25">
      <c r="A554" s="472">
        <f>$A553+Planning!$D$2</f>
        <v>42739.691527777781</v>
      </c>
    </row>
    <row r="555" spans="1:1" x14ac:dyDescent="0.25">
      <c r="A555" s="472">
        <f>$A554+Planning!$D$2</f>
        <v>42740.691527777781</v>
      </c>
    </row>
    <row r="556" spans="1:1" x14ac:dyDescent="0.25">
      <c r="A556" s="472">
        <f>$A555+Planning!$D$2</f>
        <v>42741.691527777781</v>
      </c>
    </row>
    <row r="557" spans="1:1" x14ac:dyDescent="0.25">
      <c r="A557" s="472">
        <f>$A556+Planning!$D$2</f>
        <v>42742.691527777781</v>
      </c>
    </row>
    <row r="558" spans="1:1" x14ac:dyDescent="0.25">
      <c r="A558" s="472">
        <f>$A557+Planning!$D$2</f>
        <v>42743.691527777781</v>
      </c>
    </row>
    <row r="559" spans="1:1" x14ac:dyDescent="0.25">
      <c r="A559" s="472">
        <f>$A558+Planning!$D$2</f>
        <v>42744.691527777781</v>
      </c>
    </row>
    <row r="560" spans="1:1" x14ac:dyDescent="0.25">
      <c r="A560" s="472">
        <f>$A559+Planning!$D$2</f>
        <v>42745.691527777781</v>
      </c>
    </row>
    <row r="561" spans="1:1" x14ac:dyDescent="0.25">
      <c r="A561" s="472">
        <f>$A560+Planning!$D$2</f>
        <v>42746.691527777781</v>
      </c>
    </row>
    <row r="562" spans="1:1" x14ac:dyDescent="0.25">
      <c r="A562" s="472">
        <f>$A561+Planning!$D$2</f>
        <v>42747.691527777781</v>
      </c>
    </row>
    <row r="563" spans="1:1" x14ac:dyDescent="0.25">
      <c r="A563" s="472">
        <f>$A562+Planning!$D$2</f>
        <v>42748.691527777781</v>
      </c>
    </row>
    <row r="564" spans="1:1" x14ac:dyDescent="0.25">
      <c r="A564" s="472">
        <f>$A563+Planning!$D$2</f>
        <v>42749.691527777781</v>
      </c>
    </row>
    <row r="565" spans="1:1" x14ac:dyDescent="0.25">
      <c r="A565" s="472">
        <f>$A564+Planning!$D$2</f>
        <v>42750.691527777781</v>
      </c>
    </row>
    <row r="566" spans="1:1" x14ac:dyDescent="0.25">
      <c r="A566" s="472">
        <f>$A565+Planning!$D$2</f>
        <v>42751.691527777781</v>
      </c>
    </row>
    <row r="567" spans="1:1" x14ac:dyDescent="0.25">
      <c r="A567" s="472">
        <f>$A566+Planning!$D$2</f>
        <v>42752.691527777781</v>
      </c>
    </row>
    <row r="568" spans="1:1" x14ac:dyDescent="0.25">
      <c r="A568" s="472">
        <f>$A567+Planning!$D$2</f>
        <v>42753.691527777781</v>
      </c>
    </row>
    <row r="569" spans="1:1" x14ac:dyDescent="0.25">
      <c r="A569" s="472">
        <f>$A568+Planning!$D$2</f>
        <v>42754.691527777781</v>
      </c>
    </row>
    <row r="570" spans="1:1" x14ac:dyDescent="0.25">
      <c r="A570" s="472">
        <f>$A569+Planning!$D$2</f>
        <v>42755.691527777781</v>
      </c>
    </row>
    <row r="571" spans="1:1" x14ac:dyDescent="0.25">
      <c r="A571" s="472">
        <f>$A570+Planning!$D$2</f>
        <v>42756.691527777781</v>
      </c>
    </row>
    <row r="572" spans="1:1" x14ac:dyDescent="0.25">
      <c r="A572" s="472">
        <f>$A571+Planning!$D$2</f>
        <v>42757.691527777781</v>
      </c>
    </row>
    <row r="573" spans="1:1" x14ac:dyDescent="0.25">
      <c r="A573" s="472">
        <f>$A572+Planning!$D$2</f>
        <v>42758.691527777781</v>
      </c>
    </row>
    <row r="574" spans="1:1" x14ac:dyDescent="0.25">
      <c r="A574" s="472">
        <f>$A573+Planning!$D$2</f>
        <v>42759.691527777781</v>
      </c>
    </row>
    <row r="575" spans="1:1" x14ac:dyDescent="0.25">
      <c r="A575" s="472">
        <f>$A574+Planning!$D$2</f>
        <v>42760.691527777781</v>
      </c>
    </row>
    <row r="576" spans="1:1" x14ac:dyDescent="0.25">
      <c r="A576" s="472">
        <f>$A575+Planning!$D$2</f>
        <v>42761.691527777781</v>
      </c>
    </row>
    <row r="577" spans="1:1" x14ac:dyDescent="0.25">
      <c r="A577" s="472">
        <f>$A576+Planning!$D$2</f>
        <v>42762.691527777781</v>
      </c>
    </row>
    <row r="578" spans="1:1" x14ac:dyDescent="0.25">
      <c r="A578" s="472">
        <f>$A577+Planning!$D$2</f>
        <v>42763.691527777781</v>
      </c>
    </row>
    <row r="579" spans="1:1" x14ac:dyDescent="0.25">
      <c r="A579" s="472">
        <f>$A578+Planning!$D$2</f>
        <v>42764.691527777781</v>
      </c>
    </row>
    <row r="580" spans="1:1" x14ac:dyDescent="0.25">
      <c r="A580" s="472">
        <f>$A579+Planning!$D$2</f>
        <v>42765.691527777781</v>
      </c>
    </row>
    <row r="581" spans="1:1" x14ac:dyDescent="0.25">
      <c r="A581" s="472">
        <f>$A580+Planning!$D$2</f>
        <v>42766.691527777781</v>
      </c>
    </row>
    <row r="582" spans="1:1" x14ac:dyDescent="0.25">
      <c r="A582" s="472">
        <f>$A581+Planning!$D$2</f>
        <v>42767.691527777781</v>
      </c>
    </row>
    <row r="583" spans="1:1" x14ac:dyDescent="0.25">
      <c r="A583" s="472">
        <f>$A582+Planning!$D$2</f>
        <v>42768.691527777781</v>
      </c>
    </row>
    <row r="584" spans="1:1" x14ac:dyDescent="0.25">
      <c r="A584" s="472">
        <f>$A583+Planning!$D$2</f>
        <v>42769.691527777781</v>
      </c>
    </row>
    <row r="585" spans="1:1" x14ac:dyDescent="0.25">
      <c r="A585" s="472">
        <f>$A584+Planning!$D$2</f>
        <v>42770.691527777781</v>
      </c>
    </row>
    <row r="586" spans="1:1" x14ac:dyDescent="0.25">
      <c r="A586" s="472">
        <f>$A585+Planning!$D$2</f>
        <v>42771.691527777781</v>
      </c>
    </row>
    <row r="587" spans="1:1" x14ac:dyDescent="0.25">
      <c r="A587" s="472">
        <f>$A586+Planning!$D$2</f>
        <v>42772.691527777781</v>
      </c>
    </row>
    <row r="588" spans="1:1" x14ac:dyDescent="0.25">
      <c r="A588" s="472">
        <f>$A587+Planning!$D$2</f>
        <v>42773.691527777781</v>
      </c>
    </row>
    <row r="589" spans="1:1" x14ac:dyDescent="0.25">
      <c r="A589" s="472">
        <f>$A588+Planning!$D$2</f>
        <v>42774.691527777781</v>
      </c>
    </row>
    <row r="590" spans="1:1" x14ac:dyDescent="0.25">
      <c r="A590" s="472">
        <f>$A589+Planning!$D$2</f>
        <v>42775.691527777781</v>
      </c>
    </row>
    <row r="591" spans="1:1" x14ac:dyDescent="0.25">
      <c r="A591" s="472">
        <f>$A590+Planning!$D$2</f>
        <v>42776.691527777781</v>
      </c>
    </row>
    <row r="592" spans="1:1" x14ac:dyDescent="0.25">
      <c r="A592" s="472">
        <f>$A591+Planning!$D$2</f>
        <v>42777.691527777781</v>
      </c>
    </row>
    <row r="593" spans="1:1" x14ac:dyDescent="0.25">
      <c r="A593" s="472">
        <f>$A592+Planning!$D$2</f>
        <v>42778.691527777781</v>
      </c>
    </row>
    <row r="594" spans="1:1" x14ac:dyDescent="0.25">
      <c r="A594" s="472">
        <f>$A593+Planning!$D$2</f>
        <v>42779.691527777781</v>
      </c>
    </row>
    <row r="595" spans="1:1" x14ac:dyDescent="0.25">
      <c r="A595" s="472">
        <f>$A594+Planning!$D$2</f>
        <v>42780.691527777781</v>
      </c>
    </row>
    <row r="596" spans="1:1" x14ac:dyDescent="0.25">
      <c r="A596" s="472">
        <f>$A595+Planning!$D$2</f>
        <v>42781.691527777781</v>
      </c>
    </row>
    <row r="597" spans="1:1" x14ac:dyDescent="0.25">
      <c r="A597" s="472">
        <f>$A596+Planning!$D$2</f>
        <v>42782.691527777781</v>
      </c>
    </row>
    <row r="598" spans="1:1" x14ac:dyDescent="0.25">
      <c r="A598" s="472">
        <f>$A597+Planning!$D$2</f>
        <v>42783.691527777781</v>
      </c>
    </row>
    <row r="599" spans="1:1" x14ac:dyDescent="0.25">
      <c r="A599" s="472">
        <f>$A598+Planning!$D$2</f>
        <v>42784.691527777781</v>
      </c>
    </row>
    <row r="600" spans="1:1" x14ac:dyDescent="0.25">
      <c r="A600" s="472">
        <f>$A599+Planning!$D$2</f>
        <v>42785.691527777781</v>
      </c>
    </row>
    <row r="601" spans="1:1" x14ac:dyDescent="0.25">
      <c r="A601" s="472">
        <f>$A600+Planning!$D$2</f>
        <v>42786.691527777781</v>
      </c>
    </row>
    <row r="602" spans="1:1" x14ac:dyDescent="0.25">
      <c r="A602" s="472">
        <f>$A601+Planning!$D$2</f>
        <v>42787.691527777781</v>
      </c>
    </row>
    <row r="603" spans="1:1" x14ac:dyDescent="0.25">
      <c r="A603" s="472">
        <f>$A602+Planning!$D$2</f>
        <v>42788.691527777781</v>
      </c>
    </row>
    <row r="604" spans="1:1" x14ac:dyDescent="0.25">
      <c r="A604" s="472">
        <f>$A603+Planning!$D$2</f>
        <v>42789.691527777781</v>
      </c>
    </row>
    <row r="605" spans="1:1" x14ac:dyDescent="0.25">
      <c r="A605" s="472">
        <f>$A604+Planning!$D$2</f>
        <v>42790.691527777781</v>
      </c>
    </row>
    <row r="606" spans="1:1" x14ac:dyDescent="0.25">
      <c r="A606" s="472">
        <f>$A605+Planning!$D$2</f>
        <v>42791.691527777781</v>
      </c>
    </row>
    <row r="607" spans="1:1" x14ac:dyDescent="0.25">
      <c r="A607" s="472">
        <f>$A606+Planning!$D$2</f>
        <v>42792.691527777781</v>
      </c>
    </row>
    <row r="608" spans="1:1" x14ac:dyDescent="0.25">
      <c r="A608" s="472">
        <f>$A607+Planning!$D$2</f>
        <v>42793.691527777781</v>
      </c>
    </row>
    <row r="609" spans="1:1" x14ac:dyDescent="0.25">
      <c r="A609" s="472">
        <f>$A608+Planning!$D$2</f>
        <v>42794.691527777781</v>
      </c>
    </row>
    <row r="610" spans="1:1" x14ac:dyDescent="0.25">
      <c r="A610" s="472">
        <f>$A609+Planning!$D$2</f>
        <v>42795.691527777781</v>
      </c>
    </row>
    <row r="611" spans="1:1" x14ac:dyDescent="0.25">
      <c r="A611" s="472">
        <f>$A610+Planning!$D$2</f>
        <v>42796.691527777781</v>
      </c>
    </row>
    <row r="612" spans="1:1" x14ac:dyDescent="0.25">
      <c r="A612" s="472">
        <f>$A611+Planning!$D$2</f>
        <v>42797.691527777781</v>
      </c>
    </row>
    <row r="613" spans="1:1" x14ac:dyDescent="0.25">
      <c r="A613" s="472">
        <f>$A612+Planning!$D$2</f>
        <v>42798.691527777781</v>
      </c>
    </row>
    <row r="614" spans="1:1" x14ac:dyDescent="0.25">
      <c r="A614" s="472">
        <f>$A613+Planning!$D$2</f>
        <v>42799.691527777781</v>
      </c>
    </row>
    <row r="615" spans="1:1" x14ac:dyDescent="0.25">
      <c r="A615" s="472">
        <f>$A614+Planning!$D$2</f>
        <v>42800.691527777781</v>
      </c>
    </row>
    <row r="616" spans="1:1" x14ac:dyDescent="0.25">
      <c r="A616" s="472">
        <f>$A615+Planning!$D$2</f>
        <v>42801.691527777781</v>
      </c>
    </row>
    <row r="617" spans="1:1" x14ac:dyDescent="0.25">
      <c r="A617" s="472">
        <f>$A616+Planning!$D$2</f>
        <v>42802.691527777781</v>
      </c>
    </row>
    <row r="618" spans="1:1" x14ac:dyDescent="0.25">
      <c r="A618" s="472">
        <f>$A617+Planning!$D$2</f>
        <v>42803.691527777781</v>
      </c>
    </row>
    <row r="619" spans="1:1" x14ac:dyDescent="0.25">
      <c r="A619" s="472">
        <f>$A618+Planning!$D$2</f>
        <v>42804.691527777781</v>
      </c>
    </row>
    <row r="620" spans="1:1" x14ac:dyDescent="0.25">
      <c r="A620" s="472">
        <f>$A619+Planning!$D$2</f>
        <v>42805.691527777781</v>
      </c>
    </row>
    <row r="621" spans="1:1" x14ac:dyDescent="0.25">
      <c r="A621" s="472">
        <f>$A620+Planning!$D$2</f>
        <v>42806.691527777781</v>
      </c>
    </row>
    <row r="622" spans="1:1" x14ac:dyDescent="0.25">
      <c r="A622" s="472">
        <f>$A621+Planning!$D$2</f>
        <v>42807.691527777781</v>
      </c>
    </row>
    <row r="623" spans="1:1" x14ac:dyDescent="0.25">
      <c r="A623" s="472">
        <f>$A622+Planning!$D$2</f>
        <v>42808.691527777781</v>
      </c>
    </row>
    <row r="624" spans="1:1" x14ac:dyDescent="0.25">
      <c r="A624" s="472">
        <f>$A623+Planning!$D$2</f>
        <v>42809.691527777781</v>
      </c>
    </row>
    <row r="625" spans="1:1" x14ac:dyDescent="0.25">
      <c r="A625" s="472">
        <f>$A624+Planning!$D$2</f>
        <v>42810.691527777781</v>
      </c>
    </row>
    <row r="626" spans="1:1" x14ac:dyDescent="0.25">
      <c r="A626" s="472">
        <f>$A625+Planning!$D$2</f>
        <v>42811.691527777781</v>
      </c>
    </row>
    <row r="627" spans="1:1" x14ac:dyDescent="0.25">
      <c r="A627" s="472">
        <f>$A626+Planning!$D$2</f>
        <v>42812.691527777781</v>
      </c>
    </row>
    <row r="628" spans="1:1" x14ac:dyDescent="0.25">
      <c r="A628" s="472">
        <f>$A627+Planning!$D$2</f>
        <v>42813.691527777781</v>
      </c>
    </row>
    <row r="629" spans="1:1" x14ac:dyDescent="0.25">
      <c r="A629" s="472">
        <f>$A628+Planning!$D$2</f>
        <v>42814.691527777781</v>
      </c>
    </row>
    <row r="630" spans="1:1" x14ac:dyDescent="0.25">
      <c r="A630" s="472">
        <f>$A629+Planning!$D$2</f>
        <v>42815.691527777781</v>
      </c>
    </row>
    <row r="631" spans="1:1" x14ac:dyDescent="0.25">
      <c r="A631" s="472">
        <f>$A630+Planning!$D$2</f>
        <v>42816.691527777781</v>
      </c>
    </row>
    <row r="632" spans="1:1" x14ac:dyDescent="0.25">
      <c r="A632" s="472">
        <f>$A631+Planning!$D$2</f>
        <v>42817.691527777781</v>
      </c>
    </row>
    <row r="633" spans="1:1" x14ac:dyDescent="0.25">
      <c r="A633" s="472">
        <f>$A632+Planning!$D$2</f>
        <v>42818.691527777781</v>
      </c>
    </row>
    <row r="634" spans="1:1" x14ac:dyDescent="0.25">
      <c r="A634" s="472">
        <f>$A633+Planning!$D$2</f>
        <v>42819.691527777781</v>
      </c>
    </row>
    <row r="635" spans="1:1" x14ac:dyDescent="0.25">
      <c r="A635" s="472">
        <f>$A634+Planning!$D$2</f>
        <v>42820.691527777781</v>
      </c>
    </row>
    <row r="636" spans="1:1" x14ac:dyDescent="0.25">
      <c r="A636" s="472">
        <f>$A635+Planning!$D$2</f>
        <v>42821.691527777781</v>
      </c>
    </row>
    <row r="637" spans="1:1" x14ac:dyDescent="0.25">
      <c r="A637" s="472">
        <f>$A636+Planning!$D$2</f>
        <v>42822.691527777781</v>
      </c>
    </row>
    <row r="638" spans="1:1" x14ac:dyDescent="0.25">
      <c r="A638" s="472">
        <f>$A637+Planning!$D$2</f>
        <v>42823.691527777781</v>
      </c>
    </row>
    <row r="639" spans="1:1" x14ac:dyDescent="0.25">
      <c r="A639" s="472">
        <f>$A638+Planning!$D$2</f>
        <v>42824.691527777781</v>
      </c>
    </row>
    <row r="640" spans="1:1" x14ac:dyDescent="0.25">
      <c r="A640" s="472">
        <f>$A639+Planning!$D$2</f>
        <v>42825.691527777781</v>
      </c>
    </row>
    <row r="641" spans="1:1" x14ac:dyDescent="0.25">
      <c r="A641" s="472">
        <f>$A640+Planning!$D$2</f>
        <v>42826.691527777781</v>
      </c>
    </row>
    <row r="642" spans="1:1" x14ac:dyDescent="0.25">
      <c r="A642" s="472">
        <f>$A641+Planning!$D$2</f>
        <v>42827.691527777781</v>
      </c>
    </row>
    <row r="643" spans="1:1" x14ac:dyDescent="0.25">
      <c r="A643" s="472">
        <f>$A642+Planning!$D$2</f>
        <v>42828.691527777781</v>
      </c>
    </row>
    <row r="644" spans="1:1" x14ac:dyDescent="0.25">
      <c r="A644" s="472">
        <f>$A643+Planning!$D$2</f>
        <v>42829.691527777781</v>
      </c>
    </row>
    <row r="645" spans="1:1" x14ac:dyDescent="0.25">
      <c r="A645" s="472">
        <f>$A644+Planning!$D$2</f>
        <v>42830.691527777781</v>
      </c>
    </row>
    <row r="646" spans="1:1" x14ac:dyDescent="0.25">
      <c r="A646" s="472">
        <f>$A645+Planning!$D$2</f>
        <v>42831.691527777781</v>
      </c>
    </row>
    <row r="647" spans="1:1" x14ac:dyDescent="0.25">
      <c r="A647" s="472">
        <f>$A646+Planning!$D$2</f>
        <v>42832.691527777781</v>
      </c>
    </row>
    <row r="648" spans="1:1" x14ac:dyDescent="0.25">
      <c r="A648" s="472">
        <f>$A647+Planning!$D$2</f>
        <v>42833.691527777781</v>
      </c>
    </row>
    <row r="649" spans="1:1" x14ac:dyDescent="0.25">
      <c r="A649" s="472">
        <f>$A648+Planning!$D$2</f>
        <v>42834.691527777781</v>
      </c>
    </row>
    <row r="650" spans="1:1" x14ac:dyDescent="0.25">
      <c r="A650" s="472">
        <f>$A649+Planning!$D$2</f>
        <v>42835.691527777781</v>
      </c>
    </row>
    <row r="651" spans="1:1" x14ac:dyDescent="0.25">
      <c r="A651" s="472">
        <f>$A650+Planning!$D$2</f>
        <v>42836.691527777781</v>
      </c>
    </row>
    <row r="652" spans="1:1" x14ac:dyDescent="0.25">
      <c r="A652" s="472">
        <f>$A651+Planning!$D$2</f>
        <v>42837.691527777781</v>
      </c>
    </row>
    <row r="653" spans="1:1" x14ac:dyDescent="0.25">
      <c r="A653" s="472">
        <f>$A652+Planning!$D$2</f>
        <v>42838.691527777781</v>
      </c>
    </row>
    <row r="654" spans="1:1" x14ac:dyDescent="0.25">
      <c r="A654" s="472">
        <f>$A653+Planning!$D$2</f>
        <v>42839.691527777781</v>
      </c>
    </row>
    <row r="655" spans="1:1" x14ac:dyDescent="0.25">
      <c r="A655" s="472">
        <f>$A654+Planning!$D$2</f>
        <v>42840.691527777781</v>
      </c>
    </row>
    <row r="656" spans="1:1" x14ac:dyDescent="0.25">
      <c r="A656" s="472">
        <f>$A655+Planning!$D$2</f>
        <v>42841.691527777781</v>
      </c>
    </row>
    <row r="657" spans="1:1" x14ac:dyDescent="0.25">
      <c r="A657" s="472">
        <f>$A656+Planning!$D$2</f>
        <v>42842.691527777781</v>
      </c>
    </row>
    <row r="658" spans="1:1" x14ac:dyDescent="0.25">
      <c r="A658" s="472">
        <f>$A657+Planning!$D$2</f>
        <v>42843.691527777781</v>
      </c>
    </row>
    <row r="659" spans="1:1" x14ac:dyDescent="0.25">
      <c r="A659" s="472">
        <f>$A658+Planning!$D$2</f>
        <v>42844.691527777781</v>
      </c>
    </row>
    <row r="660" spans="1:1" x14ac:dyDescent="0.25">
      <c r="A660" s="472">
        <f>$A659+Planning!$D$2</f>
        <v>42845.691527777781</v>
      </c>
    </row>
    <row r="661" spans="1:1" x14ac:dyDescent="0.25">
      <c r="A661" s="472">
        <f>$A660+Planning!$D$2</f>
        <v>42846.691527777781</v>
      </c>
    </row>
    <row r="662" spans="1:1" x14ac:dyDescent="0.25">
      <c r="A662" s="472">
        <f>$A661+Planning!$D$2</f>
        <v>42847.691527777781</v>
      </c>
    </row>
    <row r="663" spans="1:1" x14ac:dyDescent="0.25">
      <c r="A663" s="472">
        <f>$A662+Planning!$D$2</f>
        <v>42848.691527777781</v>
      </c>
    </row>
    <row r="664" spans="1:1" x14ac:dyDescent="0.25">
      <c r="A664" s="472">
        <f>$A663+Planning!$D$2</f>
        <v>42849.691527777781</v>
      </c>
    </row>
    <row r="665" spans="1:1" x14ac:dyDescent="0.25">
      <c r="A665" s="472">
        <f>$A664+Planning!$D$2</f>
        <v>42850.691527777781</v>
      </c>
    </row>
    <row r="666" spans="1:1" x14ac:dyDescent="0.25">
      <c r="A666" s="472">
        <f>$A665+Planning!$D$2</f>
        <v>42851.691527777781</v>
      </c>
    </row>
    <row r="667" spans="1:1" x14ac:dyDescent="0.25">
      <c r="A667" s="472">
        <f>$A666+Planning!$D$2</f>
        <v>42852.691527777781</v>
      </c>
    </row>
    <row r="668" spans="1:1" x14ac:dyDescent="0.25">
      <c r="A668" s="472">
        <f>$A667+Planning!$D$2</f>
        <v>42853.691527777781</v>
      </c>
    </row>
    <row r="669" spans="1:1" x14ac:dyDescent="0.25">
      <c r="A669" s="472">
        <f>$A668+Planning!$D$2</f>
        <v>42854.691527777781</v>
      </c>
    </row>
    <row r="670" spans="1:1" x14ac:dyDescent="0.25">
      <c r="A670" s="472">
        <f>$A669+Planning!$D$2</f>
        <v>42855.691527777781</v>
      </c>
    </row>
    <row r="671" spans="1:1" x14ac:dyDescent="0.25">
      <c r="A671" s="472">
        <f>$A670+Planning!$D$2</f>
        <v>42856.691527777781</v>
      </c>
    </row>
    <row r="672" spans="1:1" x14ac:dyDescent="0.25">
      <c r="A672" s="472">
        <f>$A671+Planning!$D$2</f>
        <v>42857.691527777781</v>
      </c>
    </row>
    <row r="673" spans="1:1" x14ac:dyDescent="0.25">
      <c r="A673" s="472">
        <f>$A672+Planning!$D$2</f>
        <v>42858.691527777781</v>
      </c>
    </row>
    <row r="674" spans="1:1" x14ac:dyDescent="0.25">
      <c r="A674" s="472">
        <f>$A673+Planning!$D$2</f>
        <v>42859.691527777781</v>
      </c>
    </row>
    <row r="675" spans="1:1" x14ac:dyDescent="0.25">
      <c r="A675" s="472">
        <f>$A674+Planning!$D$2</f>
        <v>42860.691527777781</v>
      </c>
    </row>
    <row r="676" spans="1:1" x14ac:dyDescent="0.25">
      <c r="A676" s="472">
        <f>$A675+Planning!$D$2</f>
        <v>42861.691527777781</v>
      </c>
    </row>
    <row r="677" spans="1:1" x14ac:dyDescent="0.25">
      <c r="A677" s="472">
        <f>$A676+Planning!$D$2</f>
        <v>42862.691527777781</v>
      </c>
    </row>
    <row r="678" spans="1:1" x14ac:dyDescent="0.25">
      <c r="A678" s="472">
        <f>$A677+Planning!$D$2</f>
        <v>42863.691527777781</v>
      </c>
    </row>
    <row r="679" spans="1:1" x14ac:dyDescent="0.25">
      <c r="A679" s="472">
        <f>$A678+Planning!$D$2</f>
        <v>42864.691527777781</v>
      </c>
    </row>
    <row r="680" spans="1:1" x14ac:dyDescent="0.25">
      <c r="A680" s="472">
        <f>$A679+Planning!$D$2</f>
        <v>42865.691527777781</v>
      </c>
    </row>
    <row r="681" spans="1:1" x14ac:dyDescent="0.25">
      <c r="A681" s="472">
        <f>$A680+Planning!$D$2</f>
        <v>42866.691527777781</v>
      </c>
    </row>
    <row r="682" spans="1:1" x14ac:dyDescent="0.25">
      <c r="A682" s="472">
        <f>$A681+Planning!$D$2</f>
        <v>42867.691527777781</v>
      </c>
    </row>
    <row r="683" spans="1:1" x14ac:dyDescent="0.25">
      <c r="A683" s="472">
        <f>$A682+Planning!$D$2</f>
        <v>42868.691527777781</v>
      </c>
    </row>
    <row r="684" spans="1:1" x14ac:dyDescent="0.25">
      <c r="A684" s="472">
        <f>$A683+Planning!$D$2</f>
        <v>42869.691527777781</v>
      </c>
    </row>
    <row r="685" spans="1:1" x14ac:dyDescent="0.25">
      <c r="A685" s="472">
        <f>$A684+Planning!$D$2</f>
        <v>42870.691527777781</v>
      </c>
    </row>
    <row r="686" spans="1:1" x14ac:dyDescent="0.25">
      <c r="A686" s="472">
        <f>$A685+Planning!$D$2</f>
        <v>42871.691527777781</v>
      </c>
    </row>
    <row r="687" spans="1:1" x14ac:dyDescent="0.25">
      <c r="A687" s="472">
        <f>$A686+Planning!$D$2</f>
        <v>42872.691527777781</v>
      </c>
    </row>
    <row r="688" spans="1:1" x14ac:dyDescent="0.25">
      <c r="A688" s="472">
        <f>$A687+Planning!$D$2</f>
        <v>42873.691527777781</v>
      </c>
    </row>
    <row r="689" spans="1:1" x14ac:dyDescent="0.25">
      <c r="A689" s="472">
        <f>$A688+Planning!$D$2</f>
        <v>42874.691527777781</v>
      </c>
    </row>
    <row r="690" spans="1:1" x14ac:dyDescent="0.25">
      <c r="A690" s="472">
        <f>$A689+Planning!$D$2</f>
        <v>42875.691527777781</v>
      </c>
    </row>
    <row r="691" spans="1:1" x14ac:dyDescent="0.25">
      <c r="A691" s="472">
        <f>$A690+Planning!$D$2</f>
        <v>42876.691527777781</v>
      </c>
    </row>
    <row r="692" spans="1:1" x14ac:dyDescent="0.25">
      <c r="A692" s="472">
        <f>$A691+Planning!$D$2</f>
        <v>42877.691527777781</v>
      </c>
    </row>
    <row r="693" spans="1:1" x14ac:dyDescent="0.25">
      <c r="A693" s="472">
        <f>$A692+Planning!$D$2</f>
        <v>42878.691527777781</v>
      </c>
    </row>
    <row r="694" spans="1:1" x14ac:dyDescent="0.25">
      <c r="A694" s="472">
        <f>$A693+Planning!$D$2</f>
        <v>42879.691527777781</v>
      </c>
    </row>
    <row r="695" spans="1:1" x14ac:dyDescent="0.25">
      <c r="A695" s="472">
        <f>$A694+Planning!$D$2</f>
        <v>42880.691527777781</v>
      </c>
    </row>
    <row r="696" spans="1:1" x14ac:dyDescent="0.25">
      <c r="A696" s="472">
        <f>$A695+Planning!$D$2</f>
        <v>42881.691527777781</v>
      </c>
    </row>
    <row r="697" spans="1:1" x14ac:dyDescent="0.25">
      <c r="A697" s="472">
        <f>$A696+Planning!$D$2</f>
        <v>42882.691527777781</v>
      </c>
    </row>
    <row r="698" spans="1:1" x14ac:dyDescent="0.25">
      <c r="A698" s="472">
        <f>$A697+Planning!$D$2</f>
        <v>42883.691527777781</v>
      </c>
    </row>
    <row r="699" spans="1:1" x14ac:dyDescent="0.25">
      <c r="A699" s="472">
        <f>$A698+Planning!$D$2</f>
        <v>42884.691527777781</v>
      </c>
    </row>
    <row r="700" spans="1:1" x14ac:dyDescent="0.25">
      <c r="A700" s="472">
        <f>$A699+Planning!$D$2</f>
        <v>42885.691527777781</v>
      </c>
    </row>
    <row r="701" spans="1:1" x14ac:dyDescent="0.25">
      <c r="A701" s="472">
        <f>$A700+Planning!$D$2</f>
        <v>42886.691527777781</v>
      </c>
    </row>
    <row r="702" spans="1:1" x14ac:dyDescent="0.25">
      <c r="A702" s="472">
        <f>$A701+Planning!$D$2</f>
        <v>42887.691527777781</v>
      </c>
    </row>
    <row r="703" spans="1:1" x14ac:dyDescent="0.25">
      <c r="A703" s="472">
        <f>$A702+Planning!$D$2</f>
        <v>42888.691527777781</v>
      </c>
    </row>
    <row r="704" spans="1:1" x14ac:dyDescent="0.25">
      <c r="A704" s="472">
        <f>$A703+Planning!$D$2</f>
        <v>42889.691527777781</v>
      </c>
    </row>
    <row r="705" spans="1:1" x14ac:dyDescent="0.25">
      <c r="A705" s="472">
        <f>$A704+Planning!$D$2</f>
        <v>42890.691527777781</v>
      </c>
    </row>
    <row r="706" spans="1:1" x14ac:dyDescent="0.25">
      <c r="A706" s="472">
        <f>$A705+Planning!$D$2</f>
        <v>42891.691527777781</v>
      </c>
    </row>
    <row r="707" spans="1:1" x14ac:dyDescent="0.25">
      <c r="A707" s="472">
        <f>$A706+Planning!$D$2</f>
        <v>42892.691527777781</v>
      </c>
    </row>
    <row r="708" spans="1:1" x14ac:dyDescent="0.25">
      <c r="A708" s="472">
        <f>$A707+Planning!$D$2</f>
        <v>42893.691527777781</v>
      </c>
    </row>
    <row r="709" spans="1:1" x14ac:dyDescent="0.25">
      <c r="A709" s="472">
        <f>$A708+Planning!$D$2</f>
        <v>42894.691527777781</v>
      </c>
    </row>
    <row r="710" spans="1:1" x14ac:dyDescent="0.25">
      <c r="A710" s="472">
        <f>$A709+Planning!$D$2</f>
        <v>42895.691527777781</v>
      </c>
    </row>
    <row r="711" spans="1:1" x14ac:dyDescent="0.25">
      <c r="A711" s="472">
        <f>$A710+Planning!$D$2</f>
        <v>42896.691527777781</v>
      </c>
    </row>
    <row r="712" spans="1:1" x14ac:dyDescent="0.25">
      <c r="A712" s="472">
        <f>$A711+Planning!$D$2</f>
        <v>42897.691527777781</v>
      </c>
    </row>
    <row r="713" spans="1:1" x14ac:dyDescent="0.25">
      <c r="A713" s="472">
        <f>$A712+Planning!$D$2</f>
        <v>42898.691527777781</v>
      </c>
    </row>
    <row r="714" spans="1:1" x14ac:dyDescent="0.25">
      <c r="A714" s="472">
        <f>$A713+Planning!$D$2</f>
        <v>42899.691527777781</v>
      </c>
    </row>
    <row r="715" spans="1:1" x14ac:dyDescent="0.25">
      <c r="A715" s="472">
        <f>$A714+Planning!$D$2</f>
        <v>42900.691527777781</v>
      </c>
    </row>
    <row r="716" spans="1:1" x14ac:dyDescent="0.25">
      <c r="A716" s="472">
        <f>$A715+Planning!$D$2</f>
        <v>42901.691527777781</v>
      </c>
    </row>
    <row r="717" spans="1:1" x14ac:dyDescent="0.25">
      <c r="A717" s="472">
        <f>$A716+Planning!$D$2</f>
        <v>42902.691527777781</v>
      </c>
    </row>
    <row r="718" spans="1:1" x14ac:dyDescent="0.25">
      <c r="A718" s="472">
        <f>$A717+Planning!$D$2</f>
        <v>42903.691527777781</v>
      </c>
    </row>
    <row r="719" spans="1:1" x14ac:dyDescent="0.25">
      <c r="A719" s="472">
        <f>$A718+Planning!$D$2</f>
        <v>42904.691527777781</v>
      </c>
    </row>
    <row r="720" spans="1:1" x14ac:dyDescent="0.25">
      <c r="A720" s="472">
        <f>$A719+Planning!$D$2</f>
        <v>42905.691527777781</v>
      </c>
    </row>
    <row r="721" spans="1:1" x14ac:dyDescent="0.25">
      <c r="A721" s="472">
        <f>$A720+Planning!$D$2</f>
        <v>42906.691527777781</v>
      </c>
    </row>
    <row r="722" spans="1:1" x14ac:dyDescent="0.25">
      <c r="A722" s="472">
        <f>$A721+Planning!$D$2</f>
        <v>42907.691527777781</v>
      </c>
    </row>
    <row r="723" spans="1:1" x14ac:dyDescent="0.25">
      <c r="A723" s="472">
        <f>$A722+Planning!$D$2</f>
        <v>42908.691527777781</v>
      </c>
    </row>
    <row r="724" spans="1:1" x14ac:dyDescent="0.25">
      <c r="A724" s="472">
        <f>$A723+Planning!$D$2</f>
        <v>42909.691527777781</v>
      </c>
    </row>
    <row r="725" spans="1:1" x14ac:dyDescent="0.25">
      <c r="A725" s="472">
        <f>$A724+Planning!$D$2</f>
        <v>42910.691527777781</v>
      </c>
    </row>
    <row r="726" spans="1:1" x14ac:dyDescent="0.25">
      <c r="A726" s="472">
        <f>$A725+Planning!$D$2</f>
        <v>42911.691527777781</v>
      </c>
    </row>
    <row r="727" spans="1:1" x14ac:dyDescent="0.25">
      <c r="A727" s="472">
        <f>$A726+Planning!$D$2</f>
        <v>42912.691527777781</v>
      </c>
    </row>
    <row r="728" spans="1:1" x14ac:dyDescent="0.25">
      <c r="A728" s="472">
        <f>$A727+Planning!$D$2</f>
        <v>42913.691527777781</v>
      </c>
    </row>
    <row r="729" spans="1:1" x14ac:dyDescent="0.25">
      <c r="A729" s="472">
        <f>$A728+Planning!$D$2</f>
        <v>42914.691527777781</v>
      </c>
    </row>
    <row r="730" spans="1:1" x14ac:dyDescent="0.25">
      <c r="A730" s="472">
        <f>$A729+Planning!$D$2</f>
        <v>42915.691527777781</v>
      </c>
    </row>
    <row r="731" spans="1:1" x14ac:dyDescent="0.25">
      <c r="A731" s="472">
        <f>$A730+Planning!$D$2</f>
        <v>42916.691527777781</v>
      </c>
    </row>
    <row r="732" spans="1:1" x14ac:dyDescent="0.25">
      <c r="A732" s="472">
        <f>$A731+Planning!$D$2</f>
        <v>42917.691527777781</v>
      </c>
    </row>
    <row r="733" spans="1:1" x14ac:dyDescent="0.25">
      <c r="A733" s="472">
        <f>$A732+Planning!$D$2</f>
        <v>42918.691527777781</v>
      </c>
    </row>
    <row r="734" spans="1:1" x14ac:dyDescent="0.25">
      <c r="A734" s="472">
        <f>$A733+Planning!$D$2</f>
        <v>42919.691527777781</v>
      </c>
    </row>
    <row r="735" spans="1:1" x14ac:dyDescent="0.25">
      <c r="A735" s="472">
        <f>$A734+Planning!$D$2</f>
        <v>42920.691527777781</v>
      </c>
    </row>
    <row r="736" spans="1:1" x14ac:dyDescent="0.25">
      <c r="A736" s="472">
        <f>$A735+Planning!$D$2</f>
        <v>42921.691527777781</v>
      </c>
    </row>
    <row r="737" spans="1:1" x14ac:dyDescent="0.25">
      <c r="A737" s="472">
        <f>$A736+Planning!$D$2</f>
        <v>42922.691527777781</v>
      </c>
    </row>
    <row r="738" spans="1:1" x14ac:dyDescent="0.25">
      <c r="A738" s="472">
        <f>$A737+Planning!$D$2</f>
        <v>42923.691527777781</v>
      </c>
    </row>
    <row r="739" spans="1:1" x14ac:dyDescent="0.25">
      <c r="A739" s="472">
        <f>$A738+Planning!$D$2</f>
        <v>42924.691527777781</v>
      </c>
    </row>
    <row r="740" spans="1:1" x14ac:dyDescent="0.25">
      <c r="A740" s="472">
        <f>$A739+Planning!$D$2</f>
        <v>42925.691527777781</v>
      </c>
    </row>
    <row r="741" spans="1:1" x14ac:dyDescent="0.25">
      <c r="A741" s="472">
        <f>$A740+Planning!$D$2</f>
        <v>42926.691527777781</v>
      </c>
    </row>
    <row r="742" spans="1:1" x14ac:dyDescent="0.25">
      <c r="A742" s="472">
        <f>$A741+Planning!$D$2</f>
        <v>42927.691527777781</v>
      </c>
    </row>
    <row r="743" spans="1:1" x14ac:dyDescent="0.25">
      <c r="A743" s="472">
        <f>$A742+Planning!$D$2</f>
        <v>42928.691527777781</v>
      </c>
    </row>
    <row r="744" spans="1:1" x14ac:dyDescent="0.25">
      <c r="A744" s="472">
        <f>$A743+Planning!$D$2</f>
        <v>42929.691527777781</v>
      </c>
    </row>
    <row r="745" spans="1:1" x14ac:dyDescent="0.25">
      <c r="A745" s="472">
        <f>$A744+Planning!$D$2</f>
        <v>42930.691527777781</v>
      </c>
    </row>
    <row r="746" spans="1:1" x14ac:dyDescent="0.25">
      <c r="A746" s="472">
        <f>$A745+Planning!$D$2</f>
        <v>42931.691527777781</v>
      </c>
    </row>
    <row r="747" spans="1:1" x14ac:dyDescent="0.25">
      <c r="A747" s="472">
        <f>$A746+Planning!$D$2</f>
        <v>42932.691527777781</v>
      </c>
    </row>
    <row r="748" spans="1:1" x14ac:dyDescent="0.25">
      <c r="A748" s="472">
        <f>$A747+Planning!$D$2</f>
        <v>42933.691527777781</v>
      </c>
    </row>
    <row r="749" spans="1:1" x14ac:dyDescent="0.25">
      <c r="A749" s="472">
        <f>$A748+Planning!$D$2</f>
        <v>42934.691527777781</v>
      </c>
    </row>
    <row r="750" spans="1:1" x14ac:dyDescent="0.25">
      <c r="A750" s="472">
        <f>$A749+Planning!$D$2</f>
        <v>42935.691527777781</v>
      </c>
    </row>
    <row r="751" spans="1:1" x14ac:dyDescent="0.25">
      <c r="A751" s="472">
        <f>$A750+Planning!$D$2</f>
        <v>42936.691527777781</v>
      </c>
    </row>
    <row r="752" spans="1:1" x14ac:dyDescent="0.25">
      <c r="A752" s="472">
        <f>$A751+Planning!$D$2</f>
        <v>42937.691527777781</v>
      </c>
    </row>
    <row r="753" spans="1:1" x14ac:dyDescent="0.25">
      <c r="A753" s="472">
        <f>$A752+Planning!$D$2</f>
        <v>42938.691527777781</v>
      </c>
    </row>
    <row r="754" spans="1:1" x14ac:dyDescent="0.25">
      <c r="A754" s="472">
        <f>$A753+Planning!$D$2</f>
        <v>42939.691527777781</v>
      </c>
    </row>
    <row r="755" spans="1:1" x14ac:dyDescent="0.25">
      <c r="A755" s="472">
        <f>$A754+Planning!$D$2</f>
        <v>42940.691527777781</v>
      </c>
    </row>
    <row r="756" spans="1:1" x14ac:dyDescent="0.25">
      <c r="A756" s="472">
        <f>$A755+Planning!$D$2</f>
        <v>42941.691527777781</v>
      </c>
    </row>
    <row r="757" spans="1:1" x14ac:dyDescent="0.25">
      <c r="A757" s="472">
        <f>$A756+Planning!$D$2</f>
        <v>42942.691527777781</v>
      </c>
    </row>
    <row r="758" spans="1:1" x14ac:dyDescent="0.25">
      <c r="A758" s="472">
        <f>$A757+Planning!$D$2</f>
        <v>42943.691527777781</v>
      </c>
    </row>
    <row r="759" spans="1:1" x14ac:dyDescent="0.25">
      <c r="A759" s="472">
        <f>$A758+Planning!$D$2</f>
        <v>42944.691527777781</v>
      </c>
    </row>
    <row r="760" spans="1:1" x14ac:dyDescent="0.25">
      <c r="A760" s="472">
        <f>$A759+Planning!$D$2</f>
        <v>42945.691527777781</v>
      </c>
    </row>
    <row r="761" spans="1:1" x14ac:dyDescent="0.25">
      <c r="A761" s="472">
        <f>$A760+Planning!$D$2</f>
        <v>42946.691527777781</v>
      </c>
    </row>
    <row r="762" spans="1:1" x14ac:dyDescent="0.25">
      <c r="A762" s="472">
        <f>$A761+Planning!$D$2</f>
        <v>42947.691527777781</v>
      </c>
    </row>
    <row r="763" spans="1:1" x14ac:dyDescent="0.25">
      <c r="A763" s="472">
        <f>$A762+Planning!$D$2</f>
        <v>42948.691527777781</v>
      </c>
    </row>
    <row r="764" spans="1:1" x14ac:dyDescent="0.25">
      <c r="A764" s="472">
        <f>$A763+Planning!$D$2</f>
        <v>42949.691527777781</v>
      </c>
    </row>
    <row r="765" spans="1:1" x14ac:dyDescent="0.25">
      <c r="A765" s="472">
        <f>$A764+Planning!$D$2</f>
        <v>42950.691527777781</v>
      </c>
    </row>
    <row r="766" spans="1:1" x14ac:dyDescent="0.25">
      <c r="A766" s="472">
        <f>$A765+Planning!$D$2</f>
        <v>42951.691527777781</v>
      </c>
    </row>
    <row r="767" spans="1:1" x14ac:dyDescent="0.25">
      <c r="A767" s="472">
        <f>$A766+Planning!$D$2</f>
        <v>42952.691527777781</v>
      </c>
    </row>
    <row r="768" spans="1:1" x14ac:dyDescent="0.25">
      <c r="A768" s="472">
        <f>$A767+Planning!$D$2</f>
        <v>42953.691527777781</v>
      </c>
    </row>
    <row r="769" spans="1:1" x14ac:dyDescent="0.25">
      <c r="A769" s="472">
        <f>$A768+Planning!$D$2</f>
        <v>42954.691527777781</v>
      </c>
    </row>
    <row r="770" spans="1:1" x14ac:dyDescent="0.25">
      <c r="A770" s="472">
        <f>$A769+Planning!$D$2</f>
        <v>42955.691527777781</v>
      </c>
    </row>
    <row r="771" spans="1:1" x14ac:dyDescent="0.25">
      <c r="A771" s="472">
        <f>$A770+Planning!$D$2</f>
        <v>42956.691527777781</v>
      </c>
    </row>
    <row r="772" spans="1:1" x14ac:dyDescent="0.25">
      <c r="A772" s="472">
        <f>$A771+Planning!$D$2</f>
        <v>42957.691527777781</v>
      </c>
    </row>
    <row r="773" spans="1:1" x14ac:dyDescent="0.25">
      <c r="A773" s="472">
        <f>$A772+Planning!$D$2</f>
        <v>42958.691527777781</v>
      </c>
    </row>
    <row r="774" spans="1:1" x14ac:dyDescent="0.25">
      <c r="A774" s="472">
        <f>$A773+Planning!$D$2</f>
        <v>42959.691527777781</v>
      </c>
    </row>
    <row r="775" spans="1:1" x14ac:dyDescent="0.25">
      <c r="A775" s="472">
        <f>$A774+Planning!$D$2</f>
        <v>42960.691527777781</v>
      </c>
    </row>
    <row r="776" spans="1:1" x14ac:dyDescent="0.25">
      <c r="A776" s="472">
        <f>$A775+Planning!$D$2</f>
        <v>42961.691527777781</v>
      </c>
    </row>
    <row r="777" spans="1:1" x14ac:dyDescent="0.25">
      <c r="A777" s="472">
        <f>$A776+Planning!$D$2</f>
        <v>42962.691527777781</v>
      </c>
    </row>
    <row r="778" spans="1:1" x14ac:dyDescent="0.25">
      <c r="A778" s="472">
        <f>$A777+Planning!$D$2</f>
        <v>42963.691527777781</v>
      </c>
    </row>
    <row r="779" spans="1:1" x14ac:dyDescent="0.25">
      <c r="A779" s="472">
        <f>$A778+Planning!$D$2</f>
        <v>42964.691527777781</v>
      </c>
    </row>
    <row r="780" spans="1:1" x14ac:dyDescent="0.25">
      <c r="A780" s="472">
        <f>$A779+Planning!$D$2</f>
        <v>42965.691527777781</v>
      </c>
    </row>
    <row r="781" spans="1:1" x14ac:dyDescent="0.25">
      <c r="A781" s="472">
        <f>$A780+Planning!$D$2</f>
        <v>42966.691527777781</v>
      </c>
    </row>
    <row r="782" spans="1:1" x14ac:dyDescent="0.25">
      <c r="A782" s="472">
        <f>$A781+Planning!$D$2</f>
        <v>42967.691527777781</v>
      </c>
    </row>
    <row r="783" spans="1:1" x14ac:dyDescent="0.25">
      <c r="A783" s="472">
        <f>$A782+Planning!$D$2</f>
        <v>42968.691527777781</v>
      </c>
    </row>
    <row r="784" spans="1:1" x14ac:dyDescent="0.25">
      <c r="A784" s="472">
        <f>$A783+Planning!$D$2</f>
        <v>42969.691527777781</v>
      </c>
    </row>
    <row r="785" spans="1:1" x14ac:dyDescent="0.25">
      <c r="A785" s="472">
        <f>$A784+Planning!$D$2</f>
        <v>42970.691527777781</v>
      </c>
    </row>
    <row r="786" spans="1:1" x14ac:dyDescent="0.25">
      <c r="A786" s="472">
        <f>$A785+Planning!$D$2</f>
        <v>42971.691527777781</v>
      </c>
    </row>
    <row r="787" spans="1:1" x14ac:dyDescent="0.25">
      <c r="A787" s="472">
        <f>$A786+Planning!$D$2</f>
        <v>42972.691527777781</v>
      </c>
    </row>
    <row r="788" spans="1:1" x14ac:dyDescent="0.25">
      <c r="A788" s="472">
        <f>$A787+Planning!$D$2</f>
        <v>42973.691527777781</v>
      </c>
    </row>
    <row r="789" spans="1:1" x14ac:dyDescent="0.25">
      <c r="A789" s="472">
        <f>$A788+Planning!$D$2</f>
        <v>42974.691527777781</v>
      </c>
    </row>
    <row r="790" spans="1:1" x14ac:dyDescent="0.25">
      <c r="A790" s="472">
        <f>$A789+Planning!$D$2</f>
        <v>42975.691527777781</v>
      </c>
    </row>
    <row r="791" spans="1:1" x14ac:dyDescent="0.25">
      <c r="A791" s="472">
        <f>$A790+Planning!$D$2</f>
        <v>42976.691527777781</v>
      </c>
    </row>
    <row r="792" spans="1:1" x14ac:dyDescent="0.25">
      <c r="A792" s="472">
        <f>$A791+Planning!$D$2</f>
        <v>42977.691527777781</v>
      </c>
    </row>
    <row r="793" spans="1:1" x14ac:dyDescent="0.25">
      <c r="A793" s="472">
        <f>$A792+Planning!$D$2</f>
        <v>42978.691527777781</v>
      </c>
    </row>
    <row r="794" spans="1:1" x14ac:dyDescent="0.25">
      <c r="A794" s="472">
        <f>$A793+Planning!$D$2</f>
        <v>42979.691527777781</v>
      </c>
    </row>
    <row r="795" spans="1:1" x14ac:dyDescent="0.25">
      <c r="A795" s="472">
        <f>$A794+Planning!$D$2</f>
        <v>42980.691527777781</v>
      </c>
    </row>
    <row r="796" spans="1:1" x14ac:dyDescent="0.25">
      <c r="A796" s="472">
        <f>$A795+Planning!$D$2</f>
        <v>42981.691527777781</v>
      </c>
    </row>
    <row r="797" spans="1:1" x14ac:dyDescent="0.25">
      <c r="A797" s="472">
        <f>$A796+Planning!$D$2</f>
        <v>42982.691527777781</v>
      </c>
    </row>
    <row r="798" spans="1:1" x14ac:dyDescent="0.25">
      <c r="A798" s="472">
        <f>$A797+Planning!$D$2</f>
        <v>42983.691527777781</v>
      </c>
    </row>
    <row r="799" spans="1:1" x14ac:dyDescent="0.25">
      <c r="A799" s="472">
        <f>$A798+Planning!$D$2</f>
        <v>42984.691527777781</v>
      </c>
    </row>
    <row r="800" spans="1:1" x14ac:dyDescent="0.25">
      <c r="A800" s="472">
        <f>$A799+Planning!$D$2</f>
        <v>42985.691527777781</v>
      </c>
    </row>
    <row r="801" spans="1:1" x14ac:dyDescent="0.25">
      <c r="A801" s="472">
        <f>$A800+Planning!$D$2</f>
        <v>42986.691527777781</v>
      </c>
    </row>
    <row r="802" spans="1:1" x14ac:dyDescent="0.25">
      <c r="A802" s="472">
        <f>$A801+Planning!$D$2</f>
        <v>42987.691527777781</v>
      </c>
    </row>
    <row r="803" spans="1:1" x14ac:dyDescent="0.25">
      <c r="A803" s="472">
        <f>$A802+Planning!$D$2</f>
        <v>42988.691527777781</v>
      </c>
    </row>
    <row r="804" spans="1:1" x14ac:dyDescent="0.25">
      <c r="A804" s="472">
        <f>$A803+Planning!$D$2</f>
        <v>42989.691527777781</v>
      </c>
    </row>
    <row r="805" spans="1:1" x14ac:dyDescent="0.25">
      <c r="A805" s="472">
        <f>$A804+Planning!$D$2</f>
        <v>42990.691527777781</v>
      </c>
    </row>
    <row r="806" spans="1:1" x14ac:dyDescent="0.25">
      <c r="A806" s="472">
        <f>$A805+Planning!$D$2</f>
        <v>42991.691527777781</v>
      </c>
    </row>
    <row r="807" spans="1:1" x14ac:dyDescent="0.25">
      <c r="A807" s="472">
        <f>$A806+Planning!$D$2</f>
        <v>42992.691527777781</v>
      </c>
    </row>
    <row r="808" spans="1:1" x14ac:dyDescent="0.25">
      <c r="A808" s="472">
        <f>$A807+Planning!$D$2</f>
        <v>42993.691527777781</v>
      </c>
    </row>
    <row r="809" spans="1:1" x14ac:dyDescent="0.25">
      <c r="A809" s="472">
        <f>$A808+Planning!$D$2</f>
        <v>42994.691527777781</v>
      </c>
    </row>
    <row r="810" spans="1:1" x14ac:dyDescent="0.25">
      <c r="A810" s="472">
        <f>$A809+Planning!$D$2</f>
        <v>42995.691527777781</v>
      </c>
    </row>
    <row r="811" spans="1:1" x14ac:dyDescent="0.25">
      <c r="A811" s="472">
        <f>$A810+Planning!$D$2</f>
        <v>42996.691527777781</v>
      </c>
    </row>
    <row r="812" spans="1:1" x14ac:dyDescent="0.25">
      <c r="A812" s="472">
        <f>$A811+Planning!$D$2</f>
        <v>42997.691527777781</v>
      </c>
    </row>
    <row r="813" spans="1:1" x14ac:dyDescent="0.25">
      <c r="A813" s="472">
        <f>$A812+Planning!$D$2</f>
        <v>42998.691527777781</v>
      </c>
    </row>
    <row r="814" spans="1:1" x14ac:dyDescent="0.25">
      <c r="A814" s="472">
        <f>$A813+Planning!$D$2</f>
        <v>42999.691527777781</v>
      </c>
    </row>
    <row r="815" spans="1:1" x14ac:dyDescent="0.25">
      <c r="A815" s="472">
        <f>$A814+Planning!$D$2</f>
        <v>43000.691527777781</v>
      </c>
    </row>
    <row r="816" spans="1:1" x14ac:dyDescent="0.25">
      <c r="A816" s="472">
        <f>$A815+Planning!$D$2</f>
        <v>43001.691527777781</v>
      </c>
    </row>
    <row r="817" spans="1:1" x14ac:dyDescent="0.25">
      <c r="A817" s="472">
        <f>$A816+Planning!$D$2</f>
        <v>43002.691527777781</v>
      </c>
    </row>
    <row r="818" spans="1:1" x14ac:dyDescent="0.25">
      <c r="A818" s="472">
        <f>$A817+Planning!$D$2</f>
        <v>43003.691527777781</v>
      </c>
    </row>
    <row r="819" spans="1:1" x14ac:dyDescent="0.25">
      <c r="A819" s="472">
        <f>$A818+Planning!$D$2</f>
        <v>43004.691527777781</v>
      </c>
    </row>
    <row r="820" spans="1:1" x14ac:dyDescent="0.25">
      <c r="A820" s="472">
        <f>$A819+Planning!$D$2</f>
        <v>43005.691527777781</v>
      </c>
    </row>
    <row r="821" spans="1:1" x14ac:dyDescent="0.25">
      <c r="A821" s="472">
        <f>$A820+Planning!$D$2</f>
        <v>43006.691527777781</v>
      </c>
    </row>
    <row r="822" spans="1:1" x14ac:dyDescent="0.25">
      <c r="A822" s="472">
        <f>$A821+Planning!$D$2</f>
        <v>43007.691527777781</v>
      </c>
    </row>
    <row r="823" spans="1:1" x14ac:dyDescent="0.25">
      <c r="A823" s="472">
        <f>$A822+Planning!$D$2</f>
        <v>43008.691527777781</v>
      </c>
    </row>
    <row r="824" spans="1:1" x14ac:dyDescent="0.25">
      <c r="A824" s="472">
        <f>$A823+Planning!$D$2</f>
        <v>43009.691527777781</v>
      </c>
    </row>
    <row r="825" spans="1:1" x14ac:dyDescent="0.25">
      <c r="A825" s="472">
        <f>$A824+Planning!$D$2</f>
        <v>43010.691527777781</v>
      </c>
    </row>
    <row r="826" spans="1:1" x14ac:dyDescent="0.25">
      <c r="A826" s="472">
        <f>$A825+Planning!$D$2</f>
        <v>43011.691527777781</v>
      </c>
    </row>
    <row r="827" spans="1:1" x14ac:dyDescent="0.25">
      <c r="A827" s="472">
        <f>$A826+Planning!$D$2</f>
        <v>43012.691527777781</v>
      </c>
    </row>
    <row r="828" spans="1:1" x14ac:dyDescent="0.25">
      <c r="A828" s="472">
        <f>$A827+Planning!$D$2</f>
        <v>43013.691527777781</v>
      </c>
    </row>
    <row r="829" spans="1:1" x14ac:dyDescent="0.25">
      <c r="A829" s="472">
        <f>$A828+Planning!$D$2</f>
        <v>43014.691527777781</v>
      </c>
    </row>
    <row r="830" spans="1:1" x14ac:dyDescent="0.25">
      <c r="A830" s="472">
        <f>$A829+Planning!$D$2</f>
        <v>43015.691527777781</v>
      </c>
    </row>
    <row r="831" spans="1:1" x14ac:dyDescent="0.25">
      <c r="A831" s="472">
        <f>$A830+Planning!$D$2</f>
        <v>43016.691527777781</v>
      </c>
    </row>
    <row r="832" spans="1:1" x14ac:dyDescent="0.25">
      <c r="A832" s="472">
        <f>$A831+Planning!$D$2</f>
        <v>43017.691527777781</v>
      </c>
    </row>
    <row r="833" spans="1:1" x14ac:dyDescent="0.25">
      <c r="A833" s="472">
        <f>$A832+Planning!$D$2</f>
        <v>43018.691527777781</v>
      </c>
    </row>
    <row r="834" spans="1:1" x14ac:dyDescent="0.25">
      <c r="A834" s="472">
        <f>$A833+Planning!$D$2</f>
        <v>43019.691527777781</v>
      </c>
    </row>
    <row r="835" spans="1:1" x14ac:dyDescent="0.25">
      <c r="A835" s="472">
        <f>$A834+Planning!$D$2</f>
        <v>43020.691527777781</v>
      </c>
    </row>
    <row r="836" spans="1:1" x14ac:dyDescent="0.25">
      <c r="A836" s="472">
        <f>$A835+Planning!$D$2</f>
        <v>43021.691527777781</v>
      </c>
    </row>
    <row r="837" spans="1:1" x14ac:dyDescent="0.25">
      <c r="A837" s="472">
        <f>$A836+Planning!$D$2</f>
        <v>43022.691527777781</v>
      </c>
    </row>
    <row r="838" spans="1:1" x14ac:dyDescent="0.25">
      <c r="A838" s="472">
        <f>$A837+Planning!$D$2</f>
        <v>43023.691527777781</v>
      </c>
    </row>
    <row r="839" spans="1:1" x14ac:dyDescent="0.25">
      <c r="A839" s="472">
        <f>$A838+Planning!$D$2</f>
        <v>43024.691527777781</v>
      </c>
    </row>
    <row r="840" spans="1:1" x14ac:dyDescent="0.25">
      <c r="A840" s="472">
        <f>$A839+Planning!$D$2</f>
        <v>43025.691527777781</v>
      </c>
    </row>
    <row r="841" spans="1:1" x14ac:dyDescent="0.25">
      <c r="A841" s="472">
        <f>$A840+Planning!$D$2</f>
        <v>43026.691527777781</v>
      </c>
    </row>
    <row r="842" spans="1:1" x14ac:dyDescent="0.25">
      <c r="A842" s="472">
        <f>$A841+Planning!$D$2</f>
        <v>43027.691527777781</v>
      </c>
    </row>
    <row r="843" spans="1:1" x14ac:dyDescent="0.25">
      <c r="A843" s="472">
        <f>$A842+Planning!$D$2</f>
        <v>43028.691527777781</v>
      </c>
    </row>
    <row r="844" spans="1:1" x14ac:dyDescent="0.25">
      <c r="A844" s="472">
        <f>$A843+Planning!$D$2</f>
        <v>43029.691527777781</v>
      </c>
    </row>
    <row r="845" spans="1:1" x14ac:dyDescent="0.25">
      <c r="A845" s="472">
        <f>$A844+Planning!$D$2</f>
        <v>43030.691527777781</v>
      </c>
    </row>
    <row r="846" spans="1:1" x14ac:dyDescent="0.25">
      <c r="A846" s="472">
        <f>$A845+Planning!$D$2</f>
        <v>43031.691527777781</v>
      </c>
    </row>
    <row r="847" spans="1:1" x14ac:dyDescent="0.25">
      <c r="A847" s="472">
        <f>$A846+Planning!$D$2</f>
        <v>43032.691527777781</v>
      </c>
    </row>
    <row r="848" spans="1:1" x14ac:dyDescent="0.25">
      <c r="A848" s="472">
        <f>$A847+Planning!$D$2</f>
        <v>43033.691527777781</v>
      </c>
    </row>
    <row r="849" spans="1:1" x14ac:dyDescent="0.25">
      <c r="A849" s="472">
        <f>$A848+Planning!$D$2</f>
        <v>43034.691527777781</v>
      </c>
    </row>
    <row r="850" spans="1:1" x14ac:dyDescent="0.25">
      <c r="A850" s="472">
        <f>$A849+Planning!$D$2</f>
        <v>43035.691527777781</v>
      </c>
    </row>
    <row r="851" spans="1:1" x14ac:dyDescent="0.25">
      <c r="A851" s="472">
        <f>$A850+Planning!$D$2</f>
        <v>43036.691527777781</v>
      </c>
    </row>
    <row r="852" spans="1:1" x14ac:dyDescent="0.25">
      <c r="A852" s="472">
        <f>$A851+Planning!$D$2</f>
        <v>43037.691527777781</v>
      </c>
    </row>
    <row r="853" spans="1:1" x14ac:dyDescent="0.25">
      <c r="A853" s="472">
        <f>$A852+Planning!$D$2</f>
        <v>43038.691527777781</v>
      </c>
    </row>
    <row r="854" spans="1:1" x14ac:dyDescent="0.25">
      <c r="A854" s="472">
        <f>$A853+Planning!$D$2</f>
        <v>43039.691527777781</v>
      </c>
    </row>
    <row r="855" spans="1:1" x14ac:dyDescent="0.25">
      <c r="A855" s="472">
        <f>$A854+Planning!$D$2</f>
        <v>43040.691527777781</v>
      </c>
    </row>
    <row r="856" spans="1:1" x14ac:dyDescent="0.25">
      <c r="A856" s="472">
        <f>$A855+Planning!$D$2</f>
        <v>43041.691527777781</v>
      </c>
    </row>
    <row r="857" spans="1:1" x14ac:dyDescent="0.25">
      <c r="A857" s="472">
        <f>$A856+Planning!$D$2</f>
        <v>43042.691527777781</v>
      </c>
    </row>
    <row r="858" spans="1:1" x14ac:dyDescent="0.25">
      <c r="A858" s="472">
        <f>$A857+Planning!$D$2</f>
        <v>43043.691527777781</v>
      </c>
    </row>
    <row r="859" spans="1:1" x14ac:dyDescent="0.25">
      <c r="A859" s="472">
        <f>$A858+Planning!$D$2</f>
        <v>43044.691527777781</v>
      </c>
    </row>
    <row r="860" spans="1:1" x14ac:dyDescent="0.25">
      <c r="A860" s="472">
        <f>$A859+Planning!$D$2</f>
        <v>43045.691527777781</v>
      </c>
    </row>
    <row r="861" spans="1:1" x14ac:dyDescent="0.25">
      <c r="A861" s="472">
        <f>$A860+Planning!$D$2</f>
        <v>43046.691527777781</v>
      </c>
    </row>
    <row r="862" spans="1:1" x14ac:dyDescent="0.25">
      <c r="A862" s="472">
        <f>$A861+Planning!$D$2</f>
        <v>43047.691527777781</v>
      </c>
    </row>
    <row r="863" spans="1:1" x14ac:dyDescent="0.25">
      <c r="A863" s="472">
        <f>$A862+Planning!$D$2</f>
        <v>43048.691527777781</v>
      </c>
    </row>
    <row r="864" spans="1:1" x14ac:dyDescent="0.25">
      <c r="A864" s="472">
        <f>$A863+Planning!$D$2</f>
        <v>43049.691527777781</v>
      </c>
    </row>
    <row r="865" spans="1:1" x14ac:dyDescent="0.25">
      <c r="A865" s="472">
        <f>$A864+Planning!$D$2</f>
        <v>43050.691527777781</v>
      </c>
    </row>
    <row r="866" spans="1:1" x14ac:dyDescent="0.25">
      <c r="A866" s="472">
        <f>$A865+Planning!$D$2</f>
        <v>43051.691527777781</v>
      </c>
    </row>
    <row r="867" spans="1:1" x14ac:dyDescent="0.25">
      <c r="A867" s="472">
        <f>$A866+Planning!$D$2</f>
        <v>43052.691527777781</v>
      </c>
    </row>
    <row r="868" spans="1:1" x14ac:dyDescent="0.25">
      <c r="A868" s="472">
        <f>$A867+Planning!$D$2</f>
        <v>43053.691527777781</v>
      </c>
    </row>
    <row r="869" spans="1:1" x14ac:dyDescent="0.25">
      <c r="A869" s="472">
        <f>$A868+Planning!$D$2</f>
        <v>43054.691527777781</v>
      </c>
    </row>
    <row r="870" spans="1:1" x14ac:dyDescent="0.25">
      <c r="A870" s="472">
        <f>$A869+Planning!$D$2</f>
        <v>43055.691527777781</v>
      </c>
    </row>
    <row r="871" spans="1:1" x14ac:dyDescent="0.25">
      <c r="A871" s="472">
        <f>$A870+Planning!$D$2</f>
        <v>43056.691527777781</v>
      </c>
    </row>
    <row r="872" spans="1:1" x14ac:dyDescent="0.25">
      <c r="A872" s="472">
        <f>$A871+Planning!$D$2</f>
        <v>43057.691527777781</v>
      </c>
    </row>
    <row r="873" spans="1:1" x14ac:dyDescent="0.25">
      <c r="A873" s="472">
        <f>$A872+Planning!$D$2</f>
        <v>43058.691527777781</v>
      </c>
    </row>
    <row r="874" spans="1:1" x14ac:dyDescent="0.25">
      <c r="A874" s="472">
        <f>$A873+Planning!$D$2</f>
        <v>43059.691527777781</v>
      </c>
    </row>
    <row r="875" spans="1:1" x14ac:dyDescent="0.25">
      <c r="A875" s="472">
        <f>$A874+Planning!$D$2</f>
        <v>43060.691527777781</v>
      </c>
    </row>
    <row r="876" spans="1:1" x14ac:dyDescent="0.25">
      <c r="A876" s="472">
        <f>$A875+Planning!$D$2</f>
        <v>43061.691527777781</v>
      </c>
    </row>
    <row r="877" spans="1:1" x14ac:dyDescent="0.25">
      <c r="A877" s="472">
        <f>$A876+Planning!$D$2</f>
        <v>43062.691527777781</v>
      </c>
    </row>
    <row r="878" spans="1:1" x14ac:dyDescent="0.25">
      <c r="A878" s="472">
        <f>$A877+Planning!$D$2</f>
        <v>43063.691527777781</v>
      </c>
    </row>
    <row r="879" spans="1:1" x14ac:dyDescent="0.25">
      <c r="A879" s="472">
        <f>$A878+Planning!$D$2</f>
        <v>43064.691527777781</v>
      </c>
    </row>
    <row r="880" spans="1:1" x14ac:dyDescent="0.25">
      <c r="A880" s="472">
        <f>$A879+Planning!$D$2</f>
        <v>43065.691527777781</v>
      </c>
    </row>
    <row r="881" spans="1:1" x14ac:dyDescent="0.25">
      <c r="A881" s="472">
        <f>$A880+Planning!$D$2</f>
        <v>43066.691527777781</v>
      </c>
    </row>
    <row r="882" spans="1:1" x14ac:dyDescent="0.25">
      <c r="A882" s="472">
        <f>$A881+Planning!$D$2</f>
        <v>43067.691527777781</v>
      </c>
    </row>
    <row r="883" spans="1:1" x14ac:dyDescent="0.25">
      <c r="A883" s="472">
        <f>$A882+Planning!$D$2</f>
        <v>43068.691527777781</v>
      </c>
    </row>
    <row r="884" spans="1:1" x14ac:dyDescent="0.25">
      <c r="A884" s="472">
        <f>$A883+Planning!$D$2</f>
        <v>43069.691527777781</v>
      </c>
    </row>
    <row r="885" spans="1:1" x14ac:dyDescent="0.25">
      <c r="A885" s="472">
        <f>$A884+Planning!$D$2</f>
        <v>43070.691527777781</v>
      </c>
    </row>
    <row r="886" spans="1:1" x14ac:dyDescent="0.25">
      <c r="A886" s="472">
        <f>$A885+Planning!$D$2</f>
        <v>43071.691527777781</v>
      </c>
    </row>
    <row r="887" spans="1:1" x14ac:dyDescent="0.25">
      <c r="A887" s="472">
        <f>$A886+Planning!$D$2</f>
        <v>43072.691527777781</v>
      </c>
    </row>
    <row r="888" spans="1:1" x14ac:dyDescent="0.25">
      <c r="A888" s="472">
        <f>$A887+Planning!$D$2</f>
        <v>43073.691527777781</v>
      </c>
    </row>
    <row r="889" spans="1:1" x14ac:dyDescent="0.25">
      <c r="A889" s="472">
        <f>$A888+Planning!$D$2</f>
        <v>43074.691527777781</v>
      </c>
    </row>
    <row r="890" spans="1:1" x14ac:dyDescent="0.25">
      <c r="A890" s="472">
        <f>$A889+Planning!$D$2</f>
        <v>43075.691527777781</v>
      </c>
    </row>
    <row r="891" spans="1:1" x14ac:dyDescent="0.25">
      <c r="A891" s="472">
        <f>$A890+Planning!$D$2</f>
        <v>43076.691527777781</v>
      </c>
    </row>
    <row r="892" spans="1:1" x14ac:dyDescent="0.25">
      <c r="A892" s="472">
        <f>$A891+Planning!$D$2</f>
        <v>43077.691527777781</v>
      </c>
    </row>
    <row r="893" spans="1:1" x14ac:dyDescent="0.25">
      <c r="A893" s="472">
        <f>$A892+Planning!$D$2</f>
        <v>43078.691527777781</v>
      </c>
    </row>
    <row r="894" spans="1:1" x14ac:dyDescent="0.25">
      <c r="A894" s="472">
        <f>$A893+Planning!$D$2</f>
        <v>43079.691527777781</v>
      </c>
    </row>
    <row r="895" spans="1:1" x14ac:dyDescent="0.25">
      <c r="A895" s="472">
        <f>$A894+Planning!$D$2</f>
        <v>43080.691527777781</v>
      </c>
    </row>
    <row r="896" spans="1:1" x14ac:dyDescent="0.25">
      <c r="A896" s="472">
        <f>$A895+Planning!$D$2</f>
        <v>43081.691527777781</v>
      </c>
    </row>
    <row r="897" spans="1:1" x14ac:dyDescent="0.25">
      <c r="A897" s="472">
        <f>$A896+Planning!$D$2</f>
        <v>43082.691527777781</v>
      </c>
    </row>
    <row r="898" spans="1:1" x14ac:dyDescent="0.25">
      <c r="A898" s="472">
        <f>$A897+Planning!$D$2</f>
        <v>43083.691527777781</v>
      </c>
    </row>
    <row r="899" spans="1:1" x14ac:dyDescent="0.25">
      <c r="A899" s="472">
        <f>$A898+Planning!$D$2</f>
        <v>43084.691527777781</v>
      </c>
    </row>
    <row r="900" spans="1:1" x14ac:dyDescent="0.25">
      <c r="A900" s="472">
        <f>$A899+Planning!$D$2</f>
        <v>43085.691527777781</v>
      </c>
    </row>
    <row r="901" spans="1:1" x14ac:dyDescent="0.25">
      <c r="A901" s="472">
        <f>$A900+Planning!$D$2</f>
        <v>43086.691527777781</v>
      </c>
    </row>
    <row r="902" spans="1:1" x14ac:dyDescent="0.25">
      <c r="A902" s="472">
        <f>$A901+Planning!$D$2</f>
        <v>43087.691527777781</v>
      </c>
    </row>
    <row r="903" spans="1:1" x14ac:dyDescent="0.25">
      <c r="A903" s="472">
        <f>$A902+Planning!$D$2</f>
        <v>43088.691527777781</v>
      </c>
    </row>
    <row r="904" spans="1:1" x14ac:dyDescent="0.25">
      <c r="A904" s="472">
        <f>$A903+Planning!$D$2</f>
        <v>43089.691527777781</v>
      </c>
    </row>
    <row r="905" spans="1:1" x14ac:dyDescent="0.25">
      <c r="A905" s="472">
        <f>$A904+Planning!$D$2</f>
        <v>43090.691527777781</v>
      </c>
    </row>
    <row r="906" spans="1:1" x14ac:dyDescent="0.25">
      <c r="A906" s="472">
        <f>$A905+Planning!$D$2</f>
        <v>43091.691527777781</v>
      </c>
    </row>
    <row r="907" spans="1:1" x14ac:dyDescent="0.25">
      <c r="A907" s="472">
        <f>$A906+Planning!$D$2</f>
        <v>43092.691527777781</v>
      </c>
    </row>
    <row r="908" spans="1:1" x14ac:dyDescent="0.25">
      <c r="A908" s="472">
        <f>$A907+Planning!$D$2</f>
        <v>43093.691527777781</v>
      </c>
    </row>
    <row r="909" spans="1:1" x14ac:dyDescent="0.25">
      <c r="A909" s="472">
        <f>$A908+Planning!$D$2</f>
        <v>43094.691527777781</v>
      </c>
    </row>
    <row r="910" spans="1:1" x14ac:dyDescent="0.25">
      <c r="A910" s="472">
        <f>$A909+Planning!$D$2</f>
        <v>43095.691527777781</v>
      </c>
    </row>
    <row r="911" spans="1:1" x14ac:dyDescent="0.25">
      <c r="A911" s="472">
        <f>$A910+Planning!$D$2</f>
        <v>43096.691527777781</v>
      </c>
    </row>
    <row r="912" spans="1:1" x14ac:dyDescent="0.25">
      <c r="A912" s="472">
        <f>$A911+Planning!$D$2</f>
        <v>43097.691527777781</v>
      </c>
    </row>
    <row r="913" spans="1:1" x14ac:dyDescent="0.25">
      <c r="A913" s="472">
        <f>$A912+Planning!$D$2</f>
        <v>43098.691527777781</v>
      </c>
    </row>
    <row r="914" spans="1:1" x14ac:dyDescent="0.25">
      <c r="A914" s="472">
        <f>$A913+Planning!$D$2</f>
        <v>43099.691527777781</v>
      </c>
    </row>
    <row r="915" spans="1:1" x14ac:dyDescent="0.25">
      <c r="A915" s="472">
        <f>$A914+Planning!$D$2</f>
        <v>43100.691527777781</v>
      </c>
    </row>
    <row r="916" spans="1:1" x14ac:dyDescent="0.25">
      <c r="A916" s="472">
        <f>$A915+Planning!$D$2</f>
        <v>43101.691527777781</v>
      </c>
    </row>
    <row r="917" spans="1:1" x14ac:dyDescent="0.25">
      <c r="A917" s="472">
        <f>$A916+Planning!$D$2</f>
        <v>43102.691527777781</v>
      </c>
    </row>
    <row r="918" spans="1:1" x14ac:dyDescent="0.25">
      <c r="A918" s="472">
        <f>$A917+Planning!$D$2</f>
        <v>43103.691527777781</v>
      </c>
    </row>
    <row r="919" spans="1:1" x14ac:dyDescent="0.25">
      <c r="A919" s="472">
        <f>$A918+Planning!$D$2</f>
        <v>43104.691527777781</v>
      </c>
    </row>
    <row r="920" spans="1:1" x14ac:dyDescent="0.25">
      <c r="A920" s="472">
        <f>$A919+Planning!$D$2</f>
        <v>43105.691527777781</v>
      </c>
    </row>
    <row r="921" spans="1:1" x14ac:dyDescent="0.25">
      <c r="A921" s="472">
        <f>$A920+Planning!$D$2</f>
        <v>43106.691527777781</v>
      </c>
    </row>
    <row r="922" spans="1:1" x14ac:dyDescent="0.25">
      <c r="A922" s="472">
        <f>$A921+Planning!$D$2</f>
        <v>43107.691527777781</v>
      </c>
    </row>
    <row r="923" spans="1:1" x14ac:dyDescent="0.25">
      <c r="A923" s="472">
        <f>$A922+Planning!$D$2</f>
        <v>43108.691527777781</v>
      </c>
    </row>
    <row r="924" spans="1:1" x14ac:dyDescent="0.25">
      <c r="A924" s="472">
        <f>$A923+Planning!$D$2</f>
        <v>43109.691527777781</v>
      </c>
    </row>
    <row r="925" spans="1:1" x14ac:dyDescent="0.25">
      <c r="A925" s="472">
        <f>$A924+Planning!$D$2</f>
        <v>43110.691527777781</v>
      </c>
    </row>
    <row r="926" spans="1:1" x14ac:dyDescent="0.25">
      <c r="A926" s="472">
        <f>$A925+Planning!$D$2</f>
        <v>43111.691527777781</v>
      </c>
    </row>
    <row r="927" spans="1:1" x14ac:dyDescent="0.25">
      <c r="A927" s="472">
        <f>$A926+Planning!$D$2</f>
        <v>43112.691527777781</v>
      </c>
    </row>
    <row r="928" spans="1:1" x14ac:dyDescent="0.25">
      <c r="A928" s="472">
        <f>$A927+Planning!$D$2</f>
        <v>43113.691527777781</v>
      </c>
    </row>
    <row r="929" spans="1:1" x14ac:dyDescent="0.25">
      <c r="A929" s="472">
        <f>$A928+Planning!$D$2</f>
        <v>43114.691527777781</v>
      </c>
    </row>
    <row r="930" spans="1:1" x14ac:dyDescent="0.25">
      <c r="A930" s="472">
        <f>$A929+Planning!$D$2</f>
        <v>43115.691527777781</v>
      </c>
    </row>
    <row r="931" spans="1:1" x14ac:dyDescent="0.25">
      <c r="A931" s="472">
        <f>$A930+Planning!$D$2</f>
        <v>43116.691527777781</v>
      </c>
    </row>
    <row r="932" spans="1:1" x14ac:dyDescent="0.25">
      <c r="A932" s="472">
        <f>$A931+Planning!$D$2</f>
        <v>43117.691527777781</v>
      </c>
    </row>
    <row r="933" spans="1:1" x14ac:dyDescent="0.25">
      <c r="A933" s="472">
        <f>$A932+Planning!$D$2</f>
        <v>43118.691527777781</v>
      </c>
    </row>
    <row r="934" spans="1:1" x14ac:dyDescent="0.25">
      <c r="A934" s="472">
        <f>$A933+Planning!$D$2</f>
        <v>43119.691527777781</v>
      </c>
    </row>
    <row r="935" spans="1:1" x14ac:dyDescent="0.25">
      <c r="A935" s="472">
        <f>$A934+Planning!$D$2</f>
        <v>43120.691527777781</v>
      </c>
    </row>
    <row r="936" spans="1:1" x14ac:dyDescent="0.25">
      <c r="A936" s="472">
        <f>$A935+Planning!$D$2</f>
        <v>43121.691527777781</v>
      </c>
    </row>
    <row r="937" spans="1:1" x14ac:dyDescent="0.25">
      <c r="A937" s="472">
        <f>$A936+Planning!$D$2</f>
        <v>43122.691527777781</v>
      </c>
    </row>
    <row r="938" spans="1:1" x14ac:dyDescent="0.25">
      <c r="A938" s="472">
        <f>$A937+Planning!$D$2</f>
        <v>43123.691527777781</v>
      </c>
    </row>
    <row r="939" spans="1:1" x14ac:dyDescent="0.25">
      <c r="A939" s="472">
        <f>$A938+Planning!$D$2</f>
        <v>43124.691527777781</v>
      </c>
    </row>
    <row r="940" spans="1:1" x14ac:dyDescent="0.25">
      <c r="A940" s="472">
        <f>$A939+Planning!$D$2</f>
        <v>43125.691527777781</v>
      </c>
    </row>
    <row r="941" spans="1:1" x14ac:dyDescent="0.25">
      <c r="A941" s="472">
        <f>$A940+Planning!$D$2</f>
        <v>43126.691527777781</v>
      </c>
    </row>
    <row r="942" spans="1:1" x14ac:dyDescent="0.25">
      <c r="A942" s="472">
        <f>$A941+Planning!$D$2</f>
        <v>43127.691527777781</v>
      </c>
    </row>
    <row r="943" spans="1:1" x14ac:dyDescent="0.25">
      <c r="A943" s="472">
        <f>$A942+Planning!$D$2</f>
        <v>43128.691527777781</v>
      </c>
    </row>
    <row r="944" spans="1:1" x14ac:dyDescent="0.25">
      <c r="A944" s="472">
        <f>$A943+Planning!$D$2</f>
        <v>43129.691527777781</v>
      </c>
    </row>
    <row r="945" spans="1:1" x14ac:dyDescent="0.25">
      <c r="A945" s="472">
        <f>$A944+Planning!$D$2</f>
        <v>43130.691527777781</v>
      </c>
    </row>
    <row r="946" spans="1:1" x14ac:dyDescent="0.25">
      <c r="A946" s="472">
        <f>$A945+Planning!$D$2</f>
        <v>43131.691527777781</v>
      </c>
    </row>
    <row r="947" spans="1:1" x14ac:dyDescent="0.25">
      <c r="A947" s="472">
        <f>$A946+Planning!$D$2</f>
        <v>43132.691527777781</v>
      </c>
    </row>
    <row r="948" spans="1:1" x14ac:dyDescent="0.25">
      <c r="A948" s="472">
        <f>$A947+Planning!$D$2</f>
        <v>43133.691527777781</v>
      </c>
    </row>
    <row r="949" spans="1:1" x14ac:dyDescent="0.25">
      <c r="A949" s="472">
        <f>$A948+Planning!$D$2</f>
        <v>43134.691527777781</v>
      </c>
    </row>
    <row r="950" spans="1:1" x14ac:dyDescent="0.25">
      <c r="A950" s="472">
        <f>$A949+Planning!$D$2</f>
        <v>43135.691527777781</v>
      </c>
    </row>
    <row r="951" spans="1:1" x14ac:dyDescent="0.25">
      <c r="A951" s="472">
        <f>$A950+Planning!$D$2</f>
        <v>43136.691527777781</v>
      </c>
    </row>
    <row r="952" spans="1:1" x14ac:dyDescent="0.25">
      <c r="A952" s="472">
        <f>$A951+Planning!$D$2</f>
        <v>43137.691527777781</v>
      </c>
    </row>
    <row r="953" spans="1:1" x14ac:dyDescent="0.25">
      <c r="A953" s="472">
        <f>$A952+Planning!$D$2</f>
        <v>43138.691527777781</v>
      </c>
    </row>
    <row r="954" spans="1:1" x14ac:dyDescent="0.25">
      <c r="A954" s="472">
        <f>$A953+Planning!$D$2</f>
        <v>43139.691527777781</v>
      </c>
    </row>
    <row r="955" spans="1:1" x14ac:dyDescent="0.25">
      <c r="A955" s="472">
        <f>$A954+Planning!$D$2</f>
        <v>43140.691527777781</v>
      </c>
    </row>
    <row r="956" spans="1:1" x14ac:dyDescent="0.25">
      <c r="A956" s="472">
        <f>$A955+Planning!$D$2</f>
        <v>43141.691527777781</v>
      </c>
    </row>
    <row r="957" spans="1:1" x14ac:dyDescent="0.25">
      <c r="A957" s="472">
        <f>$A956+Planning!$D$2</f>
        <v>43142.691527777781</v>
      </c>
    </row>
    <row r="958" spans="1:1" x14ac:dyDescent="0.25">
      <c r="A958" s="472">
        <f>$A957+Planning!$D$2</f>
        <v>43143.691527777781</v>
      </c>
    </row>
    <row r="959" spans="1:1" x14ac:dyDescent="0.25">
      <c r="A959" s="472">
        <f>$A958+Planning!$D$2</f>
        <v>43144.691527777781</v>
      </c>
    </row>
    <row r="960" spans="1:1" x14ac:dyDescent="0.25">
      <c r="A960" s="472">
        <f>$A959+Planning!$D$2</f>
        <v>43145.691527777781</v>
      </c>
    </row>
    <row r="961" spans="1:1" x14ac:dyDescent="0.25">
      <c r="A961" s="472">
        <f>$A960+Planning!$D$2</f>
        <v>43146.691527777781</v>
      </c>
    </row>
    <row r="962" spans="1:1" x14ac:dyDescent="0.25">
      <c r="A962" s="472">
        <f>$A961+Planning!$D$2</f>
        <v>43147.691527777781</v>
      </c>
    </row>
    <row r="963" spans="1:1" x14ac:dyDescent="0.25">
      <c r="A963" s="472">
        <f>$A962+Planning!$D$2</f>
        <v>43148.691527777781</v>
      </c>
    </row>
    <row r="964" spans="1:1" x14ac:dyDescent="0.25">
      <c r="A964" s="472">
        <f>$A963+Planning!$D$2</f>
        <v>43149.691527777781</v>
      </c>
    </row>
    <row r="965" spans="1:1" x14ac:dyDescent="0.25">
      <c r="A965" s="472">
        <f>$A964+Planning!$D$2</f>
        <v>43150.691527777781</v>
      </c>
    </row>
    <row r="966" spans="1:1" x14ac:dyDescent="0.25">
      <c r="A966" s="472">
        <f>$A965+Planning!$D$2</f>
        <v>43151.691527777781</v>
      </c>
    </row>
    <row r="967" spans="1:1" x14ac:dyDescent="0.25">
      <c r="A967" s="472">
        <f>$A966+Planning!$D$2</f>
        <v>43152.691527777781</v>
      </c>
    </row>
    <row r="968" spans="1:1" x14ac:dyDescent="0.25">
      <c r="A968" s="472">
        <f>$A967+Planning!$D$2</f>
        <v>43153.691527777781</v>
      </c>
    </row>
    <row r="969" spans="1:1" x14ac:dyDescent="0.25">
      <c r="A969" s="472">
        <f>$A968+Planning!$D$2</f>
        <v>43154.691527777781</v>
      </c>
    </row>
    <row r="970" spans="1:1" x14ac:dyDescent="0.25">
      <c r="A970" s="472">
        <f>$A969+Planning!$D$2</f>
        <v>43155.691527777781</v>
      </c>
    </row>
    <row r="971" spans="1:1" x14ac:dyDescent="0.25">
      <c r="A971" s="472">
        <f>$A970+Planning!$D$2</f>
        <v>43156.691527777781</v>
      </c>
    </row>
    <row r="972" spans="1:1" x14ac:dyDescent="0.25">
      <c r="A972" s="472">
        <f>$A971+Planning!$D$2</f>
        <v>43157.691527777781</v>
      </c>
    </row>
    <row r="973" spans="1:1" x14ac:dyDescent="0.25">
      <c r="A973" s="472">
        <f>$A972+Planning!$D$2</f>
        <v>43158.691527777781</v>
      </c>
    </row>
    <row r="974" spans="1:1" x14ac:dyDescent="0.25">
      <c r="A974" s="472">
        <f>$A973+Planning!$D$2</f>
        <v>43159.691527777781</v>
      </c>
    </row>
    <row r="975" spans="1:1" x14ac:dyDescent="0.25">
      <c r="A975" s="472">
        <f>$A974+Planning!$D$2</f>
        <v>43160.691527777781</v>
      </c>
    </row>
    <row r="976" spans="1:1" x14ac:dyDescent="0.25">
      <c r="A976" s="472">
        <f>$A975+Planning!$D$2</f>
        <v>43161.691527777781</v>
      </c>
    </row>
    <row r="977" spans="1:1" x14ac:dyDescent="0.25">
      <c r="A977" s="472">
        <f>$A976+Planning!$D$2</f>
        <v>43162.691527777781</v>
      </c>
    </row>
    <row r="978" spans="1:1" x14ac:dyDescent="0.25">
      <c r="A978" s="472">
        <f>$A977+Planning!$D$2</f>
        <v>43163.691527777781</v>
      </c>
    </row>
    <row r="979" spans="1:1" x14ac:dyDescent="0.25">
      <c r="A979" s="472">
        <f>$A978+Planning!$D$2</f>
        <v>43164.691527777781</v>
      </c>
    </row>
    <row r="980" spans="1:1" x14ac:dyDescent="0.25">
      <c r="A980" s="472">
        <f>$A979+Planning!$D$2</f>
        <v>43165.691527777781</v>
      </c>
    </row>
    <row r="981" spans="1:1" x14ac:dyDescent="0.25">
      <c r="A981" s="472">
        <f>$A980+Planning!$D$2</f>
        <v>43166.691527777781</v>
      </c>
    </row>
    <row r="982" spans="1:1" x14ac:dyDescent="0.25">
      <c r="A982" s="472">
        <f>$A981+Planning!$D$2</f>
        <v>43167.691527777781</v>
      </c>
    </row>
    <row r="983" spans="1:1" x14ac:dyDescent="0.25">
      <c r="A983" s="472">
        <f>$A982+Planning!$D$2</f>
        <v>43168.691527777781</v>
      </c>
    </row>
    <row r="984" spans="1:1" x14ac:dyDescent="0.25">
      <c r="A984" s="472">
        <f>$A983+Planning!$D$2</f>
        <v>43169.691527777781</v>
      </c>
    </row>
    <row r="985" spans="1:1" x14ac:dyDescent="0.25">
      <c r="A985" s="472">
        <f>$A984+Planning!$D$2</f>
        <v>43170.691527777781</v>
      </c>
    </row>
    <row r="986" spans="1:1" x14ac:dyDescent="0.25">
      <c r="A986" s="472">
        <f>$A985+Planning!$D$2</f>
        <v>43171.691527777781</v>
      </c>
    </row>
    <row r="987" spans="1:1" x14ac:dyDescent="0.25">
      <c r="A987" s="472">
        <f>$A986+Planning!$D$2</f>
        <v>43172.691527777781</v>
      </c>
    </row>
    <row r="988" spans="1:1" x14ac:dyDescent="0.25">
      <c r="A988" s="472">
        <f>$A987+Planning!$D$2</f>
        <v>43173.691527777781</v>
      </c>
    </row>
    <row r="989" spans="1:1" x14ac:dyDescent="0.25">
      <c r="A989" s="472">
        <f>$A988+Planning!$D$2</f>
        <v>43174.691527777781</v>
      </c>
    </row>
    <row r="990" spans="1:1" x14ac:dyDescent="0.25">
      <c r="A990" s="472">
        <f>$A989+Planning!$D$2</f>
        <v>43175.691527777781</v>
      </c>
    </row>
    <row r="991" spans="1:1" x14ac:dyDescent="0.25">
      <c r="A991" s="472">
        <f>$A990+Planning!$D$2</f>
        <v>43176.691527777781</v>
      </c>
    </row>
    <row r="992" spans="1:1" x14ac:dyDescent="0.25">
      <c r="A992" s="472">
        <f>$A991+Planning!$D$2</f>
        <v>43177.691527777781</v>
      </c>
    </row>
    <row r="993" spans="1:1" x14ac:dyDescent="0.25">
      <c r="A993" s="472">
        <f>$A992+Planning!$D$2</f>
        <v>43178.691527777781</v>
      </c>
    </row>
    <row r="994" spans="1:1" x14ac:dyDescent="0.25">
      <c r="A994" s="472">
        <f>$A993+Planning!$D$2</f>
        <v>43179.691527777781</v>
      </c>
    </row>
    <row r="995" spans="1:1" x14ac:dyDescent="0.25">
      <c r="A995" s="472">
        <f>$A994+Planning!$D$2</f>
        <v>43180.691527777781</v>
      </c>
    </row>
    <row r="996" spans="1:1" x14ac:dyDescent="0.25">
      <c r="A996" s="472">
        <f>$A995+Planning!$D$2</f>
        <v>43181.691527777781</v>
      </c>
    </row>
    <row r="997" spans="1:1" x14ac:dyDescent="0.25">
      <c r="A997" s="472">
        <f>$A996+Planning!$D$2</f>
        <v>43182.691527777781</v>
      </c>
    </row>
    <row r="998" spans="1:1" x14ac:dyDescent="0.25">
      <c r="A998" s="472">
        <f>$A997+Planning!$D$2</f>
        <v>43183.691527777781</v>
      </c>
    </row>
    <row r="999" spans="1:1" x14ac:dyDescent="0.25">
      <c r="A999" s="472">
        <f>$A998+Planning!$D$2</f>
        <v>43184.691527777781</v>
      </c>
    </row>
    <row r="1000" spans="1:1" x14ac:dyDescent="0.25">
      <c r="A1000" s="472">
        <f>$A999+Planning!$D$2</f>
        <v>43185.691527777781</v>
      </c>
    </row>
  </sheetData>
  <sheetProtection sheet="1" objects="1" scenarios="1" selectLockedCells="1"/>
  <pageMargins left="0.7" right="0.7" top="0.75" bottom="0.75" header="0.3" footer="0.3"/>
  <ignoredErrors>
    <ignoredError sqref="A659:A1000 A3:B658 B2" calculatedColumn="1"/>
  </ignoredErrors>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sheetPr>
  <dimension ref="A1:B264"/>
  <sheetViews>
    <sheetView showGridLines="0" topLeftCell="A238" workbookViewId="0">
      <selection activeCell="B264" sqref="B264"/>
    </sheetView>
  </sheetViews>
  <sheetFormatPr baseColWidth="10" defaultColWidth="11.42578125" defaultRowHeight="15" x14ac:dyDescent="0.25"/>
  <cols>
    <col min="1" max="1" width="47.5703125" style="214" customWidth="1"/>
    <col min="2" max="2" width="36.85546875" style="214" customWidth="1"/>
    <col min="3" max="4" width="11.42578125" style="214"/>
    <col min="5" max="6" width="43.42578125" style="214" customWidth="1"/>
    <col min="7" max="16384" width="11.42578125" style="214"/>
  </cols>
  <sheetData>
    <row r="1" spans="1:2" ht="21.75" thickBot="1" x14ac:dyDescent="0.3">
      <c r="A1" s="1331" t="s">
        <v>174</v>
      </c>
      <c r="B1" s="1332"/>
    </row>
    <row r="2" spans="1:2" x14ac:dyDescent="0.25">
      <c r="A2" s="369" t="s">
        <v>417</v>
      </c>
      <c r="B2" s="370" t="s">
        <v>418</v>
      </c>
    </row>
    <row r="3" spans="1:2" x14ac:dyDescent="0.25">
      <c r="A3" s="371" t="s">
        <v>486</v>
      </c>
      <c r="B3" s="371" t="s">
        <v>468</v>
      </c>
    </row>
    <row r="4" spans="1:2" x14ac:dyDescent="0.25">
      <c r="A4" s="371" t="s">
        <v>488</v>
      </c>
      <c r="B4" s="371" t="s">
        <v>474</v>
      </c>
    </row>
    <row r="5" spans="1:2" x14ac:dyDescent="0.25">
      <c r="A5" s="392" t="s">
        <v>358</v>
      </c>
      <c r="B5" s="392" t="s">
        <v>360</v>
      </c>
    </row>
    <row r="6" spans="1:2" x14ac:dyDescent="0.25">
      <c r="A6" s="371" t="s">
        <v>275</v>
      </c>
      <c r="B6" s="371" t="s">
        <v>265</v>
      </c>
    </row>
    <row r="7" spans="1:2" x14ac:dyDescent="0.25">
      <c r="A7" s="371" t="s">
        <v>280</v>
      </c>
      <c r="B7" s="371" t="s">
        <v>146</v>
      </c>
    </row>
    <row r="8" spans="1:2" x14ac:dyDescent="0.25">
      <c r="A8" s="372" t="s">
        <v>284</v>
      </c>
      <c r="B8" s="371" t="s">
        <v>273</v>
      </c>
    </row>
    <row r="9" spans="1:2" x14ac:dyDescent="0.25">
      <c r="A9" s="371" t="s">
        <v>283</v>
      </c>
      <c r="B9" s="371" t="s">
        <v>272</v>
      </c>
    </row>
    <row r="10" spans="1:2" x14ac:dyDescent="0.25">
      <c r="A10" s="371" t="s">
        <v>279</v>
      </c>
      <c r="B10" s="371" t="s">
        <v>269</v>
      </c>
    </row>
    <row r="11" spans="1:2" x14ac:dyDescent="0.25">
      <c r="A11" s="371" t="s">
        <v>276</v>
      </c>
      <c r="B11" s="371" t="s">
        <v>266</v>
      </c>
    </row>
    <row r="12" spans="1:2" x14ac:dyDescent="0.25">
      <c r="A12" s="371" t="s">
        <v>281</v>
      </c>
      <c r="B12" s="371" t="s">
        <v>270</v>
      </c>
    </row>
    <row r="13" spans="1:2" x14ac:dyDescent="0.25">
      <c r="A13" s="372" t="s">
        <v>282</v>
      </c>
      <c r="B13" s="371" t="s">
        <v>271</v>
      </c>
    </row>
    <row r="14" spans="1:2" ht="56.25" x14ac:dyDescent="0.25">
      <c r="A14" s="371" t="s">
        <v>354</v>
      </c>
      <c r="B14" s="371" t="s">
        <v>353</v>
      </c>
    </row>
    <row r="15" spans="1:2" x14ac:dyDescent="0.25">
      <c r="A15" s="371" t="s">
        <v>277</v>
      </c>
      <c r="B15" s="371" t="s">
        <v>267</v>
      </c>
    </row>
    <row r="16" spans="1:2" x14ac:dyDescent="0.25">
      <c r="A16" s="371" t="s">
        <v>278</v>
      </c>
      <c r="B16" s="371" t="s">
        <v>268</v>
      </c>
    </row>
    <row r="17" spans="1:2" x14ac:dyDescent="0.25">
      <c r="A17" s="371" t="s">
        <v>362</v>
      </c>
      <c r="B17" s="371" t="s">
        <v>40</v>
      </c>
    </row>
    <row r="18" spans="1:2" x14ac:dyDescent="0.25">
      <c r="A18" s="371" t="s">
        <v>256</v>
      </c>
      <c r="B18" s="371" t="s">
        <v>37</v>
      </c>
    </row>
    <row r="19" spans="1:2" x14ac:dyDescent="0.25">
      <c r="A19" s="371" t="s">
        <v>331</v>
      </c>
      <c r="B19" s="371" t="s">
        <v>152</v>
      </c>
    </row>
    <row r="20" spans="1:2" x14ac:dyDescent="0.25">
      <c r="A20" s="371" t="s">
        <v>228</v>
      </c>
      <c r="B20" s="371" t="s">
        <v>225</v>
      </c>
    </row>
    <row r="21" spans="1:2" x14ac:dyDescent="0.25">
      <c r="A21" s="371" t="s">
        <v>457</v>
      </c>
      <c r="B21" s="371" t="s">
        <v>459</v>
      </c>
    </row>
    <row r="22" spans="1:2" x14ac:dyDescent="0.25">
      <c r="A22" s="372" t="s">
        <v>350</v>
      </c>
      <c r="B22" s="371" t="s">
        <v>102</v>
      </c>
    </row>
    <row r="23" spans="1:2" x14ac:dyDescent="0.25">
      <c r="A23" s="371" t="s">
        <v>257</v>
      </c>
      <c r="B23" s="371" t="s">
        <v>20</v>
      </c>
    </row>
    <row r="24" spans="1:2" x14ac:dyDescent="0.25">
      <c r="A24" s="372" t="s">
        <v>226</v>
      </c>
      <c r="B24" s="371" t="s">
        <v>105</v>
      </c>
    </row>
    <row r="25" spans="1:2" x14ac:dyDescent="0.25">
      <c r="A25" s="371" t="s">
        <v>370</v>
      </c>
      <c r="B25" s="371" t="s">
        <v>107</v>
      </c>
    </row>
    <row r="26" spans="1:2" x14ac:dyDescent="0.25">
      <c r="A26" s="371" t="s">
        <v>403</v>
      </c>
      <c r="B26" s="371" t="s">
        <v>106</v>
      </c>
    </row>
    <row r="27" spans="1:2" x14ac:dyDescent="0.25">
      <c r="A27" s="371" t="s">
        <v>240</v>
      </c>
      <c r="B27" s="371" t="s">
        <v>104</v>
      </c>
    </row>
    <row r="28" spans="1:2" x14ac:dyDescent="0.25">
      <c r="A28" s="371" t="s">
        <v>227</v>
      </c>
      <c r="B28" s="371" t="s">
        <v>100</v>
      </c>
    </row>
    <row r="29" spans="1:2" x14ac:dyDescent="0.25">
      <c r="A29" s="372" t="s">
        <v>373</v>
      </c>
      <c r="B29" s="371" t="s">
        <v>111</v>
      </c>
    </row>
    <row r="30" spans="1:2" x14ac:dyDescent="0.25">
      <c r="A30" s="371" t="s">
        <v>400</v>
      </c>
      <c r="B30" s="371" t="s">
        <v>110</v>
      </c>
    </row>
    <row r="31" spans="1:2" x14ac:dyDescent="0.25">
      <c r="A31" s="371" t="s">
        <v>371</v>
      </c>
      <c r="B31" s="371" t="s">
        <v>109</v>
      </c>
    </row>
    <row r="32" spans="1:2" x14ac:dyDescent="0.25">
      <c r="A32" s="371" t="s">
        <v>402</v>
      </c>
      <c r="B32" s="371" t="s">
        <v>108</v>
      </c>
    </row>
    <row r="33" spans="1:2" x14ac:dyDescent="0.25">
      <c r="A33" s="371" t="s">
        <v>255</v>
      </c>
      <c r="B33" s="371" t="s">
        <v>249</v>
      </c>
    </row>
    <row r="34" spans="1:2" x14ac:dyDescent="0.25">
      <c r="A34" s="371" t="s">
        <v>50</v>
      </c>
      <c r="B34" s="371" t="s">
        <v>50</v>
      </c>
    </row>
    <row r="35" spans="1:2" x14ac:dyDescent="0.25">
      <c r="A35" s="371" t="s">
        <v>200</v>
      </c>
      <c r="B35" s="371" t="s">
        <v>7</v>
      </c>
    </row>
    <row r="36" spans="1:2" x14ac:dyDescent="0.25">
      <c r="A36" s="371" t="s">
        <v>289</v>
      </c>
      <c r="B36" s="371" t="s">
        <v>159</v>
      </c>
    </row>
    <row r="37" spans="1:2" x14ac:dyDescent="0.25">
      <c r="A37" s="371" t="s">
        <v>286</v>
      </c>
      <c r="B37" s="371" t="s">
        <v>287</v>
      </c>
    </row>
    <row r="38" spans="1:2" x14ac:dyDescent="0.25">
      <c r="A38" s="371" t="s">
        <v>186</v>
      </c>
      <c r="B38" s="371" t="s">
        <v>54</v>
      </c>
    </row>
    <row r="39" spans="1:2" x14ac:dyDescent="0.25">
      <c r="A39" s="371" t="s">
        <v>195</v>
      </c>
      <c r="B39" s="371" t="s">
        <v>49</v>
      </c>
    </row>
    <row r="40" spans="1:2" x14ac:dyDescent="0.25">
      <c r="A40" s="371" t="s">
        <v>231</v>
      </c>
      <c r="B40" s="371" t="s">
        <v>69</v>
      </c>
    </row>
    <row r="41" spans="1:2" x14ac:dyDescent="0.25">
      <c r="A41" s="372" t="s">
        <v>308</v>
      </c>
      <c r="B41" s="371" t="s">
        <v>147</v>
      </c>
    </row>
    <row r="42" spans="1:2" x14ac:dyDescent="0.25">
      <c r="A42" s="371" t="s">
        <v>252</v>
      </c>
      <c r="B42" s="371" t="s">
        <v>253</v>
      </c>
    </row>
    <row r="43" spans="1:2" x14ac:dyDescent="0.25">
      <c r="A43" s="372" t="s">
        <v>180</v>
      </c>
      <c r="B43" s="371" t="s">
        <v>76</v>
      </c>
    </row>
    <row r="44" spans="1:2" x14ac:dyDescent="0.25">
      <c r="A44" s="372" t="s">
        <v>369</v>
      </c>
      <c r="B44" s="371" t="s">
        <v>75</v>
      </c>
    </row>
    <row r="45" spans="1:2" x14ac:dyDescent="0.25">
      <c r="A45" s="372" t="s">
        <v>406</v>
      </c>
      <c r="B45" s="371" t="s">
        <v>410</v>
      </c>
    </row>
    <row r="46" spans="1:2" x14ac:dyDescent="0.25">
      <c r="A46" s="372" t="s">
        <v>365</v>
      </c>
      <c r="B46" s="371" t="s">
        <v>87</v>
      </c>
    </row>
    <row r="47" spans="1:2" x14ac:dyDescent="0.25">
      <c r="A47" s="372" t="s">
        <v>404</v>
      </c>
      <c r="B47" s="371" t="s">
        <v>408</v>
      </c>
    </row>
    <row r="48" spans="1:2" x14ac:dyDescent="0.25">
      <c r="A48" s="372" t="s">
        <v>181</v>
      </c>
      <c r="B48" s="371" t="s">
        <v>91</v>
      </c>
    </row>
    <row r="49" spans="1:2" x14ac:dyDescent="0.25">
      <c r="A49" s="372" t="s">
        <v>367</v>
      </c>
      <c r="B49" s="371" t="s">
        <v>88</v>
      </c>
    </row>
    <row r="50" spans="1:2" x14ac:dyDescent="0.25">
      <c r="A50" s="372" t="s">
        <v>405</v>
      </c>
      <c r="B50" s="371" t="s">
        <v>409</v>
      </c>
    </row>
    <row r="51" spans="1:2" x14ac:dyDescent="0.25">
      <c r="A51" s="372" t="s">
        <v>448</v>
      </c>
      <c r="B51" s="371" t="s">
        <v>85</v>
      </c>
    </row>
    <row r="52" spans="1:2" x14ac:dyDescent="0.25">
      <c r="A52" s="372" t="s">
        <v>363</v>
      </c>
      <c r="B52" s="371" t="s">
        <v>86</v>
      </c>
    </row>
    <row r="53" spans="1:2" x14ac:dyDescent="0.25">
      <c r="A53" s="372" t="s">
        <v>407</v>
      </c>
      <c r="B53" s="371" t="s">
        <v>411</v>
      </c>
    </row>
    <row r="54" spans="1:2" x14ac:dyDescent="0.25">
      <c r="A54" s="372" t="s">
        <v>179</v>
      </c>
      <c r="B54" s="371" t="s">
        <v>92</v>
      </c>
    </row>
    <row r="55" spans="1:2" x14ac:dyDescent="0.25">
      <c r="A55" s="372" t="s">
        <v>501</v>
      </c>
      <c r="B55" s="371" t="s">
        <v>498</v>
      </c>
    </row>
    <row r="56" spans="1:2" x14ac:dyDescent="0.25">
      <c r="A56" s="372" t="s">
        <v>502</v>
      </c>
      <c r="B56" s="371" t="s">
        <v>509</v>
      </c>
    </row>
    <row r="57" spans="1:2" ht="22.5" x14ac:dyDescent="0.25">
      <c r="A57" s="372" t="s">
        <v>499</v>
      </c>
      <c r="B57" s="371" t="s">
        <v>500</v>
      </c>
    </row>
    <row r="58" spans="1:2" x14ac:dyDescent="0.25">
      <c r="A58" s="372" t="s">
        <v>564</v>
      </c>
      <c r="B58" s="371" t="s">
        <v>600</v>
      </c>
    </row>
    <row r="59" spans="1:2" x14ac:dyDescent="0.25">
      <c r="A59" s="372" t="s">
        <v>563</v>
      </c>
      <c r="B59" s="371" t="s">
        <v>603</v>
      </c>
    </row>
    <row r="60" spans="1:2" x14ac:dyDescent="0.25">
      <c r="A60" s="372" t="s">
        <v>561</v>
      </c>
      <c r="B60" s="371" t="s">
        <v>602</v>
      </c>
    </row>
    <row r="61" spans="1:2" x14ac:dyDescent="0.25">
      <c r="A61" s="372" t="s">
        <v>306</v>
      </c>
      <c r="B61" s="371" t="s">
        <v>305</v>
      </c>
    </row>
    <row r="62" spans="1:2" x14ac:dyDescent="0.25">
      <c r="A62" s="372" t="s">
        <v>384</v>
      </c>
      <c r="B62" s="371" t="s">
        <v>394</v>
      </c>
    </row>
    <row r="63" spans="1:2" x14ac:dyDescent="0.25">
      <c r="A63" s="372" t="s">
        <v>387</v>
      </c>
      <c r="B63" s="372" t="s">
        <v>131</v>
      </c>
    </row>
    <row r="64" spans="1:2" x14ac:dyDescent="0.25">
      <c r="A64" s="372" t="s">
        <v>388</v>
      </c>
      <c r="B64" s="372" t="s">
        <v>132</v>
      </c>
    </row>
    <row r="65" spans="1:2" x14ac:dyDescent="0.25">
      <c r="A65" s="372" t="s">
        <v>386</v>
      </c>
      <c r="B65" s="372" t="s">
        <v>130</v>
      </c>
    </row>
    <row r="66" spans="1:2" x14ac:dyDescent="0.25">
      <c r="A66" s="372" t="s">
        <v>493</v>
      </c>
      <c r="B66" s="372" t="s">
        <v>470</v>
      </c>
    </row>
    <row r="67" spans="1:2" x14ac:dyDescent="0.25">
      <c r="A67" s="372" t="s">
        <v>338</v>
      </c>
      <c r="B67" s="372" t="s">
        <v>12</v>
      </c>
    </row>
    <row r="68" spans="1:2" x14ac:dyDescent="0.25">
      <c r="A68" s="372" t="s">
        <v>339</v>
      </c>
      <c r="B68" s="372" t="s">
        <v>161</v>
      </c>
    </row>
    <row r="69" spans="1:2" ht="22.5" x14ac:dyDescent="0.25">
      <c r="A69" s="372" t="s">
        <v>346</v>
      </c>
      <c r="B69" s="372" t="s">
        <v>337</v>
      </c>
    </row>
    <row r="70" spans="1:2" x14ac:dyDescent="0.25">
      <c r="A70" s="372" t="s">
        <v>205</v>
      </c>
      <c r="B70" s="372" t="s">
        <v>3</v>
      </c>
    </row>
    <row r="71" spans="1:2" x14ac:dyDescent="0.25">
      <c r="A71" s="372" t="s">
        <v>383</v>
      </c>
      <c r="B71" s="372" t="s">
        <v>120</v>
      </c>
    </row>
    <row r="72" spans="1:2" x14ac:dyDescent="0.25">
      <c r="A72" s="372" t="s">
        <v>393</v>
      </c>
      <c r="B72" s="372" t="s">
        <v>364</v>
      </c>
    </row>
    <row r="73" spans="1:2" x14ac:dyDescent="0.25">
      <c r="A73" s="372" t="s">
        <v>207</v>
      </c>
      <c r="B73" s="372" t="s">
        <v>518</v>
      </c>
    </row>
    <row r="74" spans="1:2" x14ac:dyDescent="0.25">
      <c r="A74" s="372" t="s">
        <v>322</v>
      </c>
      <c r="B74" s="372" t="s">
        <v>519</v>
      </c>
    </row>
    <row r="75" spans="1:2" x14ac:dyDescent="0.25">
      <c r="A75" s="372" t="s">
        <v>321</v>
      </c>
      <c r="B75" s="372" t="s">
        <v>523</v>
      </c>
    </row>
    <row r="76" spans="1:2" x14ac:dyDescent="0.25">
      <c r="A76" s="372" t="s">
        <v>320</v>
      </c>
      <c r="B76" s="372" t="s">
        <v>525</v>
      </c>
    </row>
    <row r="77" spans="1:2" x14ac:dyDescent="0.25">
      <c r="A77" s="372" t="s">
        <v>343</v>
      </c>
      <c r="B77" s="372" t="s">
        <v>528</v>
      </c>
    </row>
    <row r="78" spans="1:2" x14ac:dyDescent="0.25">
      <c r="A78" s="372" t="s">
        <v>329</v>
      </c>
      <c r="B78" s="372" t="s">
        <v>529</v>
      </c>
    </row>
    <row r="79" spans="1:2" x14ac:dyDescent="0.25">
      <c r="A79" s="372" t="s">
        <v>330</v>
      </c>
      <c r="B79" s="372" t="s">
        <v>531</v>
      </c>
    </row>
    <row r="80" spans="1:2" ht="22.5" x14ac:dyDescent="0.25">
      <c r="A80" s="372" t="s">
        <v>336</v>
      </c>
      <c r="B80" s="372" t="s">
        <v>527</v>
      </c>
    </row>
    <row r="81" spans="1:2" x14ac:dyDescent="0.25">
      <c r="A81" s="371" t="s">
        <v>359</v>
      </c>
      <c r="B81" s="371" t="s">
        <v>521</v>
      </c>
    </row>
    <row r="82" spans="1:2" x14ac:dyDescent="0.25">
      <c r="A82" s="372" t="s">
        <v>299</v>
      </c>
      <c r="B82" s="372" t="s">
        <v>297</v>
      </c>
    </row>
    <row r="83" spans="1:2" x14ac:dyDescent="0.25">
      <c r="A83" s="372" t="s">
        <v>298</v>
      </c>
      <c r="B83" s="372" t="s">
        <v>296</v>
      </c>
    </row>
    <row r="84" spans="1:2" x14ac:dyDescent="0.25">
      <c r="A84" s="372" t="s">
        <v>456</v>
      </c>
      <c r="B84" s="372" t="s">
        <v>458</v>
      </c>
    </row>
    <row r="85" spans="1:2" x14ac:dyDescent="0.25">
      <c r="A85" s="372" t="s">
        <v>250</v>
      </c>
      <c r="B85" s="372" t="s">
        <v>274</v>
      </c>
    </row>
    <row r="86" spans="1:2" x14ac:dyDescent="0.25">
      <c r="A86" s="372" t="s">
        <v>198</v>
      </c>
      <c r="B86" s="372" t="s">
        <v>16</v>
      </c>
    </row>
    <row r="87" spans="1:2" x14ac:dyDescent="0.25">
      <c r="A87" s="372" t="s">
        <v>245</v>
      </c>
      <c r="B87" s="372" t="s">
        <v>65</v>
      </c>
    </row>
    <row r="88" spans="1:2" x14ac:dyDescent="0.25">
      <c r="A88" s="372" t="s">
        <v>385</v>
      </c>
      <c r="B88" s="372" t="s">
        <v>133</v>
      </c>
    </row>
    <row r="89" spans="1:2" x14ac:dyDescent="0.25">
      <c r="A89" s="372" t="s">
        <v>335</v>
      </c>
      <c r="B89" s="372" t="s">
        <v>348</v>
      </c>
    </row>
    <row r="90" spans="1:2" x14ac:dyDescent="0.25">
      <c r="A90" s="372" t="s">
        <v>333</v>
      </c>
      <c r="B90" s="372" t="s">
        <v>153</v>
      </c>
    </row>
    <row r="91" spans="1:2" x14ac:dyDescent="0.25">
      <c r="A91" s="372" t="s">
        <v>422</v>
      </c>
      <c r="B91" s="372" t="s">
        <v>421</v>
      </c>
    </row>
    <row r="92" spans="1:2" x14ac:dyDescent="0.25">
      <c r="A92" s="372" t="s">
        <v>301</v>
      </c>
      <c r="B92" s="372" t="s">
        <v>138</v>
      </c>
    </row>
    <row r="93" spans="1:2" x14ac:dyDescent="0.25">
      <c r="A93" s="371" t="s">
        <v>300</v>
      </c>
      <c r="B93" s="371" t="s">
        <v>137</v>
      </c>
    </row>
    <row r="94" spans="1:2" x14ac:dyDescent="0.25">
      <c r="A94" s="371" t="s">
        <v>423</v>
      </c>
      <c r="B94" s="371" t="s">
        <v>419</v>
      </c>
    </row>
    <row r="95" spans="1:2" x14ac:dyDescent="0.25">
      <c r="A95" s="371" t="s">
        <v>482</v>
      </c>
      <c r="B95" s="371" t="s">
        <v>481</v>
      </c>
    </row>
    <row r="96" spans="1:2" x14ac:dyDescent="0.25">
      <c r="A96" s="371" t="s">
        <v>258</v>
      </c>
      <c r="B96" s="371" t="s">
        <v>18</v>
      </c>
    </row>
    <row r="97" spans="1:2" x14ac:dyDescent="0.25">
      <c r="A97" s="371" t="s">
        <v>232</v>
      </c>
      <c r="B97" s="371" t="s">
        <v>42</v>
      </c>
    </row>
    <row r="98" spans="1:2" x14ac:dyDescent="0.25">
      <c r="A98" s="371" t="s">
        <v>378</v>
      </c>
      <c r="B98" s="371" t="s">
        <v>63</v>
      </c>
    </row>
    <row r="99" spans="1:2" x14ac:dyDescent="0.25">
      <c r="A99" s="371" t="s">
        <v>380</v>
      </c>
      <c r="B99" s="371" t="s">
        <v>84</v>
      </c>
    </row>
    <row r="100" spans="1:2" x14ac:dyDescent="0.25">
      <c r="A100" s="371" t="s">
        <v>379</v>
      </c>
      <c r="B100" s="371" t="s">
        <v>83</v>
      </c>
    </row>
    <row r="101" spans="1:2" x14ac:dyDescent="0.25">
      <c r="A101" s="371" t="s">
        <v>377</v>
      </c>
      <c r="B101" s="371" t="s">
        <v>78</v>
      </c>
    </row>
    <row r="102" spans="1:2" x14ac:dyDescent="0.25">
      <c r="A102" s="371" t="s">
        <v>375</v>
      </c>
      <c r="B102" s="371" t="s">
        <v>89</v>
      </c>
    </row>
    <row r="103" spans="1:2" x14ac:dyDescent="0.25">
      <c r="A103" s="372" t="s">
        <v>376</v>
      </c>
      <c r="B103" s="372" t="s">
        <v>90</v>
      </c>
    </row>
    <row r="104" spans="1:2" x14ac:dyDescent="0.25">
      <c r="A104" s="372" t="s">
        <v>374</v>
      </c>
      <c r="B104" s="372" t="s">
        <v>93</v>
      </c>
    </row>
    <row r="105" spans="1:2" x14ac:dyDescent="0.25">
      <c r="A105" s="372" t="s">
        <v>392</v>
      </c>
      <c r="B105" s="372" t="s">
        <v>150</v>
      </c>
    </row>
    <row r="106" spans="1:2" x14ac:dyDescent="0.25">
      <c r="A106" s="372" t="s">
        <v>390</v>
      </c>
      <c r="B106" s="372" t="s">
        <v>149</v>
      </c>
    </row>
    <row r="107" spans="1:2" x14ac:dyDescent="0.25">
      <c r="A107" s="372" t="s">
        <v>381</v>
      </c>
      <c r="B107" s="372" t="s">
        <v>46</v>
      </c>
    </row>
    <row r="108" spans="1:2" x14ac:dyDescent="0.25">
      <c r="A108" s="371" t="s">
        <v>678</v>
      </c>
      <c r="B108" s="371" t="s">
        <v>679</v>
      </c>
    </row>
    <row r="109" spans="1:2" x14ac:dyDescent="0.25">
      <c r="A109" s="372" t="s">
        <v>674</v>
      </c>
      <c r="B109" s="372" t="s">
        <v>638</v>
      </c>
    </row>
    <row r="110" spans="1:2" x14ac:dyDescent="0.25">
      <c r="A110" s="372" t="s">
        <v>312</v>
      </c>
      <c r="B110" s="372" t="s">
        <v>154</v>
      </c>
    </row>
    <row r="111" spans="1:2" x14ac:dyDescent="0.25">
      <c r="A111" s="372" t="s">
        <v>495</v>
      </c>
      <c r="B111" s="372" t="s">
        <v>496</v>
      </c>
    </row>
    <row r="112" spans="1:2" x14ac:dyDescent="0.25">
      <c r="A112" s="372" t="s">
        <v>165</v>
      </c>
      <c r="B112" s="372" t="s">
        <v>165</v>
      </c>
    </row>
    <row r="113" spans="1:2" x14ac:dyDescent="0.25">
      <c r="A113" s="372" t="s">
        <v>478</v>
      </c>
      <c r="B113" s="372" t="s">
        <v>469</v>
      </c>
    </row>
    <row r="114" spans="1:2" x14ac:dyDescent="0.25">
      <c r="A114" s="372" t="s">
        <v>484</v>
      </c>
      <c r="B114" s="372" t="s">
        <v>465</v>
      </c>
    </row>
    <row r="115" spans="1:2" x14ac:dyDescent="0.25">
      <c r="A115" s="372" t="s">
        <v>485</v>
      </c>
      <c r="B115" s="372" t="s">
        <v>466</v>
      </c>
    </row>
    <row r="116" spans="1:2" x14ac:dyDescent="0.25">
      <c r="A116" s="372" t="s">
        <v>290</v>
      </c>
      <c r="B116" s="372" t="s">
        <v>288</v>
      </c>
    </row>
    <row r="117" spans="1:2" x14ac:dyDescent="0.25">
      <c r="A117" s="372" t="s">
        <v>202</v>
      </c>
      <c r="B117" s="372" t="s">
        <v>35</v>
      </c>
    </row>
    <row r="118" spans="1:2" x14ac:dyDescent="0.25">
      <c r="A118" s="372" t="s">
        <v>95</v>
      </c>
      <c r="B118" s="372" t="s">
        <v>95</v>
      </c>
    </row>
    <row r="119" spans="1:2" x14ac:dyDescent="0.25">
      <c r="A119" s="372" t="s">
        <v>389</v>
      </c>
      <c r="B119" s="372" t="s">
        <v>395</v>
      </c>
    </row>
    <row r="120" spans="1:2" x14ac:dyDescent="0.25">
      <c r="A120" s="372" t="s">
        <v>293</v>
      </c>
      <c r="B120" s="372" t="s">
        <v>412</v>
      </c>
    </row>
    <row r="121" spans="1:2" x14ac:dyDescent="0.25">
      <c r="A121" s="372" t="s">
        <v>57</v>
      </c>
      <c r="B121" s="372" t="s">
        <v>57</v>
      </c>
    </row>
    <row r="122" spans="1:2" x14ac:dyDescent="0.25">
      <c r="A122" s="372" t="s">
        <v>483</v>
      </c>
      <c r="B122" s="372" t="s">
        <v>472</v>
      </c>
    </row>
    <row r="123" spans="1:2" x14ac:dyDescent="0.25">
      <c r="A123" s="372" t="s">
        <v>490</v>
      </c>
      <c r="B123" s="372" t="s">
        <v>467</v>
      </c>
    </row>
    <row r="124" spans="1:2" x14ac:dyDescent="0.25">
      <c r="A124" s="372" t="s">
        <v>247</v>
      </c>
      <c r="B124" s="372" t="s">
        <v>32</v>
      </c>
    </row>
    <row r="125" spans="1:2" x14ac:dyDescent="0.25">
      <c r="A125" s="372" t="s">
        <v>248</v>
      </c>
      <c r="B125" s="372" t="s">
        <v>68</v>
      </c>
    </row>
    <row r="126" spans="1:2" x14ac:dyDescent="0.25">
      <c r="A126" s="372" t="s">
        <v>260</v>
      </c>
      <c r="B126" s="372" t="s">
        <v>242</v>
      </c>
    </row>
    <row r="127" spans="1:2" x14ac:dyDescent="0.25">
      <c r="A127" s="372" t="s">
        <v>241</v>
      </c>
      <c r="B127" s="372" t="s">
        <v>239</v>
      </c>
    </row>
    <row r="128" spans="1:2" ht="22.5" x14ac:dyDescent="0.25">
      <c r="A128" s="372" t="s">
        <v>342</v>
      </c>
      <c r="B128" s="372" t="s">
        <v>396</v>
      </c>
    </row>
    <row r="129" spans="1:2" ht="22.5" x14ac:dyDescent="0.25">
      <c r="A129" s="372" t="s">
        <v>341</v>
      </c>
      <c r="B129" s="372" t="s">
        <v>163</v>
      </c>
    </row>
    <row r="130" spans="1:2" ht="22.5" x14ac:dyDescent="0.25">
      <c r="A130" s="372" t="s">
        <v>334</v>
      </c>
      <c r="B130" s="372" t="s">
        <v>533</v>
      </c>
    </row>
    <row r="131" spans="1:2" x14ac:dyDescent="0.25">
      <c r="A131" s="372" t="s">
        <v>489</v>
      </c>
      <c r="B131" s="372" t="s">
        <v>475</v>
      </c>
    </row>
    <row r="132" spans="1:2" ht="22.5" x14ac:dyDescent="0.25">
      <c r="A132" s="372" t="s">
        <v>351</v>
      </c>
      <c r="B132" s="372" t="s">
        <v>103</v>
      </c>
    </row>
    <row r="133" spans="1:2" x14ac:dyDescent="0.25">
      <c r="A133" s="372" t="s">
        <v>391</v>
      </c>
      <c r="B133" s="372" t="s">
        <v>148</v>
      </c>
    </row>
    <row r="134" spans="1:2" x14ac:dyDescent="0.25">
      <c r="A134" s="372" t="s">
        <v>316</v>
      </c>
      <c r="B134" s="372" t="s">
        <v>158</v>
      </c>
    </row>
    <row r="135" spans="1:2" x14ac:dyDescent="0.25">
      <c r="A135" s="372" t="s">
        <v>317</v>
      </c>
      <c r="B135" s="372" t="s">
        <v>157</v>
      </c>
    </row>
    <row r="136" spans="1:2" x14ac:dyDescent="0.25">
      <c r="A136" s="372" t="s">
        <v>210</v>
      </c>
      <c r="B136" s="372" t="s">
        <v>1</v>
      </c>
    </row>
    <row r="137" spans="1:2" x14ac:dyDescent="0.25">
      <c r="A137" s="372" t="s">
        <v>211</v>
      </c>
      <c r="B137" s="372" t="s">
        <v>8</v>
      </c>
    </row>
    <row r="138" spans="1:2" x14ac:dyDescent="0.25">
      <c r="A138" s="372" t="s">
        <v>314</v>
      </c>
      <c r="B138" s="372" t="s">
        <v>156</v>
      </c>
    </row>
    <row r="139" spans="1:2" x14ac:dyDescent="0.25">
      <c r="A139" s="372" t="s">
        <v>313</v>
      </c>
      <c r="B139" s="372" t="s">
        <v>155</v>
      </c>
    </row>
    <row r="140" spans="1:2" x14ac:dyDescent="0.25">
      <c r="A140" s="372" t="s">
        <v>295</v>
      </c>
      <c r="B140" s="372" t="s">
        <v>128</v>
      </c>
    </row>
    <row r="141" spans="1:2" x14ac:dyDescent="0.25">
      <c r="A141" s="372" t="s">
        <v>382</v>
      </c>
      <c r="B141" s="372" t="s">
        <v>121</v>
      </c>
    </row>
    <row r="142" spans="1:2" x14ac:dyDescent="0.25">
      <c r="A142" s="372" t="s">
        <v>188</v>
      </c>
      <c r="B142" s="372" t="s">
        <v>52</v>
      </c>
    </row>
    <row r="143" spans="1:2" x14ac:dyDescent="0.25">
      <c r="A143" s="372" t="s">
        <v>189</v>
      </c>
      <c r="B143" s="372" t="s">
        <v>51</v>
      </c>
    </row>
    <row r="144" spans="1:2" x14ac:dyDescent="0.25">
      <c r="A144" s="372" t="s">
        <v>67</v>
      </c>
      <c r="B144" s="372" t="s">
        <v>67</v>
      </c>
    </row>
    <row r="145" spans="1:2" x14ac:dyDescent="0.25">
      <c r="A145" s="372" t="s">
        <v>184</v>
      </c>
      <c r="B145" s="372" t="s">
        <v>56</v>
      </c>
    </row>
    <row r="146" spans="1:2" x14ac:dyDescent="0.25">
      <c r="A146" s="372" t="s">
        <v>160</v>
      </c>
      <c r="B146" s="372" t="s">
        <v>160</v>
      </c>
    </row>
    <row r="147" spans="1:2" x14ac:dyDescent="0.25">
      <c r="A147" s="372" t="s">
        <v>178</v>
      </c>
      <c r="B147" s="372" t="s">
        <v>79</v>
      </c>
    </row>
    <row r="148" spans="1:2" x14ac:dyDescent="0.25">
      <c r="A148" s="372" t="s">
        <v>178</v>
      </c>
      <c r="B148" s="372" t="s">
        <v>43</v>
      </c>
    </row>
    <row r="149" spans="1:2" x14ac:dyDescent="0.25">
      <c r="A149" s="372" t="s">
        <v>372</v>
      </c>
      <c r="B149" s="372" t="s">
        <v>48</v>
      </c>
    </row>
    <row r="150" spans="1:2" x14ac:dyDescent="0.25">
      <c r="A150" s="372" t="s">
        <v>401</v>
      </c>
      <c r="B150" s="372" t="s">
        <v>47</v>
      </c>
    </row>
    <row r="151" spans="1:2" x14ac:dyDescent="0.25">
      <c r="A151" s="372" t="s">
        <v>251</v>
      </c>
      <c r="B151" s="372" t="s">
        <v>254</v>
      </c>
    </row>
    <row r="152" spans="1:2" x14ac:dyDescent="0.25">
      <c r="A152" s="372" t="s">
        <v>218</v>
      </c>
      <c r="B152" s="372" t="s">
        <v>216</v>
      </c>
    </row>
    <row r="153" spans="1:2" x14ac:dyDescent="0.25">
      <c r="A153" s="372" t="s">
        <v>197</v>
      </c>
      <c r="B153" s="372" t="s">
        <v>510</v>
      </c>
    </row>
    <row r="154" spans="1:2" x14ac:dyDescent="0.25">
      <c r="A154" s="372" t="s">
        <v>345</v>
      </c>
      <c r="B154" s="372" t="s">
        <v>511</v>
      </c>
    </row>
    <row r="155" spans="1:2" x14ac:dyDescent="0.25">
      <c r="A155" s="372" t="s">
        <v>344</v>
      </c>
      <c r="B155" s="372" t="s">
        <v>512</v>
      </c>
    </row>
    <row r="156" spans="1:2" x14ac:dyDescent="0.25">
      <c r="A156" s="372" t="s">
        <v>223</v>
      </c>
      <c r="B156" s="372" t="s">
        <v>223</v>
      </c>
    </row>
    <row r="157" spans="1:2" ht="56.25" x14ac:dyDescent="0.25">
      <c r="A157" s="372" t="s">
        <v>413</v>
      </c>
      <c r="B157" s="372" t="s">
        <v>513</v>
      </c>
    </row>
    <row r="158" spans="1:2" x14ac:dyDescent="0.25">
      <c r="A158" s="372" t="s">
        <v>222</v>
      </c>
      <c r="B158" s="372" t="s">
        <v>114</v>
      </c>
    </row>
    <row r="159" spans="1:2" x14ac:dyDescent="0.25">
      <c r="A159" s="372" t="s">
        <v>355</v>
      </c>
      <c r="B159" s="372" t="s">
        <v>113</v>
      </c>
    </row>
    <row r="160" spans="1:2" x14ac:dyDescent="0.25">
      <c r="A160" s="372" t="s">
        <v>221</v>
      </c>
      <c r="B160" s="372" t="s">
        <v>220</v>
      </c>
    </row>
    <row r="161" spans="1:2" x14ac:dyDescent="0.25">
      <c r="A161" s="372" t="s">
        <v>208</v>
      </c>
      <c r="B161" s="372" t="s">
        <v>0</v>
      </c>
    </row>
    <row r="162" spans="1:2" x14ac:dyDescent="0.25">
      <c r="A162" s="372" t="s">
        <v>449</v>
      </c>
      <c r="B162" s="372" t="s">
        <v>164</v>
      </c>
    </row>
    <row r="163" spans="1:2" x14ac:dyDescent="0.25">
      <c r="A163" s="372" t="s">
        <v>415</v>
      </c>
      <c r="B163" s="372" t="s">
        <v>416</v>
      </c>
    </row>
    <row r="164" spans="1:2" x14ac:dyDescent="0.25">
      <c r="A164" s="372" t="s">
        <v>515</v>
      </c>
      <c r="B164" s="372" t="s">
        <v>503</v>
      </c>
    </row>
    <row r="165" spans="1:2" x14ac:dyDescent="0.25">
      <c r="A165" s="372" t="s">
        <v>340</v>
      </c>
      <c r="B165" s="372" t="s">
        <v>162</v>
      </c>
    </row>
    <row r="166" spans="1:2" x14ac:dyDescent="0.25">
      <c r="A166" s="372" t="s">
        <v>310</v>
      </c>
      <c r="B166" s="372" t="s">
        <v>440</v>
      </c>
    </row>
    <row r="167" spans="1:2" x14ac:dyDescent="0.25">
      <c r="A167" s="372" t="s">
        <v>311</v>
      </c>
      <c r="B167" s="372" t="s">
        <v>309</v>
      </c>
    </row>
    <row r="168" spans="1:2" x14ac:dyDescent="0.25">
      <c r="A168" s="372" t="s">
        <v>17</v>
      </c>
      <c r="B168" s="372" t="s">
        <v>17</v>
      </c>
    </row>
    <row r="169" spans="1:2" x14ac:dyDescent="0.25">
      <c r="A169" s="372" t="s">
        <v>291</v>
      </c>
      <c r="B169" s="372" t="s">
        <v>177</v>
      </c>
    </row>
    <row r="170" spans="1:2" x14ac:dyDescent="0.25">
      <c r="A170" s="372" t="s">
        <v>292</v>
      </c>
      <c r="B170" s="372" t="s">
        <v>414</v>
      </c>
    </row>
    <row r="171" spans="1:2" x14ac:dyDescent="0.25">
      <c r="A171" s="372" t="s">
        <v>15</v>
      </c>
      <c r="B171" s="372" t="s">
        <v>398</v>
      </c>
    </row>
    <row r="172" spans="1:2" ht="22.5" x14ac:dyDescent="0.25">
      <c r="A172" s="372" t="s">
        <v>315</v>
      </c>
      <c r="B172" s="372" t="s">
        <v>399</v>
      </c>
    </row>
    <row r="173" spans="1:2" ht="22.5" x14ac:dyDescent="0.25">
      <c r="A173" s="372" t="s">
        <v>323</v>
      </c>
      <c r="B173" s="372" t="s">
        <v>520</v>
      </c>
    </row>
    <row r="174" spans="1:2" ht="22.5" x14ac:dyDescent="0.25">
      <c r="A174" s="372" t="s">
        <v>324</v>
      </c>
      <c r="B174" s="372" t="s">
        <v>522</v>
      </c>
    </row>
    <row r="175" spans="1:2" ht="22.5" x14ac:dyDescent="0.25">
      <c r="A175" s="372" t="s">
        <v>325</v>
      </c>
      <c r="B175" s="372" t="s">
        <v>524</v>
      </c>
    </row>
    <row r="176" spans="1:2" ht="22.5" x14ac:dyDescent="0.25">
      <c r="A176" s="371" t="s">
        <v>326</v>
      </c>
      <c r="B176" s="371" t="s">
        <v>526</v>
      </c>
    </row>
    <row r="177" spans="1:2" ht="22.5" x14ac:dyDescent="0.25">
      <c r="A177" s="371" t="s">
        <v>327</v>
      </c>
      <c r="B177" s="371" t="s">
        <v>530</v>
      </c>
    </row>
    <row r="178" spans="1:2" ht="22.5" x14ac:dyDescent="0.25">
      <c r="A178" s="371" t="s">
        <v>328</v>
      </c>
      <c r="B178" s="371" t="s">
        <v>532</v>
      </c>
    </row>
    <row r="179" spans="1:2" x14ac:dyDescent="0.25">
      <c r="A179" s="371" t="s">
        <v>176</v>
      </c>
      <c r="B179" s="371" t="s">
        <v>2</v>
      </c>
    </row>
    <row r="180" spans="1:2" x14ac:dyDescent="0.25">
      <c r="A180" s="371" t="s">
        <v>304</v>
      </c>
      <c r="B180" s="371" t="s">
        <v>303</v>
      </c>
    </row>
    <row r="181" spans="1:2" x14ac:dyDescent="0.25">
      <c r="A181" s="371" t="s">
        <v>224</v>
      </c>
      <c r="B181" s="371" t="s">
        <v>224</v>
      </c>
    </row>
    <row r="182" spans="1:2" x14ac:dyDescent="0.25">
      <c r="A182" s="371" t="s">
        <v>214</v>
      </c>
      <c r="B182" s="371" t="s">
        <v>214</v>
      </c>
    </row>
    <row r="183" spans="1:2" x14ac:dyDescent="0.25">
      <c r="A183" s="371" t="s">
        <v>219</v>
      </c>
      <c r="B183" s="371" t="s">
        <v>217</v>
      </c>
    </row>
    <row r="184" spans="1:2" x14ac:dyDescent="0.25">
      <c r="A184" s="371" t="s">
        <v>576</v>
      </c>
      <c r="B184" s="371" t="s">
        <v>599</v>
      </c>
    </row>
    <row r="185" spans="1:2" x14ac:dyDescent="0.25">
      <c r="A185" s="371" t="s">
        <v>424</v>
      </c>
      <c r="B185" s="371" t="s">
        <v>420</v>
      </c>
    </row>
    <row r="186" spans="1:2" x14ac:dyDescent="0.25">
      <c r="A186" s="371" t="s">
        <v>203</v>
      </c>
      <c r="B186" s="371" t="s">
        <v>5</v>
      </c>
    </row>
    <row r="187" spans="1:2" x14ac:dyDescent="0.25">
      <c r="A187" s="371" t="s">
        <v>307</v>
      </c>
      <c r="B187" s="371" t="s">
        <v>136</v>
      </c>
    </row>
    <row r="188" spans="1:2" ht="22.5" x14ac:dyDescent="0.25">
      <c r="A188" s="371" t="s">
        <v>318</v>
      </c>
      <c r="B188" s="371" t="s">
        <v>534</v>
      </c>
    </row>
    <row r="189" spans="1:2" ht="22.5" x14ac:dyDescent="0.25">
      <c r="A189" s="371" t="s">
        <v>319</v>
      </c>
      <c r="B189" s="371" t="s">
        <v>535</v>
      </c>
    </row>
    <row r="190" spans="1:2" x14ac:dyDescent="0.25">
      <c r="A190" s="371" t="s">
        <v>356</v>
      </c>
      <c r="B190" s="371" t="s">
        <v>97</v>
      </c>
    </row>
    <row r="191" spans="1:2" x14ac:dyDescent="0.25">
      <c r="A191" s="371" t="s">
        <v>246</v>
      </c>
      <c r="B191" s="371" t="s">
        <v>33</v>
      </c>
    </row>
    <row r="192" spans="1:2" x14ac:dyDescent="0.25">
      <c r="A192" s="371" t="s">
        <v>237</v>
      </c>
      <c r="B192" s="371" t="s">
        <v>238</v>
      </c>
    </row>
    <row r="193" spans="1:2" x14ac:dyDescent="0.25">
      <c r="A193" s="371" t="s">
        <v>352</v>
      </c>
      <c r="B193" s="371" t="s">
        <v>80</v>
      </c>
    </row>
    <row r="194" spans="1:2" x14ac:dyDescent="0.25">
      <c r="A194" s="371" t="s">
        <v>505</v>
      </c>
      <c r="B194" s="371" t="s">
        <v>504</v>
      </c>
    </row>
    <row r="195" spans="1:2" x14ac:dyDescent="0.25">
      <c r="A195" s="371" t="s">
        <v>58</v>
      </c>
      <c r="B195" s="371" t="s">
        <v>58</v>
      </c>
    </row>
    <row r="196" spans="1:2" x14ac:dyDescent="0.25">
      <c r="A196" s="371" t="s">
        <v>479</v>
      </c>
      <c r="B196" s="371" t="s">
        <v>476</v>
      </c>
    </row>
    <row r="197" spans="1:2" x14ac:dyDescent="0.25">
      <c r="A197" s="371" t="s">
        <v>261</v>
      </c>
      <c r="B197" s="371" t="s">
        <v>122</v>
      </c>
    </row>
    <row r="198" spans="1:2" x14ac:dyDescent="0.25">
      <c r="A198" s="371" t="s">
        <v>480</v>
      </c>
      <c r="B198" s="371" t="s">
        <v>477</v>
      </c>
    </row>
    <row r="199" spans="1:2" x14ac:dyDescent="0.25">
      <c r="A199" s="371" t="s">
        <v>562</v>
      </c>
      <c r="B199" s="371" t="s">
        <v>601</v>
      </c>
    </row>
    <row r="200" spans="1:2" x14ac:dyDescent="0.25">
      <c r="A200" s="371" t="s">
        <v>567</v>
      </c>
      <c r="B200" s="371" t="s">
        <v>604</v>
      </c>
    </row>
    <row r="201" spans="1:2" x14ac:dyDescent="0.25">
      <c r="A201" s="371" t="s">
        <v>368</v>
      </c>
      <c r="B201" s="371" t="s">
        <v>74</v>
      </c>
    </row>
    <row r="202" spans="1:2" x14ac:dyDescent="0.25">
      <c r="A202" s="371" t="s">
        <v>366</v>
      </c>
      <c r="B202" s="371" t="s">
        <v>73</v>
      </c>
    </row>
    <row r="203" spans="1:2" x14ac:dyDescent="0.25">
      <c r="A203" s="371" t="s">
        <v>585</v>
      </c>
      <c r="B203" s="371" t="s">
        <v>637</v>
      </c>
    </row>
    <row r="204" spans="1:2" x14ac:dyDescent="0.25">
      <c r="A204" s="371" t="s">
        <v>491</v>
      </c>
      <c r="B204" s="371" t="s">
        <v>462</v>
      </c>
    </row>
    <row r="205" spans="1:2" x14ac:dyDescent="0.25">
      <c r="A205" s="371" t="s">
        <v>471</v>
      </c>
      <c r="B205" s="371" t="s">
        <v>471</v>
      </c>
    </row>
    <row r="206" spans="1:2" x14ac:dyDescent="0.25">
      <c r="A206" s="371" t="s">
        <v>119</v>
      </c>
      <c r="B206" s="371" t="s">
        <v>119</v>
      </c>
    </row>
    <row r="207" spans="1:2" x14ac:dyDescent="0.25">
      <c r="A207" s="371" t="s">
        <v>262</v>
      </c>
      <c r="B207" s="371" t="s">
        <v>125</v>
      </c>
    </row>
    <row r="208" spans="1:2" x14ac:dyDescent="0.25">
      <c r="A208" s="371" t="s">
        <v>263</v>
      </c>
      <c r="B208" s="371" t="s">
        <v>126</v>
      </c>
    </row>
    <row r="209" spans="1:2" x14ac:dyDescent="0.25">
      <c r="A209" s="371" t="s">
        <v>647</v>
      </c>
      <c r="B209" s="371" t="s">
        <v>652</v>
      </c>
    </row>
    <row r="210" spans="1:2" x14ac:dyDescent="0.25">
      <c r="A210" s="371" t="s">
        <v>492</v>
      </c>
      <c r="B210" s="371" t="s">
        <v>463</v>
      </c>
    </row>
    <row r="211" spans="1:2" x14ac:dyDescent="0.25">
      <c r="A211" s="372" t="s">
        <v>487</v>
      </c>
      <c r="B211" s="372" t="s">
        <v>473</v>
      </c>
    </row>
    <row r="212" spans="1:2" x14ac:dyDescent="0.25">
      <c r="A212" s="372" t="s">
        <v>182</v>
      </c>
      <c r="B212" s="372" t="s">
        <v>45</v>
      </c>
    </row>
    <row r="213" spans="1:2" x14ac:dyDescent="0.25">
      <c r="A213" s="371" t="s">
        <v>494</v>
      </c>
      <c r="B213" s="371" t="s">
        <v>497</v>
      </c>
    </row>
    <row r="214" spans="1:2" x14ac:dyDescent="0.25">
      <c r="A214" s="371" t="s">
        <v>206</v>
      </c>
      <c r="B214" s="371" t="s">
        <v>4</v>
      </c>
    </row>
    <row r="215" spans="1:2" x14ac:dyDescent="0.25">
      <c r="A215" s="371" t="s">
        <v>212</v>
      </c>
      <c r="B215" s="371" t="s">
        <v>9</v>
      </c>
    </row>
    <row r="216" spans="1:2" x14ac:dyDescent="0.25">
      <c r="A216" s="372" t="s">
        <v>453</v>
      </c>
      <c r="B216" s="372" t="s">
        <v>10</v>
      </c>
    </row>
    <row r="217" spans="1:2" x14ac:dyDescent="0.25">
      <c r="A217" s="372" t="s">
        <v>452</v>
      </c>
      <c r="B217" s="372" t="s">
        <v>11</v>
      </c>
    </row>
    <row r="218" spans="1:2" x14ac:dyDescent="0.25">
      <c r="A218" s="372" t="s">
        <v>230</v>
      </c>
      <c r="B218" s="372" t="s">
        <v>229</v>
      </c>
    </row>
    <row r="219" spans="1:2" x14ac:dyDescent="0.25">
      <c r="A219" s="372" t="s">
        <v>196</v>
      </c>
      <c r="B219" s="372" t="s">
        <v>44</v>
      </c>
    </row>
    <row r="220" spans="1:2" x14ac:dyDescent="0.25">
      <c r="A220" s="372" t="s">
        <v>187</v>
      </c>
      <c r="B220" s="372" t="s">
        <v>53</v>
      </c>
    </row>
    <row r="221" spans="1:2" x14ac:dyDescent="0.25">
      <c r="A221" s="371" t="s">
        <v>215</v>
      </c>
      <c r="B221" s="371" t="s">
        <v>213</v>
      </c>
    </row>
    <row r="222" spans="1:2" x14ac:dyDescent="0.25">
      <c r="A222" s="371" t="s">
        <v>183</v>
      </c>
      <c r="B222" s="371" t="s">
        <v>64</v>
      </c>
    </row>
    <row r="223" spans="1:2" x14ac:dyDescent="0.25">
      <c r="A223" s="371" t="s">
        <v>185</v>
      </c>
      <c r="B223" s="371" t="s">
        <v>55</v>
      </c>
    </row>
    <row r="224" spans="1:2" x14ac:dyDescent="0.25">
      <c r="A224" s="371" t="s">
        <v>539</v>
      </c>
      <c r="B224" s="371" t="s">
        <v>538</v>
      </c>
    </row>
    <row r="225" spans="1:2" x14ac:dyDescent="0.25">
      <c r="A225" s="371" t="s">
        <v>234</v>
      </c>
      <c r="B225" s="371" t="s">
        <v>71</v>
      </c>
    </row>
    <row r="226" spans="1:2" x14ac:dyDescent="0.25">
      <c r="A226" s="371" t="s">
        <v>190</v>
      </c>
      <c r="B226" s="371" t="s">
        <v>59</v>
      </c>
    </row>
    <row r="227" spans="1:2" x14ac:dyDescent="0.25">
      <c r="A227" s="371" t="s">
        <v>194</v>
      </c>
      <c r="B227" s="371" t="s">
        <v>72</v>
      </c>
    </row>
    <row r="228" spans="1:2" x14ac:dyDescent="0.25">
      <c r="A228" s="371" t="s">
        <v>191</v>
      </c>
      <c r="B228" s="371" t="s">
        <v>60</v>
      </c>
    </row>
    <row r="229" spans="1:2" x14ac:dyDescent="0.25">
      <c r="A229" s="371" t="s">
        <v>192</v>
      </c>
      <c r="B229" s="371" t="s">
        <v>61</v>
      </c>
    </row>
    <row r="230" spans="1:2" x14ac:dyDescent="0.25">
      <c r="A230" s="371" t="s">
        <v>193</v>
      </c>
      <c r="B230" s="371" t="s">
        <v>62</v>
      </c>
    </row>
    <row r="231" spans="1:2" x14ac:dyDescent="0.25">
      <c r="A231" s="371" t="s">
        <v>285</v>
      </c>
      <c r="B231" s="371" t="s">
        <v>139</v>
      </c>
    </row>
    <row r="232" spans="1:2" x14ac:dyDescent="0.25">
      <c r="A232" s="371" t="s">
        <v>454</v>
      </c>
      <c r="B232" s="371" t="s">
        <v>302</v>
      </c>
    </row>
    <row r="233" spans="1:2" x14ac:dyDescent="0.25">
      <c r="A233" s="372" t="s">
        <v>175</v>
      </c>
      <c r="B233" s="372" t="s">
        <v>112</v>
      </c>
    </row>
    <row r="234" spans="1:2" x14ac:dyDescent="0.25">
      <c r="A234" s="372" t="s">
        <v>357</v>
      </c>
      <c r="B234" s="372" t="s">
        <v>96</v>
      </c>
    </row>
    <row r="235" spans="1:2" x14ac:dyDescent="0.25">
      <c r="A235" s="372" t="s">
        <v>259</v>
      </c>
      <c r="B235" s="372" t="s">
        <v>19</v>
      </c>
    </row>
    <row r="236" spans="1:2" x14ac:dyDescent="0.25">
      <c r="A236" s="372" t="s">
        <v>264</v>
      </c>
      <c r="B236" s="372" t="s">
        <v>124</v>
      </c>
    </row>
    <row r="237" spans="1:2" x14ac:dyDescent="0.25">
      <c r="A237" s="372" t="s">
        <v>233</v>
      </c>
      <c r="B237" s="372" t="s">
        <v>41</v>
      </c>
    </row>
    <row r="238" spans="1:2" x14ac:dyDescent="0.25">
      <c r="A238" s="372" t="s">
        <v>244</v>
      </c>
      <c r="B238" s="372" t="s">
        <v>243</v>
      </c>
    </row>
    <row r="239" spans="1:2" x14ac:dyDescent="0.25">
      <c r="A239" s="372" t="s">
        <v>201</v>
      </c>
      <c r="B239" s="372" t="s">
        <v>36</v>
      </c>
    </row>
    <row r="240" spans="1:2" x14ac:dyDescent="0.25">
      <c r="A240" s="372" t="s">
        <v>565</v>
      </c>
      <c r="B240" s="372" t="s">
        <v>605</v>
      </c>
    </row>
    <row r="241" spans="1:2" x14ac:dyDescent="0.25">
      <c r="A241" s="372" t="s">
        <v>31</v>
      </c>
      <c r="B241" s="372" t="s">
        <v>31</v>
      </c>
    </row>
    <row r="242" spans="1:2" x14ac:dyDescent="0.25">
      <c r="A242" s="372" t="s">
        <v>204</v>
      </c>
      <c r="B242" s="372" t="s">
        <v>34</v>
      </c>
    </row>
    <row r="243" spans="1:2" x14ac:dyDescent="0.25">
      <c r="A243" s="371" t="s">
        <v>199</v>
      </c>
      <c r="B243" s="371" t="s">
        <v>14</v>
      </c>
    </row>
    <row r="244" spans="1:2" x14ac:dyDescent="0.25">
      <c r="A244" s="371" t="s">
        <v>455</v>
      </c>
      <c r="B244" s="371" t="s">
        <v>6</v>
      </c>
    </row>
    <row r="245" spans="1:2" x14ac:dyDescent="0.25">
      <c r="A245" s="371" t="s">
        <v>294</v>
      </c>
      <c r="B245" s="371" t="s">
        <v>134</v>
      </c>
    </row>
    <row r="246" spans="1:2" x14ac:dyDescent="0.25">
      <c r="A246" s="371" t="s">
        <v>236</v>
      </c>
      <c r="B246" s="371" t="s">
        <v>82</v>
      </c>
    </row>
    <row r="247" spans="1:2" x14ac:dyDescent="0.25">
      <c r="A247" s="371" t="s">
        <v>235</v>
      </c>
      <c r="B247" s="371" t="s">
        <v>81</v>
      </c>
    </row>
    <row r="248" spans="1:2" x14ac:dyDescent="0.25">
      <c r="A248" s="371" t="s">
        <v>332</v>
      </c>
      <c r="B248" s="371" t="s">
        <v>397</v>
      </c>
    </row>
    <row r="249" spans="1:2" x14ac:dyDescent="0.25">
      <c r="A249" s="371" t="s">
        <v>123</v>
      </c>
      <c r="B249" s="371" t="s">
        <v>123</v>
      </c>
    </row>
    <row r="250" spans="1:2" x14ac:dyDescent="0.25">
      <c r="A250" s="371" t="s">
        <v>70</v>
      </c>
      <c r="B250" s="371" t="s">
        <v>70</v>
      </c>
    </row>
    <row r="251" spans="1:2" x14ac:dyDescent="0.25">
      <c r="A251" s="371" t="s">
        <v>209</v>
      </c>
      <c r="B251" s="371" t="s">
        <v>13</v>
      </c>
    </row>
    <row r="252" spans="1:2" x14ac:dyDescent="0.25">
      <c r="A252" s="371" t="s">
        <v>688</v>
      </c>
      <c r="B252" s="371" t="s">
        <v>690</v>
      </c>
    </row>
    <row r="253" spans="1:2" x14ac:dyDescent="0.25">
      <c r="A253" s="371" t="s">
        <v>685</v>
      </c>
      <c r="B253" s="371" t="s">
        <v>691</v>
      </c>
    </row>
    <row r="254" spans="1:2" x14ac:dyDescent="0.25">
      <c r="A254" s="371" t="s">
        <v>686</v>
      </c>
      <c r="B254" s="371" t="s">
        <v>692</v>
      </c>
    </row>
    <row r="255" spans="1:2" x14ac:dyDescent="0.25">
      <c r="A255" s="371" t="s">
        <v>684</v>
      </c>
      <c r="B255" s="371" t="s">
        <v>693</v>
      </c>
    </row>
    <row r="256" spans="1:2" x14ac:dyDescent="0.25">
      <c r="A256" s="371" t="s">
        <v>689</v>
      </c>
      <c r="B256" s="371" t="s">
        <v>694</v>
      </c>
    </row>
    <row r="257" spans="1:2" x14ac:dyDescent="0.25">
      <c r="A257" s="371" t="s">
        <v>687</v>
      </c>
      <c r="B257" s="371" t="s">
        <v>701</v>
      </c>
    </row>
    <row r="258" spans="1:2" x14ac:dyDescent="0.25">
      <c r="A258" s="371" t="s">
        <v>695</v>
      </c>
      <c r="B258" s="371" t="s">
        <v>696</v>
      </c>
    </row>
    <row r="259" spans="1:2" x14ac:dyDescent="0.25">
      <c r="A259" s="371" t="s">
        <v>698</v>
      </c>
      <c r="B259" s="371" t="s">
        <v>700</v>
      </c>
    </row>
    <row r="260" spans="1:2" x14ac:dyDescent="0.25">
      <c r="A260" s="371" t="s">
        <v>699</v>
      </c>
      <c r="B260" s="371" t="s">
        <v>697</v>
      </c>
    </row>
    <row r="261" spans="1:2" x14ac:dyDescent="0.25">
      <c r="A261" s="371" t="s">
        <v>66</v>
      </c>
      <c r="B261" s="371" t="s">
        <v>66</v>
      </c>
    </row>
    <row r="262" spans="1:2" x14ac:dyDescent="0.25">
      <c r="A262" s="371" t="s">
        <v>94</v>
      </c>
      <c r="B262" s="371" t="s">
        <v>94</v>
      </c>
    </row>
    <row r="263" spans="1:2" x14ac:dyDescent="0.25">
      <c r="A263" s="372" t="s">
        <v>703</v>
      </c>
      <c r="B263" s="372" t="s">
        <v>704</v>
      </c>
    </row>
    <row r="264" spans="1:2" x14ac:dyDescent="0.25">
      <c r="A264" s="372" t="s">
        <v>707</v>
      </c>
      <c r="B264" s="372" t="s">
        <v>708</v>
      </c>
    </row>
  </sheetData>
  <sheetProtection selectLockedCells="1"/>
  <mergeCells count="1">
    <mergeCell ref="A1:B1"/>
  </mergeCells>
  <pageMargins left="0.7" right="0.7" top="0.75" bottom="0.75" header="0.3" footer="0.3"/>
  <pageSetup paperSize="9"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rgb="FFFF0000"/>
  </sheetPr>
  <dimension ref="A1:G46"/>
  <sheetViews>
    <sheetView showGridLines="0" workbookViewId="0">
      <selection activeCell="E9" sqref="E9"/>
    </sheetView>
  </sheetViews>
  <sheetFormatPr baseColWidth="10" defaultColWidth="11.42578125" defaultRowHeight="15" x14ac:dyDescent="0.25"/>
  <cols>
    <col min="1" max="1" width="11.42578125" style="153" customWidth="1"/>
    <col min="2" max="3" width="15" style="389" customWidth="1"/>
    <col min="4" max="4" width="15.42578125" style="389" customWidth="1"/>
    <col min="5" max="16384" width="11.42578125" style="389"/>
  </cols>
  <sheetData>
    <row r="1" spans="1:7" ht="30.75" thickBot="1" x14ac:dyDescent="0.3">
      <c r="A1" s="377" t="s">
        <v>30</v>
      </c>
      <c r="B1" s="217" t="s">
        <v>228</v>
      </c>
      <c r="C1" s="374" t="s">
        <v>228</v>
      </c>
      <c r="D1" s="374" t="s">
        <v>250</v>
      </c>
      <c r="E1" s="217" t="s">
        <v>261</v>
      </c>
      <c r="F1" s="217" t="s">
        <v>286</v>
      </c>
      <c r="G1" s="217" t="s">
        <v>479</v>
      </c>
    </row>
    <row r="2" spans="1:7" x14ac:dyDescent="0.25">
      <c r="A2" s="267">
        <v>0</v>
      </c>
      <c r="B2" s="378" t="s">
        <v>215</v>
      </c>
      <c r="C2" s="375" t="s">
        <v>215</v>
      </c>
      <c r="D2" s="375" t="s">
        <v>224</v>
      </c>
      <c r="E2" s="267" t="s">
        <v>275</v>
      </c>
      <c r="F2" s="267" t="s">
        <v>289</v>
      </c>
      <c r="G2" s="506">
        <v>0.25</v>
      </c>
    </row>
    <row r="3" spans="1:7" ht="15.75" thickBot="1" x14ac:dyDescent="0.3">
      <c r="A3" s="227">
        <f t="shared" ref="A3:A42" si="0">A2+1</f>
        <v>1</v>
      </c>
      <c r="B3" s="379" t="s">
        <v>214</v>
      </c>
      <c r="C3" s="376" t="s">
        <v>214</v>
      </c>
      <c r="D3" s="376" t="s">
        <v>223</v>
      </c>
      <c r="E3" s="227" t="s">
        <v>276</v>
      </c>
      <c r="F3" s="228" t="s">
        <v>290</v>
      </c>
      <c r="G3" s="507">
        <v>0.5</v>
      </c>
    </row>
    <row r="4" spans="1:7" x14ac:dyDescent="0.25">
      <c r="A4" s="227">
        <f t="shared" si="0"/>
        <v>2</v>
      </c>
      <c r="B4" s="379" t="s">
        <v>218</v>
      </c>
      <c r="C4" s="376" t="s">
        <v>218</v>
      </c>
      <c r="D4" s="376" t="s">
        <v>221</v>
      </c>
      <c r="E4" s="227" t="s">
        <v>277</v>
      </c>
      <c r="G4" s="507">
        <v>0.75</v>
      </c>
    </row>
    <row r="5" spans="1:7" ht="15.75" thickBot="1" x14ac:dyDescent="0.3">
      <c r="A5" s="227">
        <f t="shared" si="0"/>
        <v>3</v>
      </c>
      <c r="B5" s="376" t="s">
        <v>221</v>
      </c>
      <c r="C5" s="373" t="s">
        <v>160</v>
      </c>
      <c r="D5" s="376" t="s">
        <v>349</v>
      </c>
      <c r="E5" s="227" t="s">
        <v>278</v>
      </c>
      <c r="G5" s="508">
        <v>1</v>
      </c>
    </row>
    <row r="6" spans="1:7" x14ac:dyDescent="0.25">
      <c r="A6" s="227">
        <f t="shared" si="0"/>
        <v>4</v>
      </c>
      <c r="B6" s="376" t="s">
        <v>219</v>
      </c>
      <c r="D6" s="376" t="s">
        <v>251</v>
      </c>
      <c r="E6" s="227" t="s">
        <v>669</v>
      </c>
    </row>
    <row r="7" spans="1:7" ht="15.75" thickBot="1" x14ac:dyDescent="0.3">
      <c r="A7" s="227">
        <f t="shared" si="0"/>
        <v>5</v>
      </c>
      <c r="B7" s="373" t="s">
        <v>222</v>
      </c>
      <c r="D7" s="373" t="s">
        <v>252</v>
      </c>
      <c r="E7" s="227" t="s">
        <v>279</v>
      </c>
    </row>
    <row r="8" spans="1:7" x14ac:dyDescent="0.25">
      <c r="A8" s="227">
        <f t="shared" si="0"/>
        <v>6</v>
      </c>
      <c r="E8" s="227" t="s">
        <v>280</v>
      </c>
    </row>
    <row r="9" spans="1:7" x14ac:dyDescent="0.25">
      <c r="A9" s="227">
        <f t="shared" si="0"/>
        <v>7</v>
      </c>
      <c r="E9" s="227" t="s">
        <v>281</v>
      </c>
    </row>
    <row r="10" spans="1:7" x14ac:dyDescent="0.25">
      <c r="A10" s="227">
        <f t="shared" si="0"/>
        <v>8</v>
      </c>
      <c r="E10" s="227" t="s">
        <v>282</v>
      </c>
    </row>
    <row r="11" spans="1:7" x14ac:dyDescent="0.25">
      <c r="A11" s="227">
        <f t="shared" si="0"/>
        <v>9</v>
      </c>
      <c r="E11" s="227" t="s">
        <v>283</v>
      </c>
    </row>
    <row r="12" spans="1:7" ht="15.75" thickBot="1" x14ac:dyDescent="0.3">
      <c r="A12" s="227">
        <f t="shared" si="0"/>
        <v>10</v>
      </c>
      <c r="E12" s="228" t="s">
        <v>284</v>
      </c>
    </row>
    <row r="13" spans="1:7" x14ac:dyDescent="0.25">
      <c r="A13" s="227">
        <f t="shared" si="0"/>
        <v>11</v>
      </c>
    </row>
    <row r="14" spans="1:7" x14ac:dyDescent="0.25">
      <c r="A14" s="227">
        <f t="shared" si="0"/>
        <v>12</v>
      </c>
    </row>
    <row r="15" spans="1:7" x14ac:dyDescent="0.25">
      <c r="A15" s="227">
        <f t="shared" si="0"/>
        <v>13</v>
      </c>
    </row>
    <row r="16" spans="1:7" x14ac:dyDescent="0.25">
      <c r="A16" s="227">
        <f t="shared" si="0"/>
        <v>14</v>
      </c>
    </row>
    <row r="17" spans="1:1" x14ac:dyDescent="0.25">
      <c r="A17" s="227">
        <f t="shared" si="0"/>
        <v>15</v>
      </c>
    </row>
    <row r="18" spans="1:1" x14ac:dyDescent="0.25">
      <c r="A18" s="227">
        <f t="shared" si="0"/>
        <v>16</v>
      </c>
    </row>
    <row r="19" spans="1:1" x14ac:dyDescent="0.25">
      <c r="A19" s="227">
        <f t="shared" si="0"/>
        <v>17</v>
      </c>
    </row>
    <row r="20" spans="1:1" x14ac:dyDescent="0.25">
      <c r="A20" s="227">
        <f t="shared" si="0"/>
        <v>18</v>
      </c>
    </row>
    <row r="21" spans="1:1" x14ac:dyDescent="0.25">
      <c r="A21" s="227">
        <f t="shared" si="0"/>
        <v>19</v>
      </c>
    </row>
    <row r="22" spans="1:1" x14ac:dyDescent="0.25">
      <c r="A22" s="227">
        <f t="shared" si="0"/>
        <v>20</v>
      </c>
    </row>
    <row r="23" spans="1:1" x14ac:dyDescent="0.25">
      <c r="A23" s="227">
        <f t="shared" si="0"/>
        <v>21</v>
      </c>
    </row>
    <row r="24" spans="1:1" x14ac:dyDescent="0.25">
      <c r="A24" s="227">
        <f t="shared" si="0"/>
        <v>22</v>
      </c>
    </row>
    <row r="25" spans="1:1" x14ac:dyDescent="0.25">
      <c r="A25" s="227">
        <f t="shared" si="0"/>
        <v>23</v>
      </c>
    </row>
    <row r="26" spans="1:1" x14ac:dyDescent="0.25">
      <c r="A26" s="227">
        <f t="shared" si="0"/>
        <v>24</v>
      </c>
    </row>
    <row r="27" spans="1:1" x14ac:dyDescent="0.25">
      <c r="A27" s="227">
        <f t="shared" si="0"/>
        <v>25</v>
      </c>
    </row>
    <row r="28" spans="1:1" x14ac:dyDescent="0.25">
      <c r="A28" s="227">
        <f t="shared" si="0"/>
        <v>26</v>
      </c>
    </row>
    <row r="29" spans="1:1" x14ac:dyDescent="0.25">
      <c r="A29" s="227">
        <f t="shared" si="0"/>
        <v>27</v>
      </c>
    </row>
    <row r="30" spans="1:1" x14ac:dyDescent="0.25">
      <c r="A30" s="227">
        <f t="shared" si="0"/>
        <v>28</v>
      </c>
    </row>
    <row r="31" spans="1:1" x14ac:dyDescent="0.25">
      <c r="A31" s="227">
        <f t="shared" si="0"/>
        <v>29</v>
      </c>
    </row>
    <row r="32" spans="1:1" x14ac:dyDescent="0.25">
      <c r="A32" s="227">
        <f t="shared" si="0"/>
        <v>30</v>
      </c>
    </row>
    <row r="33" spans="1:1" x14ac:dyDescent="0.25">
      <c r="A33" s="227">
        <f t="shared" si="0"/>
        <v>31</v>
      </c>
    </row>
    <row r="34" spans="1:1" x14ac:dyDescent="0.25">
      <c r="A34" s="227">
        <f t="shared" si="0"/>
        <v>32</v>
      </c>
    </row>
    <row r="35" spans="1:1" x14ac:dyDescent="0.25">
      <c r="A35" s="227">
        <f t="shared" si="0"/>
        <v>33</v>
      </c>
    </row>
    <row r="36" spans="1:1" x14ac:dyDescent="0.25">
      <c r="A36" s="227">
        <f t="shared" si="0"/>
        <v>34</v>
      </c>
    </row>
    <row r="37" spans="1:1" x14ac:dyDescent="0.25">
      <c r="A37" s="227">
        <f t="shared" si="0"/>
        <v>35</v>
      </c>
    </row>
    <row r="38" spans="1:1" x14ac:dyDescent="0.25">
      <c r="A38" s="227">
        <f t="shared" si="0"/>
        <v>36</v>
      </c>
    </row>
    <row r="39" spans="1:1" x14ac:dyDescent="0.25">
      <c r="A39" s="227">
        <f t="shared" si="0"/>
        <v>37</v>
      </c>
    </row>
    <row r="40" spans="1:1" x14ac:dyDescent="0.25">
      <c r="A40" s="227">
        <f t="shared" si="0"/>
        <v>38</v>
      </c>
    </row>
    <row r="41" spans="1:1" x14ac:dyDescent="0.25">
      <c r="A41" s="227">
        <f t="shared" si="0"/>
        <v>39</v>
      </c>
    </row>
    <row r="42" spans="1:1" ht="15.75" thickBot="1" x14ac:dyDescent="0.3">
      <c r="A42" s="228">
        <f t="shared" si="0"/>
        <v>40</v>
      </c>
    </row>
    <row r="43" spans="1:1" x14ac:dyDescent="0.25">
      <c r="A43" s="152"/>
    </row>
    <row r="44" spans="1:1" x14ac:dyDescent="0.25">
      <c r="A44" s="152"/>
    </row>
    <row r="45" spans="1:1" x14ac:dyDescent="0.25">
      <c r="A45" s="152"/>
    </row>
    <row r="46" spans="1:1" x14ac:dyDescent="0.25">
      <c r="A46" s="152"/>
    </row>
  </sheetData>
  <sheetProtection sheet="1" objects="1" scenarios="1" selectLockedCells="1"/>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FF0000"/>
  </sheetPr>
  <dimension ref="A1:E20"/>
  <sheetViews>
    <sheetView showGridLines="0" workbookViewId="0">
      <pane ySplit="2" topLeftCell="A3" activePane="bottomLeft" state="frozen"/>
      <selection activeCell="P319" sqref="P319"/>
      <selection pane="bottomLeft" activeCell="B2" sqref="B2"/>
    </sheetView>
  </sheetViews>
  <sheetFormatPr baseColWidth="10" defaultColWidth="11.42578125" defaultRowHeight="15" customHeight="1" x14ac:dyDescent="0.25"/>
  <cols>
    <col min="1" max="1" width="15.85546875" style="214" customWidth="1"/>
    <col min="2" max="5" width="20.7109375" style="214" customWidth="1"/>
    <col min="6" max="16384" width="11.42578125" style="214"/>
  </cols>
  <sheetData>
    <row r="1" spans="1:5" ht="15" customHeight="1" thickBot="1" x14ac:dyDescent="0.3">
      <c r="A1" s="385" t="s">
        <v>291</v>
      </c>
      <c r="B1" s="398" t="s">
        <v>261</v>
      </c>
      <c r="C1" s="923" t="s">
        <v>237</v>
      </c>
      <c r="D1" s="924" t="s">
        <v>241</v>
      </c>
      <c r="E1" s="386" t="s">
        <v>260</v>
      </c>
    </row>
    <row r="2" spans="1:5" ht="15" customHeight="1" thickTop="1" thickBot="1" x14ac:dyDescent="0.3">
      <c r="A2" s="393">
        <f>Paramètres!$BI$2</f>
        <v>1</v>
      </c>
      <c r="B2" s="418" t="s">
        <v>669</v>
      </c>
      <c r="C2" s="397" t="str">
        <f>'À Faire - Récapitulatif'!H2</f>
        <v>4 250</v>
      </c>
      <c r="D2" s="448" t="str">
        <f>'À Faire - Récapitulatif'!K2</f>
        <v>4 700</v>
      </c>
      <c r="E2" s="387" t="str">
        <f>'À Faire - Récapitulatif'!M2</f>
        <v>0</v>
      </c>
    </row>
    <row r="3" spans="1:5" ht="20.100000000000001" customHeight="1" thickBot="1" x14ac:dyDescent="0.3">
      <c r="A3" s="1028" t="s">
        <v>119</v>
      </c>
      <c r="B3" s="1029"/>
      <c r="C3" s="1029"/>
      <c r="D3" s="1030"/>
    </row>
    <row r="4" spans="1:5" ht="15" customHeight="1" thickBot="1" x14ac:dyDescent="0.3">
      <c r="A4" s="217" t="s">
        <v>123</v>
      </c>
      <c r="B4" s="216" t="s">
        <v>176</v>
      </c>
      <c r="C4" s="226" t="s">
        <v>210</v>
      </c>
      <c r="D4" s="215" t="s">
        <v>211</v>
      </c>
    </row>
    <row r="5" spans="1:5" ht="15" customHeight="1" thickBot="1" x14ac:dyDescent="0.3">
      <c r="A5" s="299" t="s">
        <v>39</v>
      </c>
      <c r="B5" s="786">
        <f>VLOOKUP($A$2,AVAILABLE_Buildings_Resource[#All],MATCH(B$4,AVAILABLE_Buildings_Resource[#Headers],0)+1)</f>
        <v>2</v>
      </c>
      <c r="C5" s="300">
        <f>VLOOKUP($A$2,AVAILABLE_Buildings_Resource[#All],MATCH(C$4,AVAILABLE_Buildings_Resource[#Headers],0)+1)</f>
        <v>2</v>
      </c>
      <c r="D5" s="787">
        <f>VLOOKUP($A$2,AVAILABLE_Buildings_Resource[#All],MATCH(D$4,AVAILABLE_Buildings_Resource[#Headers],0)+1)</f>
        <v>0</v>
      </c>
    </row>
    <row r="6" spans="1:5" ht="15" customHeight="1" x14ac:dyDescent="0.25">
      <c r="A6" s="222">
        <v>1</v>
      </c>
      <c r="B6" s="788">
        <f>Paramètres!B6</f>
        <v>0</v>
      </c>
      <c r="C6" s="223">
        <f>Paramètres!C6</f>
        <v>0</v>
      </c>
      <c r="D6" s="224">
        <f>Paramètres!D6</f>
        <v>0</v>
      </c>
    </row>
    <row r="7" spans="1:5" ht="15" customHeight="1" x14ac:dyDescent="0.25">
      <c r="A7" s="221">
        <v>2</v>
      </c>
      <c r="B7" s="789">
        <f>Paramètres!B7</f>
        <v>0</v>
      </c>
      <c r="C7" s="219">
        <f>Paramètres!C7</f>
        <v>0</v>
      </c>
      <c r="D7" s="220">
        <f>Paramètres!D7</f>
        <v>0</v>
      </c>
    </row>
    <row r="8" spans="1:5" ht="15" customHeight="1" x14ac:dyDescent="0.25">
      <c r="A8" s="221">
        <v>3</v>
      </c>
      <c r="B8" s="789">
        <f>Paramètres!B8</f>
        <v>0</v>
      </c>
      <c r="C8" s="219">
        <f>Paramètres!C8</f>
        <v>0</v>
      </c>
      <c r="D8" s="220">
        <f>Paramètres!D8</f>
        <v>0</v>
      </c>
    </row>
    <row r="9" spans="1:5" ht="15" customHeight="1" x14ac:dyDescent="0.25">
      <c r="A9" s="221">
        <v>4</v>
      </c>
      <c r="B9" s="789">
        <f>Paramètres!B9</f>
        <v>0</v>
      </c>
      <c r="C9" s="219">
        <f>Paramètres!C9</f>
        <v>0</v>
      </c>
      <c r="D9" s="220">
        <f>Paramètres!D9</f>
        <v>0</v>
      </c>
    </row>
    <row r="10" spans="1:5" ht="15" customHeight="1" x14ac:dyDescent="0.25">
      <c r="A10" s="221">
        <v>5</v>
      </c>
      <c r="B10" s="789">
        <f>Paramètres!B10</f>
        <v>0</v>
      </c>
      <c r="C10" s="219">
        <f>Paramètres!C10</f>
        <v>0</v>
      </c>
      <c r="D10" s="220">
        <f>Paramètres!D10</f>
        <v>0</v>
      </c>
    </row>
    <row r="11" spans="1:5" ht="15" customHeight="1" x14ac:dyDescent="0.25">
      <c r="A11" s="221">
        <v>6</v>
      </c>
      <c r="B11" s="789">
        <f>Paramètres!B11</f>
        <v>0</v>
      </c>
      <c r="C11" s="219">
        <f>Paramètres!C11</f>
        <v>0</v>
      </c>
      <c r="D11" s="220">
        <f>Paramètres!D11</f>
        <v>0</v>
      </c>
    </row>
    <row r="12" spans="1:5" ht="15" customHeight="1" x14ac:dyDescent="0.25">
      <c r="A12" s="221">
        <v>7</v>
      </c>
      <c r="B12" s="789">
        <f>Paramètres!B12</f>
        <v>0</v>
      </c>
      <c r="C12" s="219">
        <f>Paramètres!C12</f>
        <v>0</v>
      </c>
      <c r="D12" s="220">
        <f>Paramètres!D12</f>
        <v>0</v>
      </c>
    </row>
    <row r="13" spans="1:5" ht="15" customHeight="1" x14ac:dyDescent="0.25">
      <c r="A13" s="221">
        <v>8</v>
      </c>
      <c r="B13" s="789">
        <f>Paramètres!B13</f>
        <v>0</v>
      </c>
      <c r="C13" s="219">
        <f>Paramètres!C13</f>
        <v>0</v>
      </c>
      <c r="D13" s="220">
        <f>Paramètres!D13</f>
        <v>0</v>
      </c>
    </row>
    <row r="14" spans="1:5" ht="15" customHeight="1" x14ac:dyDescent="0.25">
      <c r="A14" s="221">
        <v>9</v>
      </c>
      <c r="B14" s="789">
        <f>Paramètres!B14</f>
        <v>0</v>
      </c>
      <c r="C14" s="219">
        <f>Paramètres!C14</f>
        <v>0</v>
      </c>
      <c r="D14" s="220">
        <f>Paramètres!D14</f>
        <v>0</v>
      </c>
    </row>
    <row r="15" spans="1:5" ht="15" customHeight="1" x14ac:dyDescent="0.25">
      <c r="A15" s="221">
        <v>10</v>
      </c>
      <c r="B15" s="789">
        <f>Paramètres!B15</f>
        <v>0</v>
      </c>
      <c r="C15" s="219">
        <f>Paramètres!C15</f>
        <v>0</v>
      </c>
      <c r="D15" s="220">
        <f>Paramètres!D15</f>
        <v>0</v>
      </c>
    </row>
    <row r="16" spans="1:5" ht="15" customHeight="1" x14ac:dyDescent="0.25">
      <c r="A16" s="221">
        <v>11</v>
      </c>
      <c r="B16" s="789">
        <f>Paramètres!B16</f>
        <v>0</v>
      </c>
      <c r="C16" s="219">
        <f>Paramètres!C16</f>
        <v>0</v>
      </c>
      <c r="D16" s="220">
        <f>Paramètres!D16</f>
        <v>0</v>
      </c>
    </row>
    <row r="17" spans="1:5" ht="15" customHeight="1" thickBot="1" x14ac:dyDescent="0.3">
      <c r="A17" s="225">
        <v>12</v>
      </c>
      <c r="B17" s="883">
        <f>Paramètres!B17</f>
        <v>0</v>
      </c>
      <c r="C17" s="884">
        <f>Paramètres!C17</f>
        <v>0</v>
      </c>
      <c r="D17" s="885">
        <f>Paramètres!D17</f>
        <v>0</v>
      </c>
    </row>
    <row r="18" spans="1:5" ht="15" customHeight="1" x14ac:dyDescent="0.25">
      <c r="A18" s="532" t="s">
        <v>262</v>
      </c>
      <c r="B18" s="888">
        <f>SUMPRODUCT(B6:B17,EARNINGS_Gold_Mine[Production])</f>
        <v>0</v>
      </c>
      <c r="C18" s="889">
        <f>SUMPRODUCT(C6:C17,EARNINGS_Elixir_Collector[Production])</f>
        <v>0</v>
      </c>
      <c r="D18" s="890">
        <f>SUMPRODUCT(D6:D11,EARNINGS_Dark_Elixir_Drill[Production])</f>
        <v>0</v>
      </c>
      <c r="E18" s="152"/>
    </row>
    <row r="19" spans="1:5" ht="15" customHeight="1" thickBot="1" x14ac:dyDescent="0.3">
      <c r="A19" s="288" t="s">
        <v>263</v>
      </c>
      <c r="B19" s="891">
        <f>IF($B$2='Paramètres - Admin'!$E$2,B18,IF($B$2='Paramètres - Admin'!$E$3,B18*2,IF($B$2='Paramètres - Admin'!$E$4,B18*4,IF($B$2='Paramètres - Admin'!$E$5,B18*8,IF($B$2='Paramètres - Admin'!$E$6,B18*12,IF($B$2='Paramètres - Admin'!$E$7,B18*16,IF($B$2='Paramètres - Admin'!$E$8,B18*24,IF($B$2='Paramètres - Admin'!$E$9,B18*48,IF($B$2='Paramètres - Admin'!$E$10,B18*72,IF($B$2='Paramètres - Admin'!$E$11,B18*168,IF($B$2='Paramètres - Admin'!$E$12,B18*720)))))))))))</f>
        <v>0</v>
      </c>
      <c r="C19" s="892">
        <f>IF($B$2='Paramètres - Admin'!$E$2,C18,IF($B$2='Paramètres - Admin'!$E$3,C18*2,IF($B$2='Paramètres - Admin'!$E$4,C18*4,IF($B$2='Paramètres - Admin'!$E$5,C18*8,IF($B$2='Paramètres - Admin'!$E$6,C18*12,IF($B$2='Paramètres - Admin'!$E$7,C18*16,IF($B$2='Paramètres - Admin'!$E$8,C18*24,IF($B$2='Paramètres - Admin'!$E$9,C18*48,IF($B$2='Paramètres - Admin'!$E$10,C18*72,IF($B$2='Paramètres - Admin'!$E$11,C18*168,IF($B$2='Paramètres - Admin'!$E$12,C18*720)))))))))))</f>
        <v>0</v>
      </c>
      <c r="D19" s="893">
        <f>IF($B$2='Paramètres - Admin'!$E$2,D18,IF($B$2='Paramètres - Admin'!$E$3,D18*2,IF($B$2='Paramètres - Admin'!$E$4,D18*4,IF($B$2='Paramètres - Admin'!$E$5,D18*8,IF($B$2='Paramètres - Admin'!$E$6,D18*12,IF($B$2='Paramètres - Admin'!$E$7,D18*16,IF($B$2='Paramètres - Admin'!$E$8,D18*24,IF($B$2='Paramètres - Admin'!$E$9,D18*48,IF($B$2='Paramètres - Admin'!$E$10,D18*72,IF($B$2='Paramètres - Admin'!$E$11,D18*168,IF($B$2='Paramètres - Admin'!$E$12,D18*720)))))))))))</f>
        <v>0</v>
      </c>
    </row>
    <row r="20" spans="1:5" ht="15" customHeight="1" thickBot="1" x14ac:dyDescent="0.3">
      <c r="A20" s="943" t="s">
        <v>264</v>
      </c>
      <c r="B20" s="886">
        <f>IF(B$18&lt;&gt;0,IF($B$2='Paramètres - Admin'!$B$2,TEXT((('À Faire - Récapitulatif'!D8+'À Faire - Récapitulatif'!D11+'À Faire - Récapitulatif'!J27+'À Faire - Récapitulatif'!P27)/B$18)*60*60,"# 0")&amp;" " &amp; 'Paramètres - Admin'!$B$2,IF($B$2='Paramètres - Admin'!$B$3,TEXT((('À Faire - Récapitulatif'!D8+'À Faire - Récapitulatif'!D11+'À Faire - Récapitulatif'!J27+'À Faire - Récapitulatif'!P27)/B$18)*60,"# 0")&amp;" " &amp; 'Paramètres - Admin'!$B$3,IF($B$2='Paramètres - Admin'!$B$4,TEXT((('À Faire - Récapitulatif'!D8+'À Faire - Récapitulatif'!D11+'À Faire - Récapitulatif'!J27+'À Faire - Récapitulatif'!P27)/B$18),"# 0,00")&amp;" " &amp; 'Paramètres - Admin'!$B$4,IF($B$2='Paramètres - Admin'!$B$5,TEXT((('À Faire - Récapitulatif'!D8+'À Faire - Récapitulatif'!D11+'À Faire - Récapitulatif'!J27+'À Faire - Récapitulatif'!P27)/B$18)/24,"# 0,00")&amp;" " &amp; 'Paramètres - Admin'!$B$5,IF($B$2='Paramètres - Admin'!$B$6,TEXT(((('À Faire - Récapitulatif'!D8+'À Faire - Récapitulatif'!D11+'À Faire - Récapitulatif'!J27+'À Faire - Récapitulatif'!P27)/B$18)/24)/30,"# 0,00")&amp;" " &amp; 'Paramètres - Admin'!$B$6,IF((('À Faire - Récapitulatif'!D8+'À Faire - Récapitulatif'!D11+'À Faire - Récapitulatif'!J27+'À Faire - Récapitulatif'!P27)/B$18)/24&gt;=1,INT((('À Faire - Récapitulatif'!D8+'À Faire - Récapitulatif'!D11+'À Faire - Récapitulatif'!J27+'À Faire - Récapitulatif'!P27)/B$18)/24)&amp;" " &amp;  'Paramètres - Admin'!$D$4 &amp; " " &amp; HOUR((('À Faire - Récapitulatif'!D8+'À Faire - Récapitulatif'!D11+'À Faire - Récapitulatif'!J27+'À Faire - Récapitulatif'!P27)/B$18)/24-INT((('À Faire - Récapitulatif'!D8+'À Faire - Récapitulatif'!D11+'À Faire - Récapitulatif'!J27+'À Faire - Récapitulatif'!P27)/B$18)/24))&amp;" " &amp;  'Paramètres - Admin'!$D$3 &amp; " " &amp; MINUTE((('À Faire - Récapitulatif'!D8+'À Faire - Récapitulatif'!D11+'À Faire - Récapitulatif'!J27+'À Faire - Récapitulatif'!P27)/B$18)/24-INT((('À Faire - Récapitulatif'!D8+'À Faire - Récapitulatif'!D11+'À Faire - Récapitulatif'!J27+'À Faire - Récapitulatif'!P27)/B$18)/24))&amp;" " &amp;  'Paramètres - Admin'!$D$2,HOUR((('À Faire - Récapitulatif'!D8+'À Faire - Récapitulatif'!D11+'À Faire - Récapitulatif'!J27+'À Faire - Récapitulatif'!P27)/B$18)/24-INT((('À Faire - Récapitulatif'!D8+'À Faire - Récapitulatif'!D11+'À Faire - Récapitulatif'!J27+'À Faire - Récapitulatif'!P27)/B$18)/24))&amp;" " &amp;  'Paramètres - Admin'!$D$3 &amp; " " &amp; MINUTE((('À Faire - Récapitulatif'!D8+'À Faire - Récapitulatif'!D11+'À Faire - Récapitulatif'!J27+'À Faire - Récapitulatif'!P27)/B$18)/24-INT((('À Faire - Récapitulatif'!D8+'À Faire - Récapitulatif'!D11+'À Faire - Récapitulatif'!J27+'À Faire - Récapitulatif'!P27)/B$18)/24))&amp;" " &amp;  'Paramètres - Admin'!$D$2)))))),0)</f>
        <v>0</v>
      </c>
      <c r="C20" s="886">
        <f>IF(C$18&lt;&gt;0,IF($B$2='Paramètres - Admin'!$B$2,TEXT((('À Faire - Récapitulatif'!D7+'À Faire - Récapitulatif'!D9+'À Faire - Récapitulatif'!D10+'À Faire - Récapitulatif'!D12+'À Faire - Récapitulatif'!J13+'À Faire - Récapitulatif'!P22+'À Faire - Récapitulatif'!D27)/C$18)*60*60,"# 0")&amp;" " &amp; 'Paramètres - Admin'!$B$2,IF($B$2='Paramètres - Admin'!$B$3,TEXT((('À Faire - Récapitulatif'!D7+'À Faire - Récapitulatif'!D9+'À Faire - Récapitulatif'!D10+'À Faire - Récapitulatif'!D12+'À Faire - Récapitulatif'!J13+'À Faire - Récapitulatif'!P22+'À Faire - Récapitulatif'!D27)/C$18)*60,"# 0")&amp;" " &amp; 'Paramètres - Admin'!$B$3,IF($B$2='Paramètres - Admin'!$B$4,TEXT((('À Faire - Récapitulatif'!D7+'À Faire - Récapitulatif'!D9+'À Faire - Récapitulatif'!D10+'À Faire - Récapitulatif'!D12+'À Faire - Récapitulatif'!J13+'À Faire - Récapitulatif'!P22+'À Faire - Récapitulatif'!D27)/C$18),"# 0,00")&amp;" " &amp; 'Paramètres - Admin'!$B$4,IF($B$2='Paramètres - Admin'!$B$5,TEXT((('À Faire - Récapitulatif'!D7+'À Faire - Récapitulatif'!D9+'À Faire - Récapitulatif'!D10+'À Faire - Récapitulatif'!D12+'À Faire - Récapitulatif'!J13+'À Faire - Récapitulatif'!P22+'À Faire - Récapitulatif'!D27)/C$18)/24,"# 0,00")&amp;" " &amp; 'Paramètres - Admin'!$B$5,IF($B$2='Paramètres - Admin'!$B$6,TEXT(((('À Faire - Récapitulatif'!D7+'À Faire - Récapitulatif'!D9+'À Faire - Récapitulatif'!D10+'À Faire - Récapitulatif'!D12+'À Faire - Récapitulatif'!J13+'À Faire - Récapitulatif'!P22+'À Faire - Récapitulatif'!D27)/C$18)/24)/30,"# 0,00")&amp;" " &amp; 'Paramètres - Admin'!$B$6,IF((('À Faire - Récapitulatif'!D7+'À Faire - Récapitulatif'!D9+'À Faire - Récapitulatif'!D10+'À Faire - Récapitulatif'!D12+'À Faire - Récapitulatif'!J13+'À Faire - Récapitulatif'!P22+'À Faire - Récapitulatif'!D27)/C$18)/24&gt;=1,INT((('À Faire - Récapitulatif'!D7+'À Faire - Récapitulatif'!D9+'À Faire - Récapitulatif'!D10+'À Faire - Récapitulatif'!D12+'À Faire - Récapitulatif'!J13+'À Faire - Récapitulatif'!P22+'À Faire - Récapitulatif'!D27)/C$18)/24)&amp;" " &amp;  'Paramètres - Admin'!$D$4 &amp; " " &amp; HOUR((('À Faire - Récapitulatif'!D7+'À Faire - Récapitulatif'!D9+'À Faire - Récapitulatif'!D10+'À Faire - Récapitulatif'!D12+'À Faire - Récapitulatif'!J13+'À Faire - Récapitulatif'!P22+'À Faire - Récapitulatif'!D27)/C$18)/24-INT((('À Faire - Récapitulatif'!D7+'À Faire - Récapitulatif'!D9+'À Faire - Récapitulatif'!D10+'À Faire - Récapitulatif'!D12+'À Faire - Récapitulatif'!J13+'À Faire - Récapitulatif'!P22+'À Faire - Récapitulatif'!D27)/C$18)/24))&amp;" " &amp;  'Paramètres - Admin'!$D$3 &amp; " " &amp; MINUTE((('À Faire - Récapitulatif'!D7+'À Faire - Récapitulatif'!D9+'À Faire - Récapitulatif'!D10+'À Faire - Récapitulatif'!D12+'À Faire - Récapitulatif'!J13+'À Faire - Récapitulatif'!P22+'À Faire - Récapitulatif'!D27)/C$18)/24-INT((('À Faire - Récapitulatif'!D7+'À Faire - Récapitulatif'!D9+'À Faire - Récapitulatif'!D10+'À Faire - Récapitulatif'!D12+'À Faire - Récapitulatif'!J13+'À Faire - Récapitulatif'!P22+'À Faire - Récapitulatif'!D27)/C$18)/24))&amp;" " &amp;  'Paramètres - Admin'!$D$2,HOUR((('À Faire - Récapitulatif'!D7+'À Faire - Récapitulatif'!D9+'À Faire - Récapitulatif'!D10+'À Faire - Récapitulatif'!D12+'À Faire - Récapitulatif'!J13+'À Faire - Récapitulatif'!P22+'À Faire - Récapitulatif'!D27)/C$18)/24-INT((('À Faire - Récapitulatif'!D7+'À Faire - Récapitulatif'!D9+'À Faire - Récapitulatif'!D10+'À Faire - Récapitulatif'!D12+'À Faire - Récapitulatif'!J13+'À Faire - Récapitulatif'!P22+'À Faire - Récapitulatif'!D27)/C$18)/24))&amp;" " &amp;  'Paramètres - Admin'!$D$3 &amp; " " &amp; MINUTE((('À Faire - Récapitulatif'!D7+'À Faire - Récapitulatif'!D9+'À Faire - Récapitulatif'!D10+'À Faire - Récapitulatif'!D12+'À Faire - Récapitulatif'!J13+'À Faire - Récapitulatif'!P22+'À Faire - Récapitulatif'!D27)/C$18)/24-INT((('À Faire - Récapitulatif'!D7+'À Faire - Récapitulatif'!D9+'À Faire - Récapitulatif'!D10+'À Faire - Récapitulatif'!D12+'À Faire - Récapitulatif'!J13+'À Faire - Récapitulatif'!P22+'À Faire - Récapitulatif'!D27)/C$18)/24))&amp;" " &amp;  'Paramètres - Admin'!$D$2)))))),0)</f>
        <v>0</v>
      </c>
      <c r="D20" s="887">
        <f>IF(D$18&lt;&gt;0,IF($B$2='Paramètres - Admin'!$B$2,TEXT((('À Faire - Récapitulatif'!V13+'À Faire - Récapitulatif'!V27)/D$18)*60*60,"# 0")&amp;" " &amp; 'Paramètres - Admin'!$B$2,IF($B$2='Paramètres - Admin'!$B$3,TEXT((('À Faire - Récapitulatif'!V13+'À Faire - Récapitulatif'!V27)/D$18)*60,"# 0")&amp;" " &amp; 'Paramètres - Admin'!$B$3,IF($B$2='Paramètres - Admin'!$B$4,TEXT((('À Faire - Récapitulatif'!V13+'À Faire - Récapitulatif'!V27)/D$18),"# 0,00")&amp;" " &amp; 'Paramètres - Admin'!$B$4,IF($B$2='Paramètres - Admin'!$B$5,TEXT((('À Faire - Récapitulatif'!V13+'À Faire - Récapitulatif'!V27)/D$18)/24,"# 0,00")&amp;" " &amp; 'Paramètres - Admin'!$B$5,IF($B$2='Paramètres - Admin'!$B$6,TEXT(((('À Faire - Récapitulatif'!V13+'À Faire - Récapitulatif'!V27)/D$18)/24)/30,"# 0,00")&amp;" " &amp; 'Paramètres - Admin'!$B$6,IF((('À Faire - Récapitulatif'!V13+'À Faire - Récapitulatif'!V27)/D$18)/24&gt;=1,INT((('À Faire - Récapitulatif'!V13+'À Faire - Récapitulatif'!V27)/D$18)/24)&amp;" " &amp;  'Paramètres - Admin'!$D$4 &amp; " " &amp; HOUR((('À Faire - Récapitulatif'!V13+'À Faire - Récapitulatif'!V27)/D$18)/24-INT((('À Faire - Récapitulatif'!V13+'À Faire - Récapitulatif'!V27)/D$18)/24))&amp;" " &amp;  'Paramètres - Admin'!$D$3 &amp; " " &amp; MINUTE((('À Faire - Récapitulatif'!V13+'À Faire - Récapitulatif'!V27)/D$18)/24-INT((('À Faire - Récapitulatif'!V13+'À Faire - Récapitulatif'!V27)/D$18)/24))&amp;" " &amp;  'Paramètres - Admin'!$D$2,HOUR((('À Faire - Récapitulatif'!V13+'À Faire - Récapitulatif'!V27)/D$18)/24-INT((('À Faire - Récapitulatif'!V13+'À Faire - Récapitulatif'!V27)/D$18)/24))&amp;" " &amp;  'Paramètres - Admin'!$D$3 &amp; " " &amp; MINUTE((('À Faire - Récapitulatif'!V13+'À Faire - Récapitulatif'!V27)/D$18)/24-INT((('À Faire - Récapitulatif'!V13+'À Faire - Récapitulatif'!V27)/D$18)/24))&amp;" " &amp;  'Paramètres - Admin'!$D$2)))))),0)</f>
        <v>0</v>
      </c>
      <c r="E20" s="152"/>
    </row>
  </sheetData>
  <sheetProtection sheet="1" objects="1" scenarios="1" selectLockedCells="1"/>
  <mergeCells count="1">
    <mergeCell ref="A3:D3"/>
  </mergeCells>
  <conditionalFormatting sqref="B6:D17">
    <cfRule type="expression" dxfId="0" priority="1">
      <formula>$A6&gt;B$5</formula>
    </cfRule>
  </conditionalFormatting>
  <dataValidations count="1">
    <dataValidation type="list" allowBlank="1" showInputMessage="1" showErrorMessage="1" sqref="B2">
      <formula1>Period</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1">
    <tabColor theme="0" tint="-0.499984740745262"/>
  </sheetPr>
  <dimension ref="A1:F61"/>
  <sheetViews>
    <sheetView showGridLines="0" workbookViewId="0">
      <selection activeCell="E3" sqref="E3"/>
    </sheetView>
  </sheetViews>
  <sheetFormatPr baseColWidth="10" defaultColWidth="11.42578125" defaultRowHeight="11.25" x14ac:dyDescent="0.25"/>
  <cols>
    <col min="1" max="2" width="10.7109375" style="464" customWidth="1"/>
    <col min="3" max="3" width="30.7109375" style="572" customWidth="1"/>
    <col min="4" max="4" width="70.7109375" style="572" hidden="1" customWidth="1"/>
    <col min="5" max="5" width="70.7109375" style="572" customWidth="1"/>
    <col min="6" max="6" width="60.85546875" style="464" bestFit="1" customWidth="1"/>
    <col min="7" max="16384" width="11.42578125" style="464"/>
  </cols>
  <sheetData>
    <row r="1" spans="1:6" ht="75.75" customHeight="1" thickBot="1" x14ac:dyDescent="0.3">
      <c r="A1" s="1262" t="s">
        <v>355</v>
      </c>
      <c r="B1" s="1263"/>
      <c r="C1" s="1263"/>
      <c r="D1" s="1263"/>
      <c r="E1" s="1263"/>
      <c r="F1" s="1264"/>
    </row>
    <row r="2" spans="1:6" ht="13.5" thickBot="1" x14ac:dyDescent="0.3">
      <c r="A2" s="555" t="s">
        <v>94</v>
      </c>
      <c r="B2" s="556" t="s">
        <v>165</v>
      </c>
      <c r="C2" s="557" t="s">
        <v>356</v>
      </c>
      <c r="D2" s="558" t="s">
        <v>426</v>
      </c>
      <c r="E2" s="559" t="s">
        <v>95</v>
      </c>
      <c r="F2" s="560" t="s">
        <v>357</v>
      </c>
    </row>
    <row r="3" spans="1:6" ht="33.75" x14ac:dyDescent="0.25">
      <c r="A3" s="561" t="s">
        <v>719</v>
      </c>
      <c r="B3" s="562">
        <v>42189</v>
      </c>
      <c r="C3" s="563" t="str">
        <f>"COC - Cost &amp; Time Calcultator " &amp; A3 &amp; ".xlsx"</f>
        <v>COC - Cost &amp; Time Calcultator V5.xlsx</v>
      </c>
      <c r="D3" s="690"/>
      <c r="E3" s="436" t="s">
        <v>720</v>
      </c>
      <c r="F3" s="564"/>
    </row>
    <row r="4" spans="1:6" ht="33.75" x14ac:dyDescent="0.25">
      <c r="A4" s="561" t="s">
        <v>705</v>
      </c>
      <c r="B4" s="562">
        <v>42175</v>
      </c>
      <c r="C4" s="563" t="str">
        <f>"COC - Cost &amp; Time Calcultator " &amp; A4 &amp; ".xlsx"</f>
        <v>COC - Cost &amp; Time Calcultator V4.17.08.xlsx</v>
      </c>
      <c r="D4" s="690"/>
      <c r="E4" s="436" t="s">
        <v>706</v>
      </c>
      <c r="F4" s="564"/>
    </row>
    <row r="5" spans="1:6" ht="22.5" x14ac:dyDescent="0.25">
      <c r="A5" s="561" t="s">
        <v>682</v>
      </c>
      <c r="B5" s="562">
        <v>42167</v>
      </c>
      <c r="C5" s="563" t="str">
        <f t="shared" ref="C5:C10" si="0">"COC - Cost &amp; Time Calcultator " &amp; A5 &amp; ".xlsx"</f>
        <v>COC - Cost &amp; Time Calcultator V4.17.07.xlsx</v>
      </c>
      <c r="D5" s="690"/>
      <c r="E5" s="436" t="s">
        <v>681</v>
      </c>
      <c r="F5" s="564"/>
    </row>
    <row r="6" spans="1:6" ht="33.75" x14ac:dyDescent="0.25">
      <c r="A6" s="561" t="s">
        <v>676</v>
      </c>
      <c r="B6" s="562">
        <v>42160</v>
      </c>
      <c r="C6" s="563" t="str">
        <f t="shared" si="0"/>
        <v>COC - Cost &amp; Time Calcultator V4.17.06.xlsx</v>
      </c>
      <c r="D6" s="690"/>
      <c r="E6" s="436" t="s">
        <v>675</v>
      </c>
      <c r="F6" s="836"/>
    </row>
    <row r="7" spans="1:6" ht="33.75" x14ac:dyDescent="0.25">
      <c r="A7" s="561" t="s">
        <v>671</v>
      </c>
      <c r="B7" s="562">
        <v>42160</v>
      </c>
      <c r="C7" s="563" t="str">
        <f t="shared" si="0"/>
        <v>COC - Cost &amp; Time Calcultator V4.17.05.xlsx</v>
      </c>
      <c r="D7" s="690"/>
      <c r="E7" s="436" t="s">
        <v>672</v>
      </c>
      <c r="F7" s="836" t="s">
        <v>673</v>
      </c>
    </row>
    <row r="8" spans="1:6" ht="45" x14ac:dyDescent="0.25">
      <c r="A8" s="561" t="s">
        <v>665</v>
      </c>
      <c r="B8" s="562">
        <v>42154</v>
      </c>
      <c r="C8" s="563" t="str">
        <f t="shared" si="0"/>
        <v>COC - Cost &amp; Time Calcultator V4.17.04.xlsx</v>
      </c>
      <c r="D8" s="690"/>
      <c r="E8" s="436" t="s">
        <v>666</v>
      </c>
      <c r="F8" s="836" t="s">
        <v>668</v>
      </c>
    </row>
    <row r="9" spans="1:6" ht="78.75" x14ac:dyDescent="0.25">
      <c r="A9" s="561" t="s">
        <v>654</v>
      </c>
      <c r="B9" s="562">
        <v>42138</v>
      </c>
      <c r="C9" s="563" t="str">
        <f t="shared" si="0"/>
        <v>COC - Cost &amp; Time Calcultator V4.17.03.xlsx</v>
      </c>
      <c r="D9" s="436" t="s">
        <v>657</v>
      </c>
      <c r="E9" s="436" t="s">
        <v>663</v>
      </c>
      <c r="F9" s="564" t="s">
        <v>662</v>
      </c>
    </row>
    <row r="10" spans="1:6" x14ac:dyDescent="0.25">
      <c r="A10" s="561" t="s">
        <v>653</v>
      </c>
      <c r="B10" s="562">
        <v>42124</v>
      </c>
      <c r="C10" s="563" t="str">
        <f t="shared" si="0"/>
        <v>COC - Cost &amp; Time Calcultator V4.17.00.xlsx</v>
      </c>
      <c r="D10" s="690"/>
      <c r="E10" s="664" t="s">
        <v>651</v>
      </c>
      <c r="F10" s="564"/>
    </row>
    <row r="11" spans="1:6" ht="112.5" x14ac:dyDescent="0.25">
      <c r="A11" s="561" t="s">
        <v>640</v>
      </c>
      <c r="B11" s="562">
        <v>41984</v>
      </c>
      <c r="C11" s="563" t="str">
        <f t="shared" ref="C11:C23" si="1">"COC - Cost &amp; Time Calcultator " &amp; A11 &amp; ".xlsx"</f>
        <v>COC - Cost &amp; Time Calcultator V4.16.00.xlsx</v>
      </c>
      <c r="D11" s="690"/>
      <c r="E11" s="436" t="s">
        <v>639</v>
      </c>
      <c r="F11" s="564"/>
    </row>
    <row r="12" spans="1:6" ht="22.5" x14ac:dyDescent="0.25">
      <c r="A12" s="561" t="s">
        <v>641</v>
      </c>
      <c r="B12" s="562">
        <v>41977</v>
      </c>
      <c r="C12" s="563" t="str">
        <f t="shared" si="1"/>
        <v>COC - Cost &amp; Time Calcultator V4.15.00.xlsx</v>
      </c>
      <c r="D12" s="690"/>
      <c r="E12" s="436" t="s">
        <v>642</v>
      </c>
      <c r="F12" s="564"/>
    </row>
    <row r="13" spans="1:6" ht="33.75" x14ac:dyDescent="0.25">
      <c r="A13" s="561" t="s">
        <v>634</v>
      </c>
      <c r="B13" s="562">
        <v>41974</v>
      </c>
      <c r="C13" s="563" t="str">
        <f t="shared" si="1"/>
        <v>COC - Cost &amp; Time Calcultator V4.14.xlsx</v>
      </c>
      <c r="D13" s="690"/>
      <c r="E13" s="436" t="s">
        <v>635</v>
      </c>
      <c r="F13" s="564"/>
    </row>
    <row r="14" spans="1:6" x14ac:dyDescent="0.25">
      <c r="A14" s="561" t="s">
        <v>636</v>
      </c>
      <c r="B14" s="562">
        <v>41974</v>
      </c>
      <c r="C14" s="563" t="str">
        <f t="shared" si="1"/>
        <v>COC - Cost &amp; Time Calcultator V4.13,09.xlsx</v>
      </c>
      <c r="D14" s="690"/>
      <c r="E14" s="436"/>
      <c r="F14" s="564"/>
    </row>
    <row r="15" spans="1:6" ht="33.75" x14ac:dyDescent="0.25">
      <c r="A15" s="561" t="s">
        <v>632</v>
      </c>
      <c r="B15" s="562">
        <v>41973</v>
      </c>
      <c r="C15" s="563" t="str">
        <f t="shared" si="1"/>
        <v>COC - Cost &amp; Time Calcultator V4.13,07.xlsx</v>
      </c>
      <c r="D15" s="690"/>
      <c r="E15" s="436" t="s">
        <v>633</v>
      </c>
      <c r="F15" s="564"/>
    </row>
    <row r="16" spans="1:6" ht="33.75" x14ac:dyDescent="0.25">
      <c r="A16" s="561" t="s">
        <v>631</v>
      </c>
      <c r="B16" s="562">
        <v>41972</v>
      </c>
      <c r="C16" s="563" t="str">
        <f t="shared" si="1"/>
        <v>COC - Cost &amp; Time Calcultator V4.13,06.xlsx</v>
      </c>
      <c r="D16" s="690"/>
      <c r="E16" s="436" t="s">
        <v>630</v>
      </c>
      <c r="F16" s="564"/>
    </row>
    <row r="17" spans="1:6" ht="33.75" x14ac:dyDescent="0.25">
      <c r="A17" s="561" t="s">
        <v>626</v>
      </c>
      <c r="B17" s="562">
        <v>41971</v>
      </c>
      <c r="C17" s="563" t="str">
        <f t="shared" si="1"/>
        <v>COC - Cost &amp; Time Calcultator V4.13,05.xlsx</v>
      </c>
      <c r="D17" s="690"/>
      <c r="E17" s="436" t="s">
        <v>627</v>
      </c>
      <c r="F17" s="564"/>
    </row>
    <row r="18" spans="1:6" ht="22.5" x14ac:dyDescent="0.25">
      <c r="A18" s="561" t="s">
        <v>625</v>
      </c>
      <c r="B18" s="562">
        <v>41969</v>
      </c>
      <c r="C18" s="563" t="str">
        <f t="shared" si="1"/>
        <v>COC - Cost &amp; Time Calcultator V4.13,04.xlsx</v>
      </c>
      <c r="D18" s="690"/>
      <c r="E18" s="436" t="s">
        <v>628</v>
      </c>
      <c r="F18" s="564"/>
    </row>
    <row r="19" spans="1:6" ht="112.5" x14ac:dyDescent="0.25">
      <c r="A19" s="561" t="s">
        <v>624</v>
      </c>
      <c r="B19" s="562">
        <v>41968</v>
      </c>
      <c r="C19" s="563" t="str">
        <f t="shared" si="1"/>
        <v>COC - Cost &amp; Time Calcultator V4.13,03.xlsx</v>
      </c>
      <c r="D19" s="690"/>
      <c r="E19" s="436" t="s">
        <v>629</v>
      </c>
      <c r="F19" s="564"/>
    </row>
    <row r="20" spans="1:6" ht="33.75" x14ac:dyDescent="0.25">
      <c r="A20" s="561" t="s">
        <v>621</v>
      </c>
      <c r="B20" s="562">
        <v>41966</v>
      </c>
      <c r="C20" s="563" t="str">
        <f t="shared" si="1"/>
        <v>COC - Cost &amp; Time Calcultator V4.13,02.xlsx</v>
      </c>
      <c r="D20" s="690"/>
      <c r="E20" s="436" t="s">
        <v>622</v>
      </c>
      <c r="F20" s="836"/>
    </row>
    <row r="21" spans="1:6" ht="22.5" x14ac:dyDescent="0.25">
      <c r="A21" s="561" t="s">
        <v>619</v>
      </c>
      <c r="B21" s="562">
        <v>41966</v>
      </c>
      <c r="C21" s="563" t="str">
        <f t="shared" si="1"/>
        <v>COC - Cost &amp; Time Calcultator V4.13,01.xlsx</v>
      </c>
      <c r="D21" s="690"/>
      <c r="E21" s="436" t="s">
        <v>620</v>
      </c>
      <c r="F21" s="564"/>
    </row>
    <row r="22" spans="1:6" ht="33.75" x14ac:dyDescent="0.25">
      <c r="A22" s="561" t="s">
        <v>617</v>
      </c>
      <c r="B22" s="562">
        <v>41965</v>
      </c>
      <c r="C22" s="563" t="str">
        <f t="shared" si="1"/>
        <v>COC - Cost &amp; Time Calcultator V4.13.xlsx</v>
      </c>
      <c r="D22" s="690"/>
      <c r="E22" s="436" t="s">
        <v>618</v>
      </c>
      <c r="F22" s="564"/>
    </row>
    <row r="23" spans="1:6" ht="22.5" x14ac:dyDescent="0.25">
      <c r="A23" s="561" t="s">
        <v>613</v>
      </c>
      <c r="B23" s="562">
        <v>41960</v>
      </c>
      <c r="C23" s="563" t="str">
        <f t="shared" si="1"/>
        <v>COC - Cost &amp; Time Calcultator V4.12.xlsx</v>
      </c>
      <c r="D23" s="523" t="s">
        <v>614</v>
      </c>
      <c r="E23" s="523" t="s">
        <v>615</v>
      </c>
      <c r="F23" s="564"/>
    </row>
    <row r="24" spans="1:6" ht="22.5" x14ac:dyDescent="0.25">
      <c r="A24" s="561" t="s">
        <v>608</v>
      </c>
      <c r="B24" s="562">
        <v>41958</v>
      </c>
      <c r="C24" s="563" t="str">
        <f t="shared" ref="C24:C29" si="2">"COC - Cost &amp; Time Calcultator " &amp; A24 &amp; ".xlsx"</f>
        <v>COC - Cost &amp; Time Calcultator V4.11,01.xlsx</v>
      </c>
      <c r="D24" s="436" t="s">
        <v>609</v>
      </c>
      <c r="E24" s="436" t="s">
        <v>609</v>
      </c>
      <c r="F24" s="564"/>
    </row>
    <row r="25" spans="1:6" ht="45" x14ac:dyDescent="0.25">
      <c r="A25" s="561" t="s">
        <v>606</v>
      </c>
      <c r="B25" s="562">
        <v>41958</v>
      </c>
      <c r="C25" s="563" t="str">
        <f t="shared" si="2"/>
        <v>COC - Cost &amp; Time Calcultator V4.11.xlsx</v>
      </c>
      <c r="D25" s="436" t="s">
        <v>607</v>
      </c>
      <c r="E25" s="436" t="s">
        <v>607</v>
      </c>
      <c r="F25" s="564"/>
    </row>
    <row r="26" spans="1:6" ht="33.75" x14ac:dyDescent="0.25">
      <c r="A26" s="561" t="s">
        <v>597</v>
      </c>
      <c r="B26" s="562">
        <v>41956</v>
      </c>
      <c r="C26" s="563" t="str">
        <f t="shared" si="2"/>
        <v>COC - Cost &amp; Time Calcultator V4.09.01.xlsx</v>
      </c>
      <c r="D26" s="436" t="s">
        <v>598</v>
      </c>
      <c r="E26" s="436" t="s">
        <v>598</v>
      </c>
      <c r="F26" s="564"/>
    </row>
    <row r="27" spans="1:6" ht="56.25" x14ac:dyDescent="0.25">
      <c r="A27" s="561" t="s">
        <v>594</v>
      </c>
      <c r="B27" s="562">
        <v>41955</v>
      </c>
      <c r="C27" s="563" t="str">
        <f t="shared" si="2"/>
        <v>COC - Cost &amp; Time Calcultator V.4.9.xlsx</v>
      </c>
      <c r="D27" s="436" t="s">
        <v>595</v>
      </c>
      <c r="E27" s="436" t="s">
        <v>595</v>
      </c>
      <c r="F27" s="564"/>
    </row>
    <row r="28" spans="1:6" ht="45" x14ac:dyDescent="0.25">
      <c r="A28" s="561" t="s">
        <v>592</v>
      </c>
      <c r="B28" s="562">
        <v>41955</v>
      </c>
      <c r="C28" s="563" t="str">
        <f t="shared" si="2"/>
        <v>COC - Cost &amp; Time Calcultator V.4.8.xlsx</v>
      </c>
      <c r="D28" s="436" t="s">
        <v>593</v>
      </c>
      <c r="E28" s="436" t="s">
        <v>593</v>
      </c>
      <c r="F28" s="564"/>
    </row>
    <row r="29" spans="1:6" ht="56.25" x14ac:dyDescent="0.25">
      <c r="A29" s="561" t="s">
        <v>591</v>
      </c>
      <c r="B29" s="562">
        <v>41954</v>
      </c>
      <c r="C29" s="563" t="str">
        <f t="shared" si="2"/>
        <v>COC - Cost &amp; Time Calcultator V4.07.02.xlsx</v>
      </c>
      <c r="D29" s="664" t="s">
        <v>590</v>
      </c>
      <c r="E29" s="664" t="s">
        <v>590</v>
      </c>
      <c r="F29" s="836"/>
    </row>
    <row r="30" spans="1:6" ht="33.75" x14ac:dyDescent="0.25">
      <c r="A30" s="561" t="s">
        <v>588</v>
      </c>
      <c r="B30" s="562">
        <v>41953</v>
      </c>
      <c r="C30" s="563" t="str">
        <f>"COC - Calcultator " &amp; A30 &amp; ".xlsm"</f>
        <v>COC - Calcultator V4.07.01.xlsm</v>
      </c>
      <c r="D30" s="664" t="s">
        <v>589</v>
      </c>
      <c r="E30" s="664" t="s">
        <v>589</v>
      </c>
      <c r="F30" s="564"/>
    </row>
    <row r="31" spans="1:6" ht="56.25" x14ac:dyDescent="0.25">
      <c r="A31" s="561" t="s">
        <v>586</v>
      </c>
      <c r="B31" s="562">
        <v>41953</v>
      </c>
      <c r="C31" s="563" t="str">
        <f t="shared" ref="C31:C37" si="3">"COC - Calcultator " &amp; A31 &amp; ".xlsm"</f>
        <v>COC - Calcultator V4.07.xlsm</v>
      </c>
      <c r="D31" s="664" t="s">
        <v>587</v>
      </c>
      <c r="E31" s="664" t="s">
        <v>587</v>
      </c>
      <c r="F31" s="564"/>
    </row>
    <row r="32" spans="1:6" ht="33.75" x14ac:dyDescent="0.25">
      <c r="A32" s="561" t="s">
        <v>583</v>
      </c>
      <c r="B32" s="562">
        <v>41952</v>
      </c>
      <c r="C32" s="563" t="str">
        <f t="shared" si="3"/>
        <v>COC - Calcultator v4.06.xlsm</v>
      </c>
      <c r="D32" s="436" t="s">
        <v>584</v>
      </c>
      <c r="E32" s="436" t="s">
        <v>584</v>
      </c>
      <c r="F32" s="564"/>
    </row>
    <row r="33" spans="1:6" ht="22.5" x14ac:dyDescent="0.25">
      <c r="A33" s="561" t="s">
        <v>580</v>
      </c>
      <c r="B33" s="562">
        <v>41950</v>
      </c>
      <c r="C33" s="563" t="str">
        <f t="shared" si="3"/>
        <v>COC - Calcultator v4.05.xlsm</v>
      </c>
      <c r="D33" s="436" t="s">
        <v>581</v>
      </c>
      <c r="E33" s="436" t="s">
        <v>581</v>
      </c>
      <c r="F33" s="564"/>
    </row>
    <row r="34" spans="1:6" ht="22.5" x14ac:dyDescent="0.25">
      <c r="A34" s="561" t="s">
        <v>579</v>
      </c>
      <c r="B34" s="562">
        <v>41949</v>
      </c>
      <c r="C34" s="563" t="str">
        <f t="shared" si="3"/>
        <v>COC - Calcultator v4.04.xlsm</v>
      </c>
      <c r="D34" s="436" t="s">
        <v>582</v>
      </c>
      <c r="E34" s="436" t="s">
        <v>582</v>
      </c>
      <c r="F34" s="564"/>
    </row>
    <row r="35" spans="1:6" ht="45" x14ac:dyDescent="0.25">
      <c r="A35" s="561" t="s">
        <v>577</v>
      </c>
      <c r="B35" s="562">
        <v>41949</v>
      </c>
      <c r="C35" s="563" t="str">
        <f t="shared" si="3"/>
        <v>COC - Calcultator v4.03.xlsm</v>
      </c>
      <c r="D35" s="436" t="s">
        <v>578</v>
      </c>
      <c r="E35" s="436" t="s">
        <v>578</v>
      </c>
      <c r="F35" s="564"/>
    </row>
    <row r="36" spans="1:6" ht="67.5" x14ac:dyDescent="0.25">
      <c r="A36" s="561" t="s">
        <v>572</v>
      </c>
      <c r="B36" s="562">
        <v>41942</v>
      </c>
      <c r="C36" s="563" t="str">
        <f t="shared" si="3"/>
        <v>COC - Calcultator v4.02.xlsm</v>
      </c>
      <c r="D36" s="436" t="s">
        <v>574</v>
      </c>
      <c r="E36" s="436" t="s">
        <v>574</v>
      </c>
      <c r="F36" s="564"/>
    </row>
    <row r="37" spans="1:6" x14ac:dyDescent="0.25">
      <c r="A37" s="561" t="s">
        <v>571</v>
      </c>
      <c r="B37" s="562">
        <v>41940</v>
      </c>
      <c r="C37" s="563" t="str">
        <f t="shared" si="3"/>
        <v>COC - Calcultator v4.01.xlsm</v>
      </c>
      <c r="D37" s="436" t="s">
        <v>573</v>
      </c>
      <c r="E37" s="436" t="s">
        <v>573</v>
      </c>
      <c r="F37" s="564"/>
    </row>
    <row r="38" spans="1:6" ht="78.75" x14ac:dyDescent="0.25">
      <c r="A38" s="561" t="s">
        <v>570</v>
      </c>
      <c r="B38" s="562">
        <v>41940</v>
      </c>
      <c r="C38" s="563" t="str">
        <f>"COC - Calcultator " &amp; A38 &amp; ".xlsm"</f>
        <v>COC - Calcultator v4.00.xlsm</v>
      </c>
      <c r="D38" s="436" t="s">
        <v>612</v>
      </c>
      <c r="E38" s="436" t="s">
        <v>575</v>
      </c>
      <c r="F38" s="564"/>
    </row>
    <row r="39" spans="1:6" ht="56.25" x14ac:dyDescent="0.25">
      <c r="A39" s="561" t="s">
        <v>553</v>
      </c>
      <c r="B39" s="562">
        <v>41514</v>
      </c>
      <c r="C39" s="563" t="str">
        <f>"COC - Calcultator " &amp; A39 &amp; ".xlsm"</f>
        <v>COC - Calcultator v2.00.xlsm</v>
      </c>
      <c r="D39" s="523" t="s">
        <v>555</v>
      </c>
      <c r="E39" s="436" t="s">
        <v>554</v>
      </c>
      <c r="F39" s="564"/>
    </row>
    <row r="40" spans="1:6" ht="56.25" x14ac:dyDescent="0.25">
      <c r="A40" s="561" t="s">
        <v>546</v>
      </c>
      <c r="B40" s="562">
        <v>41502</v>
      </c>
      <c r="C40" s="563" t="str">
        <f t="shared" ref="C40:C46" si="4">"COC - Calcultator " &amp; A40 &amp; ".xlsm"</f>
        <v>COC - Calcultator v1.91.xlsm</v>
      </c>
      <c r="D40" s="523" t="s">
        <v>548</v>
      </c>
      <c r="E40" s="436" t="s">
        <v>547</v>
      </c>
      <c r="F40" s="836"/>
    </row>
    <row r="41" spans="1:6" ht="22.5" x14ac:dyDescent="0.25">
      <c r="A41" s="561" t="s">
        <v>540</v>
      </c>
      <c r="B41" s="562">
        <v>41498</v>
      </c>
      <c r="C41" s="563" t="str">
        <f t="shared" si="4"/>
        <v>COC - Calcultator v1.90.xlsm</v>
      </c>
      <c r="D41" s="523" t="s">
        <v>544</v>
      </c>
      <c r="E41" s="436" t="s">
        <v>545</v>
      </c>
      <c r="F41" s="564"/>
    </row>
    <row r="42" spans="1:6" ht="33.75" x14ac:dyDescent="0.25">
      <c r="A42" s="561" t="s">
        <v>536</v>
      </c>
      <c r="B42" s="562">
        <v>41481</v>
      </c>
      <c r="C42" s="563" t="str">
        <f t="shared" si="4"/>
        <v>COC - Calcultator v1.82.xlsm</v>
      </c>
      <c r="D42" s="523" t="s">
        <v>549</v>
      </c>
      <c r="E42" s="436" t="s">
        <v>537</v>
      </c>
      <c r="F42" s="564"/>
    </row>
    <row r="43" spans="1:6" ht="33.75" x14ac:dyDescent="0.25">
      <c r="A43" s="561" t="s">
        <v>514</v>
      </c>
      <c r="B43" s="562">
        <v>41479</v>
      </c>
      <c r="C43" s="563" t="str">
        <f t="shared" si="4"/>
        <v>COC - Calcultator v1.81.xlsm</v>
      </c>
      <c r="D43" s="523" t="s">
        <v>517</v>
      </c>
      <c r="E43" s="436" t="s">
        <v>516</v>
      </c>
      <c r="F43" s="564"/>
    </row>
    <row r="44" spans="1:6" x14ac:dyDescent="0.25">
      <c r="A44" s="561" t="s">
        <v>506</v>
      </c>
      <c r="B44" s="562">
        <v>41479</v>
      </c>
      <c r="C44" s="563" t="str">
        <f t="shared" si="4"/>
        <v>COC - Calcultator v1.80.xlsm</v>
      </c>
      <c r="D44" s="523" t="s">
        <v>508</v>
      </c>
      <c r="E44" s="436" t="s">
        <v>507</v>
      </c>
      <c r="F44" s="564"/>
    </row>
    <row r="45" spans="1:6" ht="67.5" x14ac:dyDescent="0.25">
      <c r="A45" s="565" t="s">
        <v>460</v>
      </c>
      <c r="B45" s="566">
        <v>41471</v>
      </c>
      <c r="C45" s="567" t="str">
        <f t="shared" si="4"/>
        <v>COC - Calcultator v1.71.xlsm</v>
      </c>
      <c r="D45" s="435" t="s">
        <v>550</v>
      </c>
      <c r="E45" s="435" t="s">
        <v>461</v>
      </c>
      <c r="F45" s="564"/>
    </row>
    <row r="46" spans="1:6" ht="67.5" x14ac:dyDescent="0.25">
      <c r="A46" s="561" t="s">
        <v>425</v>
      </c>
      <c r="B46" s="562">
        <v>41467</v>
      </c>
      <c r="C46" s="563" t="str">
        <f t="shared" si="4"/>
        <v>COC - Calcultator v1.70.xlsm</v>
      </c>
      <c r="D46" s="436" t="s">
        <v>451</v>
      </c>
      <c r="E46" s="436" t="s">
        <v>450</v>
      </c>
      <c r="F46" s="564"/>
    </row>
    <row r="47" spans="1:6" ht="22.5" x14ac:dyDescent="0.25">
      <c r="A47" s="561" t="s">
        <v>166</v>
      </c>
      <c r="B47" s="562">
        <v>41464</v>
      </c>
      <c r="C47" s="563" t="str">
        <f>"COC - Calcultator " &amp; A47 &amp; ".xlsx"</f>
        <v>COC - Calcultator v1.61.xlsx</v>
      </c>
      <c r="D47" s="436" t="s">
        <v>445</v>
      </c>
      <c r="E47" s="436" t="s">
        <v>361</v>
      </c>
      <c r="F47" s="564"/>
    </row>
    <row r="48" spans="1:6" ht="90" x14ac:dyDescent="0.25">
      <c r="A48" s="561" t="s">
        <v>167</v>
      </c>
      <c r="B48" s="562">
        <v>41463</v>
      </c>
      <c r="C48" s="563" t="str">
        <f>"COC - Calcultator " &amp; A48 &amp; ".xlsx"</f>
        <v>COC - Calcultator v1.60.xlsx</v>
      </c>
      <c r="D48" s="436" t="s">
        <v>439</v>
      </c>
      <c r="E48" s="436" t="s">
        <v>438</v>
      </c>
      <c r="F48" s="564"/>
    </row>
    <row r="49" spans="1:6" ht="78.75" x14ac:dyDescent="0.25">
      <c r="A49" s="561" t="s">
        <v>168</v>
      </c>
      <c r="B49" s="562">
        <v>41457</v>
      </c>
      <c r="C49" s="563" t="str">
        <f>"COC - Calcultator " &amp; A49 &amp; ".xlsx"</f>
        <v>COC - Calcultator v1.50.xlsx</v>
      </c>
      <c r="D49" s="436" t="s">
        <v>446</v>
      </c>
      <c r="E49" s="436" t="s">
        <v>444</v>
      </c>
      <c r="F49" s="564"/>
    </row>
    <row r="50" spans="1:6" x14ac:dyDescent="0.25">
      <c r="A50" s="561" t="s">
        <v>541</v>
      </c>
      <c r="B50" s="562">
        <v>41452</v>
      </c>
      <c r="C50" s="563" t="str">
        <f>"COC - Cost &amp; Time Calcultator " &amp; A50 &amp; ".xlsx"</f>
        <v>COC - Cost &amp; Time Calcultator v1.41 - FR.xlsx</v>
      </c>
      <c r="D50" s="436" t="s">
        <v>543</v>
      </c>
      <c r="E50" s="436" t="s">
        <v>542</v>
      </c>
      <c r="F50" s="564"/>
    </row>
    <row r="51" spans="1:6" ht="33.75" x14ac:dyDescent="0.25">
      <c r="A51" s="561" t="s">
        <v>145</v>
      </c>
      <c r="B51" s="562">
        <v>41452</v>
      </c>
      <c r="C51" s="563" t="str">
        <f>"COC - Cost &amp; Time Calcultator " &amp; A51 &amp; ".xlsx"</f>
        <v>COC - Cost &amp; Time Calcultator v1.41.xlsx</v>
      </c>
      <c r="D51" s="436" t="s">
        <v>441</v>
      </c>
      <c r="E51" s="436" t="s">
        <v>442</v>
      </c>
      <c r="F51" s="564"/>
    </row>
    <row r="52" spans="1:6" ht="78.75" x14ac:dyDescent="0.25">
      <c r="A52" s="561" t="s">
        <v>169</v>
      </c>
      <c r="B52" s="562">
        <v>41452</v>
      </c>
      <c r="C52" s="563" t="str">
        <f>"COC - Cost &amp; Time Calcultator " &amp; A52 &amp; ".xlsx"</f>
        <v>COC - Cost &amp; Time Calcultator v1.40.xlsx</v>
      </c>
      <c r="D52" s="436" t="s">
        <v>551</v>
      </c>
      <c r="E52" s="436" t="s">
        <v>443</v>
      </c>
      <c r="F52" s="564"/>
    </row>
    <row r="53" spans="1:6" ht="45" x14ac:dyDescent="0.25">
      <c r="A53" s="561" t="s">
        <v>144</v>
      </c>
      <c r="B53" s="562">
        <v>41451</v>
      </c>
      <c r="C53" s="563" t="str">
        <f t="shared" ref="C53:C60" si="5">"COC - Cost &amp; Time Calcultator " &amp; A53 &amp; ".xlsx"</f>
        <v>COC - Cost &amp; Time Calcultator v1.31.xlsx</v>
      </c>
      <c r="D53" s="436" t="s">
        <v>435</v>
      </c>
      <c r="E53" s="436" t="s">
        <v>437</v>
      </c>
      <c r="F53" s="564"/>
    </row>
    <row r="54" spans="1:6" ht="67.5" x14ac:dyDescent="0.25">
      <c r="A54" s="561" t="s">
        <v>170</v>
      </c>
      <c r="B54" s="562">
        <v>41450</v>
      </c>
      <c r="C54" s="563" t="str">
        <f>"COC - Cost &amp; Time Calcultator " &amp; A54 &amp; ".xlsx"</f>
        <v>COC - Cost &amp; Time Calcultator v1.30.xlsx</v>
      </c>
      <c r="D54" s="436" t="s">
        <v>552</v>
      </c>
      <c r="E54" s="436" t="s">
        <v>430</v>
      </c>
      <c r="F54" s="564"/>
    </row>
    <row r="55" spans="1:6" x14ac:dyDescent="0.25">
      <c r="A55" s="561" t="s">
        <v>143</v>
      </c>
      <c r="B55" s="562">
        <v>41450</v>
      </c>
      <c r="C55" s="563" t="str">
        <f>"COC - Cost &amp; Time Calcultator " &amp; A55 &amp; ".xlsx"</f>
        <v>COC - Cost &amp; Time Calcultator v1.23.xlsx</v>
      </c>
      <c r="D55" s="436" t="s">
        <v>115</v>
      </c>
      <c r="E55" s="436" t="s">
        <v>431</v>
      </c>
      <c r="F55" s="564"/>
    </row>
    <row r="56" spans="1:6" x14ac:dyDescent="0.25">
      <c r="A56" s="561" t="s">
        <v>142</v>
      </c>
      <c r="B56" s="562">
        <v>41449</v>
      </c>
      <c r="C56" s="563" t="str">
        <f t="shared" si="5"/>
        <v>COC - Cost &amp; Time Calcultator v1.22.xlsx</v>
      </c>
      <c r="D56" s="436" t="s">
        <v>99</v>
      </c>
      <c r="E56" s="436" t="s">
        <v>429</v>
      </c>
      <c r="F56" s="564"/>
    </row>
    <row r="57" spans="1:6" ht="33.75" x14ac:dyDescent="0.25">
      <c r="A57" s="561" t="s">
        <v>141</v>
      </c>
      <c r="B57" s="562">
        <v>41446</v>
      </c>
      <c r="C57" s="563" t="str">
        <f t="shared" si="5"/>
        <v>COC - Cost &amp; Time Calcultator v1.21.xlsx</v>
      </c>
      <c r="D57" s="436" t="s">
        <v>116</v>
      </c>
      <c r="E57" s="436" t="s">
        <v>428</v>
      </c>
      <c r="F57" s="564"/>
    </row>
    <row r="58" spans="1:6" ht="33.75" x14ac:dyDescent="0.25">
      <c r="A58" s="561" t="s">
        <v>171</v>
      </c>
      <c r="B58" s="562">
        <v>41445</v>
      </c>
      <c r="C58" s="563" t="str">
        <f t="shared" si="5"/>
        <v>COC - Cost &amp; Time Calcultator v1.20.xlsx</v>
      </c>
      <c r="D58" s="436" t="s">
        <v>117</v>
      </c>
      <c r="E58" s="436" t="s">
        <v>436</v>
      </c>
      <c r="F58" s="564"/>
    </row>
    <row r="59" spans="1:6" ht="33.75" x14ac:dyDescent="0.25">
      <c r="A59" s="561" t="s">
        <v>172</v>
      </c>
      <c r="B59" s="562">
        <v>41444</v>
      </c>
      <c r="C59" s="563" t="str">
        <f t="shared" si="5"/>
        <v>COC - Cost &amp; Time Calcultator v1.10.xlsx</v>
      </c>
      <c r="D59" s="436" t="s">
        <v>447</v>
      </c>
      <c r="E59" s="436" t="s">
        <v>432</v>
      </c>
      <c r="F59" s="564"/>
    </row>
    <row r="60" spans="1:6" x14ac:dyDescent="0.25">
      <c r="A60" s="561" t="s">
        <v>140</v>
      </c>
      <c r="B60" s="562">
        <v>41443</v>
      </c>
      <c r="C60" s="563" t="str">
        <f t="shared" si="5"/>
        <v>COC - Cost &amp; Time Calcultator v1.01.xlsx</v>
      </c>
      <c r="D60" s="436" t="s">
        <v>434</v>
      </c>
      <c r="E60" s="436" t="s">
        <v>433</v>
      </c>
      <c r="F60" s="564"/>
    </row>
    <row r="61" spans="1:6" ht="12" thickBot="1" x14ac:dyDescent="0.3">
      <c r="A61" s="568" t="s">
        <v>173</v>
      </c>
      <c r="B61" s="569">
        <v>41443</v>
      </c>
      <c r="C61" s="570" t="str">
        <f>"COC - Cost &amp; Time Calcultator " &amp; A61 &amp; ".xlsx"</f>
        <v>COC - Cost &amp; Time Calcultator v1.00.xlsx</v>
      </c>
      <c r="D61" s="571" t="s">
        <v>98</v>
      </c>
      <c r="E61" s="571" t="s">
        <v>427</v>
      </c>
      <c r="F61" s="564"/>
    </row>
  </sheetData>
  <sheetProtection selectLockedCells="1"/>
  <mergeCells count="1">
    <mergeCell ref="A1:F1"/>
  </mergeCells>
  <hyperlinks>
    <hyperlink ref="F8" r:id="rId1"/>
  </hyperlinks>
  <pageMargins left="0.7" right="0.7" top="0.75" bottom="0.75" header="0.3" footer="0.3"/>
  <pageSetup paperSize="9" orientation="portrait" r:id="rId2"/>
  <tableParts count="1">
    <tablePart r:id="rId3"/>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tabColor rgb="FF7030A0"/>
  </sheetPr>
  <dimension ref="A1:AN149"/>
  <sheetViews>
    <sheetView zoomScale="85" zoomScaleNormal="85" workbookViewId="0">
      <pane ySplit="11" topLeftCell="A12" activePane="bottomLeft" state="frozen"/>
      <selection pane="bottomLeft" activeCell="I6" sqref="I6"/>
    </sheetView>
  </sheetViews>
  <sheetFormatPr baseColWidth="10" defaultRowHeight="15" x14ac:dyDescent="0.25"/>
  <cols>
    <col min="1" max="1" width="7.7109375" bestFit="1" customWidth="1"/>
    <col min="2" max="2" width="8.42578125" bestFit="1" customWidth="1"/>
    <col min="3" max="3" width="9.7109375" bestFit="1" customWidth="1"/>
    <col min="4" max="4" width="8.5703125" bestFit="1" customWidth="1"/>
    <col min="5" max="5" width="7.7109375" bestFit="1" customWidth="1"/>
    <col min="6" max="6" width="8.42578125" bestFit="1" customWidth="1"/>
    <col min="7" max="7" width="9.7109375" bestFit="1" customWidth="1"/>
    <col min="8" max="8" width="8.5703125" bestFit="1" customWidth="1"/>
    <col min="9" max="9" width="7.7109375" bestFit="1" customWidth="1"/>
    <col min="10" max="10" width="8.42578125" bestFit="1" customWidth="1"/>
    <col min="11" max="11" width="9.7109375" bestFit="1" customWidth="1"/>
    <col min="12" max="12" width="8.5703125" bestFit="1" customWidth="1"/>
    <col min="13" max="13" width="7.7109375" bestFit="1" customWidth="1"/>
    <col min="14" max="14" width="8.42578125" bestFit="1" customWidth="1"/>
    <col min="15" max="15" width="9.7109375" bestFit="1" customWidth="1"/>
    <col min="16" max="16" width="8.5703125" bestFit="1" customWidth="1"/>
    <col min="17" max="17" width="7.7109375" bestFit="1" customWidth="1"/>
    <col min="18" max="18" width="8.42578125" bestFit="1" customWidth="1"/>
    <col min="19" max="19" width="9.7109375" bestFit="1" customWidth="1"/>
    <col min="20" max="20" width="8.5703125" bestFit="1" customWidth="1"/>
    <col min="21" max="21" width="7.7109375" bestFit="1" customWidth="1"/>
    <col min="22" max="22" width="8.42578125" bestFit="1" customWidth="1"/>
    <col min="23" max="23" width="9.7109375" bestFit="1" customWidth="1"/>
    <col min="24" max="24" width="8.5703125" bestFit="1" customWidth="1"/>
    <col min="25" max="25" width="7.7109375" bestFit="1" customWidth="1"/>
    <col min="26" max="26" width="8.42578125" bestFit="1" customWidth="1"/>
    <col min="27" max="28" width="9.7109375" bestFit="1" customWidth="1"/>
    <col min="29" max="29" width="8.5703125" bestFit="1" customWidth="1"/>
    <col min="30" max="30" width="8.42578125" bestFit="1" customWidth="1"/>
    <col min="31" max="32" width="9.7109375" bestFit="1" customWidth="1"/>
    <col min="33" max="33" width="8.5703125" bestFit="1" customWidth="1"/>
    <col min="34" max="34" width="8.42578125" bestFit="1" customWidth="1"/>
    <col min="35" max="35" width="9.7109375" bestFit="1" customWidth="1"/>
    <col min="36" max="36" width="8.5703125" bestFit="1" customWidth="1"/>
    <col min="37" max="37" width="7.7109375" bestFit="1" customWidth="1"/>
    <col min="38" max="38" width="8.42578125" bestFit="1" customWidth="1"/>
    <col min="39" max="39" width="9.7109375" bestFit="1" customWidth="1"/>
    <col min="40" max="40" width="8.5703125" bestFit="1" customWidth="1"/>
    <col min="41" max="16384" width="11.42578125" style="920"/>
  </cols>
  <sheetData>
    <row r="1" spans="1:40" ht="15.75" thickBot="1" x14ac:dyDescent="0.3">
      <c r="A1" s="911"/>
      <c r="B1" s="911"/>
      <c r="C1" s="911"/>
      <c r="D1" s="911"/>
      <c r="E1" s="911"/>
      <c r="F1" s="911"/>
      <c r="G1" s="911"/>
      <c r="H1" s="911"/>
      <c r="I1" s="911"/>
      <c r="J1" s="911"/>
      <c r="K1" s="911"/>
      <c r="L1" s="911"/>
      <c r="M1" s="911"/>
      <c r="N1" s="911"/>
      <c r="O1" s="911"/>
      <c r="P1" s="911"/>
      <c r="Q1" s="911"/>
      <c r="R1" s="911"/>
      <c r="S1" s="911"/>
      <c r="T1" s="911"/>
      <c r="U1" s="911"/>
      <c r="V1" s="911"/>
      <c r="W1" s="911"/>
      <c r="X1" s="911"/>
      <c r="Y1" s="911"/>
      <c r="Z1" s="911"/>
      <c r="AA1" s="911"/>
      <c r="AB1" s="911"/>
      <c r="AC1" s="911"/>
      <c r="AD1" s="911"/>
      <c r="AE1" s="911"/>
      <c r="AF1" s="911"/>
      <c r="AG1" s="911"/>
      <c r="AH1" s="911"/>
      <c r="AI1" s="911"/>
      <c r="AJ1" s="911"/>
      <c r="AK1" s="911"/>
      <c r="AL1" s="911"/>
      <c r="AM1" s="911"/>
      <c r="AN1" s="911"/>
    </row>
    <row r="2" spans="1:40" ht="15.75" customHeight="1" x14ac:dyDescent="0.25">
      <c r="A2" s="911"/>
      <c r="B2" s="911"/>
      <c r="C2" s="672"/>
      <c r="D2" s="1337" t="s">
        <v>695</v>
      </c>
      <c r="E2" s="1337"/>
      <c r="F2" s="1337"/>
      <c r="G2" s="1337"/>
      <c r="H2" s="1338"/>
      <c r="I2" s="199">
        <f>SUM(VALUE_Spell_Lightning[Total],VALUE_Spell_Healing[Total],VALUE_Spell_Rage[Total],VALUE_Spell_Jump[Total],VALUE_Spell_Freeze[Total])</f>
        <v>9100</v>
      </c>
      <c r="J2" s="911"/>
      <c r="K2" s="911"/>
      <c r="L2" s="911"/>
      <c r="M2" s="911"/>
      <c r="N2" s="911"/>
      <c r="O2" s="911"/>
      <c r="P2" s="911"/>
      <c r="Q2" s="911"/>
      <c r="R2" s="911"/>
      <c r="S2" s="911"/>
      <c r="T2" s="911"/>
      <c r="U2" s="911"/>
      <c r="V2" s="911"/>
      <c r="W2" s="911"/>
      <c r="X2" s="911"/>
      <c r="Y2" s="911"/>
      <c r="Z2" s="911"/>
      <c r="AA2" s="911"/>
      <c r="AB2" s="911"/>
      <c r="AC2" s="911"/>
      <c r="AD2" s="911"/>
      <c r="AE2" s="911"/>
      <c r="AF2" s="911"/>
      <c r="AG2" s="911"/>
      <c r="AH2" s="911"/>
      <c r="AI2" s="911"/>
      <c r="AJ2" s="911"/>
      <c r="AK2" s="911"/>
      <c r="AL2" s="911"/>
      <c r="AM2" s="911"/>
      <c r="AN2" s="941"/>
    </row>
    <row r="3" spans="1:40" ht="15" customHeight="1" thickBot="1" x14ac:dyDescent="0.3">
      <c r="A3" s="911"/>
      <c r="B3" s="911"/>
      <c r="C3" s="672"/>
      <c r="D3" s="1337" t="s">
        <v>699</v>
      </c>
      <c r="E3" s="1337"/>
      <c r="F3" s="1337"/>
      <c r="G3" s="1337"/>
      <c r="H3" s="1338"/>
      <c r="I3" s="200">
        <f>SUM(VALUE_Barbarian[Total],VALUE_Archer[Total],VALUE_Goblin[Total],VALUE_Giant[Total],VALUE_Wall_Breaker[Total],VALUE_Balloon[Total],VALUE_Wizard[Total],VALUE_Healer[Total],VALUE_Dragon[Total],VALUE_PEKKA[Total])</f>
        <v>0</v>
      </c>
      <c r="J3" s="950"/>
      <c r="K3" s="911"/>
      <c r="L3" s="911"/>
      <c r="M3" s="911"/>
      <c r="N3" s="911"/>
      <c r="O3" s="911"/>
      <c r="P3" s="911"/>
      <c r="Q3" s="911"/>
      <c r="R3" s="911"/>
      <c r="S3" s="911"/>
      <c r="T3" s="911"/>
      <c r="U3" s="911"/>
      <c r="V3" s="911"/>
      <c r="W3" s="911"/>
      <c r="X3" s="911"/>
      <c r="Y3" s="911"/>
      <c r="Z3" s="911"/>
      <c r="AA3" s="911"/>
      <c r="AB3" s="911"/>
      <c r="AC3" s="911"/>
      <c r="AD3" s="911"/>
      <c r="AE3" s="911"/>
      <c r="AF3" s="911"/>
      <c r="AG3" s="911"/>
      <c r="AH3" s="911"/>
      <c r="AI3" s="911"/>
      <c r="AJ3" s="911"/>
      <c r="AK3" s="911"/>
      <c r="AL3" s="911"/>
      <c r="AM3" s="911"/>
      <c r="AN3" s="941"/>
    </row>
    <row r="4" spans="1:40" ht="15" customHeight="1" thickBot="1" x14ac:dyDescent="0.3">
      <c r="A4" s="911"/>
      <c r="B4" s="911"/>
      <c r="C4" s="672"/>
      <c r="D4" s="1337" t="s">
        <v>698</v>
      </c>
      <c r="E4" s="1337"/>
      <c r="F4" s="1337"/>
      <c r="G4" s="1337"/>
      <c r="H4" s="1338"/>
      <c r="I4" s="200">
        <f>SUM(VALUE_Minion[Total],VALUE_Hog_Rider[Total],VALUE_Valkyrie[Total],VALUE_Golem[Total],VALUE_Witch[Total],VALUE_Lava_Hound[Total])</f>
        <v>0</v>
      </c>
      <c r="J4" s="950"/>
      <c r="K4" s="1306" t="s">
        <v>703</v>
      </c>
      <c r="L4" s="1308"/>
      <c r="M4" s="911"/>
      <c r="N4" s="911"/>
      <c r="O4" s="911"/>
      <c r="P4" s="911"/>
      <c r="Q4" s="911"/>
      <c r="R4" s="911"/>
      <c r="S4" s="911"/>
      <c r="T4" s="911"/>
      <c r="U4" s="911"/>
      <c r="V4" s="911"/>
      <c r="W4" s="911"/>
      <c r="X4" s="911"/>
      <c r="Y4" s="911"/>
      <c r="Z4" s="911"/>
      <c r="AA4" s="911"/>
      <c r="AB4" s="911"/>
      <c r="AC4" s="911"/>
      <c r="AD4" s="911"/>
      <c r="AE4" s="911"/>
      <c r="AF4" s="911"/>
      <c r="AG4" s="911"/>
      <c r="AH4" s="911"/>
      <c r="AI4" s="911"/>
      <c r="AJ4" s="911"/>
      <c r="AK4" s="911"/>
      <c r="AL4" s="941"/>
      <c r="AM4" s="941"/>
      <c r="AN4" s="941"/>
    </row>
    <row r="5" spans="1:40" ht="15" customHeight="1" thickBot="1" x14ac:dyDescent="0.3">
      <c r="A5" s="911"/>
      <c r="B5" s="911"/>
      <c r="C5" s="672"/>
      <c r="D5" s="1337" t="s">
        <v>684</v>
      </c>
      <c r="E5" s="1337"/>
      <c r="F5" s="1337"/>
      <c r="G5" s="1337"/>
      <c r="H5" s="1338"/>
      <c r="I5" s="200">
        <f>SUM(VALUE_Gold_Mine[Total],VALUE_Dark_Elixir_Drill[Total],VALUE_Gold_Storage[Total],VALUE_Dark_Elixir_Storage[Total],VALUE_Elixir_Collector[Total],VALUE_Elixir_Storage[Total])</f>
        <v>0</v>
      </c>
      <c r="J5" s="950"/>
      <c r="K5" s="1335">
        <f>SUM(I2:I10)</f>
        <v>18200</v>
      </c>
      <c r="L5" s="1336"/>
      <c r="M5" s="911"/>
      <c r="N5" s="911"/>
      <c r="O5" s="911"/>
      <c r="P5" s="911"/>
      <c r="Q5" s="911"/>
      <c r="R5" s="911"/>
      <c r="S5" s="911"/>
      <c r="T5" s="911"/>
      <c r="U5" s="911"/>
      <c r="V5" s="911"/>
      <c r="W5" s="911"/>
      <c r="X5" s="911"/>
      <c r="Y5" s="911"/>
      <c r="Z5" s="911"/>
      <c r="AA5" s="911"/>
      <c r="AB5" s="911"/>
      <c r="AC5" s="911"/>
      <c r="AD5" s="911"/>
      <c r="AE5" s="911"/>
      <c r="AF5" s="911"/>
      <c r="AG5" s="911"/>
      <c r="AH5" s="911"/>
      <c r="AI5" s="911"/>
      <c r="AJ5" s="911"/>
      <c r="AK5" s="911"/>
      <c r="AL5" s="911"/>
      <c r="AM5" s="911"/>
      <c r="AN5" s="941"/>
    </row>
    <row r="6" spans="1:40" ht="15" customHeight="1" x14ac:dyDescent="0.25">
      <c r="A6" s="911"/>
      <c r="B6" s="911"/>
      <c r="C6" s="672"/>
      <c r="D6" s="1337" t="s">
        <v>685</v>
      </c>
      <c r="E6" s="1337"/>
      <c r="F6" s="1337"/>
      <c r="G6" s="1337"/>
      <c r="H6" s="1338"/>
      <c r="I6" s="200">
        <f>SUM(VALUE_Dark_Barrack[Total],VALUE_Barrack[Total],VALUE_Army_Camp[Total],VALUE_Laboratory[Total],VALUE_Spell_Factory[Total])</f>
        <v>0</v>
      </c>
      <c r="J6" s="950"/>
      <c r="K6" s="911"/>
      <c r="L6" s="911"/>
      <c r="M6" s="911"/>
      <c r="N6" s="911"/>
      <c r="O6" s="911"/>
      <c r="P6" s="911"/>
      <c r="Q6" s="911"/>
      <c r="R6" s="911"/>
      <c r="S6" s="911"/>
      <c r="T6" s="911"/>
      <c r="U6" s="911"/>
      <c r="V6" s="911"/>
      <c r="W6" s="911"/>
      <c r="X6" s="911"/>
      <c r="Y6" s="911"/>
      <c r="Z6" s="911"/>
      <c r="AA6" s="911"/>
      <c r="AB6" s="911"/>
      <c r="AC6" s="911"/>
      <c r="AD6" s="911"/>
      <c r="AE6" s="911"/>
      <c r="AF6" s="911"/>
      <c r="AG6" s="911"/>
      <c r="AH6" s="911"/>
      <c r="AI6" s="911"/>
      <c r="AJ6" s="911"/>
      <c r="AK6" s="911"/>
      <c r="AL6" s="911"/>
      <c r="AM6" s="911"/>
      <c r="AN6" s="941"/>
    </row>
    <row r="7" spans="1:40" ht="15" customHeight="1" x14ac:dyDescent="0.25">
      <c r="A7" s="911"/>
      <c r="B7" s="911"/>
      <c r="C7" s="672"/>
      <c r="D7" s="1337" t="s">
        <v>688</v>
      </c>
      <c r="E7" s="1337"/>
      <c r="F7" s="1337"/>
      <c r="G7" s="1337"/>
      <c r="H7" s="1338"/>
      <c r="I7" s="200">
        <f>SUM(VALUE_Clan_Castle[Total],VALUE_Town_Home[Total])</f>
        <v>0</v>
      </c>
      <c r="J7" s="950"/>
      <c r="K7" s="911"/>
      <c r="L7" s="911"/>
      <c r="M7" s="911"/>
      <c r="N7" s="911"/>
      <c r="O7" s="911"/>
      <c r="P7" s="911"/>
      <c r="Q7" s="911"/>
      <c r="R7" s="911"/>
      <c r="S7" s="911"/>
      <c r="T7" s="911"/>
      <c r="U7" s="911"/>
      <c r="V7" s="911"/>
      <c r="W7" s="911"/>
      <c r="X7" s="911"/>
      <c r="Y7" s="911"/>
      <c r="Z7" s="911"/>
      <c r="AA7" s="911"/>
      <c r="AB7" s="911"/>
      <c r="AC7" s="911"/>
      <c r="AD7" s="911"/>
      <c r="AE7" s="911"/>
      <c r="AF7" s="911"/>
      <c r="AG7" s="911"/>
      <c r="AH7" s="911"/>
      <c r="AI7" s="911"/>
      <c r="AJ7" s="911"/>
      <c r="AK7" s="911"/>
      <c r="AL7" s="911"/>
      <c r="AM7" s="911"/>
      <c r="AN7" s="941"/>
    </row>
    <row r="8" spans="1:40" ht="15" customHeight="1" x14ac:dyDescent="0.25">
      <c r="A8" s="911"/>
      <c r="B8" s="911"/>
      <c r="C8" s="672"/>
      <c r="D8" s="1337" t="s">
        <v>686</v>
      </c>
      <c r="E8" s="1337"/>
      <c r="F8" s="1337"/>
      <c r="G8" s="1337"/>
      <c r="H8" s="1338"/>
      <c r="I8" s="200">
        <f>SUM(VALUE_Wall[Total],VALUE_Cannon[Total],VALUE_Archer_Tower[Total],VALUE_Mortar[Total],VALUE_Air_Defense[Total],VALUE_Wizard_Tower[Total],VALUE_Air_Sweeper[Total],VALUE_Hidden_Tesla[Total],VALUE_XBow[Total],VALUE_Inferno_Tower[Total])</f>
        <v>0</v>
      </c>
      <c r="J8" s="950"/>
      <c r="K8" s="911"/>
      <c r="L8" s="911"/>
      <c r="M8" s="911"/>
      <c r="N8" s="911"/>
      <c r="O8" s="911"/>
      <c r="P8" s="911"/>
      <c r="Q8" s="911"/>
      <c r="R8" s="911"/>
      <c r="S8" s="911"/>
      <c r="T8" s="911"/>
      <c r="U8" s="911"/>
      <c r="V8" s="911"/>
      <c r="W8" s="911"/>
      <c r="X8" s="911"/>
      <c r="Y8" s="911"/>
      <c r="Z8" s="911"/>
      <c r="AA8" s="911"/>
      <c r="AB8" s="911"/>
      <c r="AC8" s="911"/>
      <c r="AD8" s="911"/>
      <c r="AE8" s="911"/>
      <c r="AF8" s="911"/>
      <c r="AG8" s="911"/>
      <c r="AH8" s="911"/>
      <c r="AI8" s="911"/>
      <c r="AJ8" s="911"/>
      <c r="AK8" s="911"/>
      <c r="AL8" s="911"/>
      <c r="AM8" s="911"/>
      <c r="AN8" s="941"/>
    </row>
    <row r="9" spans="1:40" ht="15" customHeight="1" x14ac:dyDescent="0.25">
      <c r="A9" s="911"/>
      <c r="B9" s="911"/>
      <c r="C9" s="672"/>
      <c r="D9" s="1337" t="s">
        <v>687</v>
      </c>
      <c r="E9" s="1337"/>
      <c r="F9" s="1337"/>
      <c r="G9" s="1337"/>
      <c r="H9" s="1338"/>
      <c r="I9" s="200">
        <f>SUM(VALUE_Bomb[Total],VALUE_Spring_Trap[Total],VALUE_Giant_Bomb[Total],VALUE_Air_Bomb[Total],VALUE_Seeking_Air_Mine[Total],VALUE_Skeleton_Trap[Total])</f>
        <v>0</v>
      </c>
      <c r="J9" s="950"/>
      <c r="K9" s="911"/>
      <c r="L9" s="911"/>
      <c r="M9" s="911"/>
      <c r="N9" s="911"/>
      <c r="O9" s="911"/>
      <c r="P9" s="911"/>
      <c r="Q9" s="911"/>
      <c r="R9" s="911"/>
      <c r="S9" s="911"/>
      <c r="T9" s="911"/>
      <c r="U9" s="911"/>
      <c r="V9" s="911"/>
      <c r="W9" s="911"/>
      <c r="X9" s="911"/>
      <c r="Y9" s="911"/>
      <c r="Z9" s="911"/>
      <c r="AA9" s="911"/>
      <c r="AB9" s="911"/>
      <c r="AC9" s="911"/>
      <c r="AD9" s="911"/>
      <c r="AE9" s="911"/>
      <c r="AF9" s="911"/>
      <c r="AG9" s="911"/>
      <c r="AH9" s="911"/>
      <c r="AI9" s="911"/>
      <c r="AJ9" s="911"/>
      <c r="AK9" s="911"/>
      <c r="AL9" s="911"/>
      <c r="AM9" s="911"/>
      <c r="AN9" s="941"/>
    </row>
    <row r="10" spans="1:40" ht="15.75" customHeight="1" thickBot="1" x14ac:dyDescent="0.3">
      <c r="A10" s="911"/>
      <c r="B10" s="911"/>
      <c r="C10" s="672"/>
      <c r="D10" s="1337" t="s">
        <v>689</v>
      </c>
      <c r="E10" s="1337"/>
      <c r="F10" s="1337"/>
      <c r="G10" s="1337"/>
      <c r="H10" s="1338"/>
      <c r="I10" s="539">
        <f>SUM(VALUE_Spell_Lightning[Total],VALUE_Spell_Healing[Total],VALUE_Spell_Rage[Total],VALUE_Spell_Jump[Total],VALUE_Spell_Freeze[Total])</f>
        <v>9100</v>
      </c>
      <c r="J10" s="950"/>
      <c r="K10" s="911"/>
      <c r="L10" s="911"/>
      <c r="M10" s="911"/>
      <c r="N10" s="911"/>
      <c r="O10" s="911"/>
      <c r="P10" s="911"/>
      <c r="Q10" s="911"/>
      <c r="R10" s="911"/>
      <c r="S10" s="911"/>
      <c r="T10" s="911"/>
      <c r="U10" s="911"/>
      <c r="V10" s="911"/>
      <c r="W10" s="911"/>
      <c r="X10" s="911"/>
      <c r="Y10" s="911"/>
      <c r="Z10" s="911"/>
      <c r="AA10" s="911"/>
      <c r="AB10" s="911"/>
      <c r="AC10" s="911"/>
      <c r="AD10" s="911"/>
      <c r="AE10" s="911"/>
      <c r="AF10" s="911"/>
      <c r="AG10" s="911"/>
      <c r="AH10" s="911"/>
      <c r="AI10" s="911"/>
      <c r="AJ10" s="911"/>
      <c r="AK10" s="911"/>
      <c r="AL10" s="911"/>
      <c r="AM10" s="911"/>
      <c r="AN10" s="941"/>
    </row>
    <row r="11" spans="1:40" ht="15.75" thickBot="1" x14ac:dyDescent="0.3">
      <c r="A11" s="911"/>
      <c r="B11" s="911"/>
      <c r="C11" s="911"/>
      <c r="D11" s="911"/>
      <c r="E11" s="911"/>
      <c r="F11" s="911"/>
      <c r="G11" s="911"/>
      <c r="H11" s="911"/>
      <c r="I11" s="911"/>
      <c r="J11" s="911"/>
      <c r="K11" s="911"/>
      <c r="L11" s="911"/>
      <c r="M11" s="911"/>
      <c r="N11" s="911"/>
      <c r="O11" s="911"/>
      <c r="P11" s="911"/>
      <c r="Q11" s="911"/>
      <c r="R11" s="911"/>
      <c r="S11" s="911"/>
      <c r="T11" s="911"/>
      <c r="U11" s="911"/>
      <c r="V11" s="911"/>
      <c r="W11" s="911"/>
      <c r="X11" s="911"/>
      <c r="Y11" s="911"/>
      <c r="Z11" s="911"/>
      <c r="AA11" s="911"/>
      <c r="AB11" s="911"/>
      <c r="AC11" s="911"/>
      <c r="AD11" s="911"/>
      <c r="AE11" s="911"/>
      <c r="AF11" s="911"/>
      <c r="AG11" s="911"/>
      <c r="AH11" s="911"/>
      <c r="AI11" s="911"/>
      <c r="AJ11" s="911"/>
      <c r="AK11" s="911"/>
      <c r="AL11" s="911"/>
      <c r="AM11" s="911"/>
      <c r="AN11" s="911"/>
    </row>
    <row r="12" spans="1:40" ht="19.5" thickBot="1" x14ac:dyDescent="0.3">
      <c r="A12" s="1262" t="s">
        <v>695</v>
      </c>
      <c r="B12" s="1263"/>
      <c r="C12" s="1263"/>
      <c r="D12" s="1263"/>
      <c r="E12" s="1263"/>
      <c r="F12" s="1263"/>
      <c r="G12" s="1263"/>
      <c r="H12" s="1263"/>
      <c r="I12" s="1263"/>
      <c r="J12" s="1263"/>
      <c r="K12" s="1263"/>
      <c r="L12" s="1263"/>
      <c r="M12" s="1263"/>
      <c r="N12" s="1263"/>
      <c r="O12" s="1263"/>
      <c r="P12" s="1263"/>
      <c r="Q12" s="1263"/>
      <c r="R12" s="1263"/>
      <c r="S12" s="1263"/>
      <c r="T12" s="1264"/>
      <c r="U12" s="177"/>
      <c r="V12" s="177"/>
      <c r="W12" s="177"/>
      <c r="X12" s="177"/>
      <c r="Y12" s="177"/>
      <c r="Z12" s="177"/>
      <c r="AA12" s="177"/>
      <c r="AB12" s="177"/>
      <c r="AC12" s="177"/>
      <c r="AD12" s="177"/>
      <c r="AE12" s="177"/>
      <c r="AF12" s="177"/>
      <c r="AG12" s="177"/>
      <c r="AH12" s="177"/>
      <c r="AI12" s="177"/>
      <c r="AJ12" s="177"/>
      <c r="AK12" s="177"/>
      <c r="AL12" s="177"/>
      <c r="AM12" s="177"/>
      <c r="AN12" s="177"/>
    </row>
    <row r="13" spans="1:40" ht="15.75" thickBot="1" x14ac:dyDescent="0.3">
      <c r="A13" s="1306" t="s">
        <v>190</v>
      </c>
      <c r="B13" s="1307"/>
      <c r="C13" s="1307"/>
      <c r="D13" s="1308"/>
      <c r="E13" s="1306" t="s">
        <v>191</v>
      </c>
      <c r="F13" s="1307"/>
      <c r="G13" s="1307"/>
      <c r="H13" s="1308"/>
      <c r="I13" s="1306" t="s">
        <v>192</v>
      </c>
      <c r="J13" s="1307"/>
      <c r="K13" s="1307"/>
      <c r="L13" s="1308"/>
      <c r="M13" s="1306" t="s">
        <v>193</v>
      </c>
      <c r="N13" s="1307"/>
      <c r="O13" s="1307"/>
      <c r="P13" s="1308"/>
      <c r="Q13" s="1306" t="s">
        <v>194</v>
      </c>
      <c r="R13" s="1307"/>
      <c r="S13" s="1307"/>
      <c r="T13" s="1308"/>
      <c r="U13" s="177"/>
      <c r="V13" s="177"/>
      <c r="W13" s="177"/>
      <c r="X13" s="177"/>
      <c r="Y13" s="177"/>
      <c r="Z13" s="177"/>
      <c r="AA13" s="177"/>
      <c r="AB13" s="177"/>
      <c r="AC13" s="177"/>
      <c r="AD13" s="177"/>
      <c r="AE13" s="177"/>
      <c r="AF13" s="177"/>
      <c r="AG13" s="177"/>
      <c r="AH13" s="177"/>
      <c r="AI13" s="177"/>
      <c r="AJ13" s="177"/>
      <c r="AK13" s="177"/>
      <c r="AL13" s="177"/>
      <c r="AM13" s="177"/>
      <c r="AN13" s="177"/>
    </row>
    <row r="14" spans="1:40" ht="15.75" thickBot="1" x14ac:dyDescent="0.3">
      <c r="A14" s="202" t="s">
        <v>17</v>
      </c>
      <c r="B14" s="541" t="s">
        <v>702</v>
      </c>
      <c r="C14" s="542" t="s">
        <v>683</v>
      </c>
      <c r="D14" s="543" t="s">
        <v>31</v>
      </c>
      <c r="E14" s="202" t="s">
        <v>17</v>
      </c>
      <c r="F14" s="541" t="s">
        <v>702</v>
      </c>
      <c r="G14" s="542" t="s">
        <v>683</v>
      </c>
      <c r="H14" s="543" t="s">
        <v>31</v>
      </c>
      <c r="I14" s="202" t="s">
        <v>17</v>
      </c>
      <c r="J14" s="541" t="s">
        <v>702</v>
      </c>
      <c r="K14" s="542" t="s">
        <v>683</v>
      </c>
      <c r="L14" s="543" t="s">
        <v>31</v>
      </c>
      <c r="M14" s="202" t="s">
        <v>17</v>
      </c>
      <c r="N14" s="541" t="s">
        <v>702</v>
      </c>
      <c r="O14" s="542" t="s">
        <v>683</v>
      </c>
      <c r="P14" s="543" t="s">
        <v>31</v>
      </c>
      <c r="Q14" s="202" t="s">
        <v>17</v>
      </c>
      <c r="R14" s="541" t="s">
        <v>702</v>
      </c>
      <c r="S14" s="542" t="s">
        <v>683</v>
      </c>
      <c r="T14" s="543" t="s">
        <v>31</v>
      </c>
      <c r="U14" s="177"/>
      <c r="V14" s="177"/>
      <c r="W14" s="177"/>
      <c r="X14" s="177"/>
      <c r="Y14" s="177"/>
      <c r="Z14" s="177"/>
      <c r="AA14" s="177"/>
      <c r="AB14" s="177"/>
      <c r="AC14" s="177"/>
      <c r="AD14" s="177"/>
      <c r="AE14" s="177"/>
      <c r="AF14" s="177"/>
      <c r="AG14" s="177"/>
      <c r="AH14" s="177"/>
      <c r="AI14" s="177"/>
      <c r="AJ14" s="177"/>
      <c r="AK14" s="177"/>
      <c r="AL14" s="177"/>
      <c r="AM14" s="177"/>
      <c r="AN14" s="177"/>
    </row>
    <row r="15" spans="1:40" x14ac:dyDescent="0.25">
      <c r="A15" s="903">
        <v>1</v>
      </c>
      <c r="B15" s="776">
        <f>Paramètres!AG6</f>
        <v>0</v>
      </c>
      <c r="C15" s="913">
        <v>100</v>
      </c>
      <c r="D15" s="778">
        <f>VALUE_Spell_Lightning[[#This Row],[Valeur]]*VALUE_Spell_Lightning[[#This Row],[LVL]]</f>
        <v>100</v>
      </c>
      <c r="E15" s="903">
        <v>1</v>
      </c>
      <c r="F15" s="776">
        <f>Paramètres!AH6</f>
        <v>0</v>
      </c>
      <c r="G15" s="913">
        <v>200</v>
      </c>
      <c r="H15" s="778">
        <f>VALUE_Spell_Healing[[#This Row],[Valeur]]*VALUE_Spell_Healing[[#This Row],[Rang]]</f>
        <v>0</v>
      </c>
      <c r="I15" s="903">
        <v>1</v>
      </c>
      <c r="J15" s="776">
        <f>Paramètres!AI6</f>
        <v>0</v>
      </c>
      <c r="K15" s="913">
        <v>100</v>
      </c>
      <c r="L15" s="778">
        <f>VALUE_Spell_Rage[[#This Row],[Valeur]]*VALUE_Spell_Rage[[#This Row],[Rang]]</f>
        <v>0</v>
      </c>
      <c r="M15" s="903">
        <v>1</v>
      </c>
      <c r="N15" s="776">
        <f>Paramètres!AJ6</f>
        <v>0</v>
      </c>
      <c r="O15" s="913">
        <v>100</v>
      </c>
      <c r="P15" s="778">
        <f>VALUE_Spell_Jump[[#This Row],[Valeur]]*VALUE_Spell_Jump[[#This Row],[Rang]]</f>
        <v>0</v>
      </c>
      <c r="Q15" s="903">
        <v>1</v>
      </c>
      <c r="R15" s="776">
        <f>Paramètres!AK6</f>
        <v>0</v>
      </c>
      <c r="S15" s="913">
        <v>1000</v>
      </c>
      <c r="T15" s="199">
        <f>VALUE_Spell_Freeze[[#This Row],[Valeur]]*VALUE_Spell_Freeze[[#This Row],[Rang]]</f>
        <v>0</v>
      </c>
      <c r="U15" s="177"/>
      <c r="V15" s="177"/>
      <c r="W15" s="177"/>
      <c r="X15" s="177"/>
      <c r="Y15" s="177"/>
      <c r="Z15" s="177"/>
      <c r="AA15" s="177"/>
      <c r="AB15" s="177"/>
      <c r="AC15" s="177"/>
      <c r="AD15" s="177"/>
      <c r="AE15" s="177"/>
      <c r="AF15" s="177"/>
      <c r="AG15" s="177"/>
      <c r="AH15" s="177"/>
      <c r="AI15" s="177"/>
      <c r="AJ15" s="177"/>
      <c r="AK15" s="177"/>
      <c r="AL15" s="177"/>
      <c r="AM15" s="177"/>
      <c r="AN15" s="177"/>
    </row>
    <row r="16" spans="1:40" x14ac:dyDescent="0.25">
      <c r="A16" s="561">
        <v>2</v>
      </c>
      <c r="B16" s="775">
        <f>Paramètres!AG7</f>
        <v>0</v>
      </c>
      <c r="C16" s="912">
        <v>200</v>
      </c>
      <c r="D16" s="194">
        <f>VALUE_Spell_Lightning[[#This Row],[Valeur]]*VALUE_Spell_Lightning[[#This Row],[LVL]]</f>
        <v>400</v>
      </c>
      <c r="E16" s="561">
        <v>2</v>
      </c>
      <c r="F16" s="775">
        <f>Paramètres!AH7</f>
        <v>0</v>
      </c>
      <c r="G16" s="912">
        <v>400</v>
      </c>
      <c r="H16" s="194">
        <f>VALUE_Spell_Healing[[#This Row],[Valeur]]*VALUE_Spell_Healing[[#This Row],[Rang]]</f>
        <v>0</v>
      </c>
      <c r="I16" s="561">
        <v>2</v>
      </c>
      <c r="J16" s="775">
        <f>Paramètres!AI7</f>
        <v>0</v>
      </c>
      <c r="K16" s="912">
        <v>200</v>
      </c>
      <c r="L16" s="194">
        <f>VALUE_Spell_Rage[[#This Row],[Valeur]]*VALUE_Spell_Rage[[#This Row],[Rang]]</f>
        <v>0</v>
      </c>
      <c r="M16" s="561">
        <v>2</v>
      </c>
      <c r="N16" s="775">
        <f>Paramètres!AJ7</f>
        <v>0</v>
      </c>
      <c r="O16" s="912">
        <v>200</v>
      </c>
      <c r="P16" s="194">
        <f>VALUE_Spell_Jump[[#This Row],[Valeur]]*VALUE_Spell_Jump[[#This Row],[Rang]]</f>
        <v>0</v>
      </c>
      <c r="Q16" s="561">
        <v>2</v>
      </c>
      <c r="R16" s="775">
        <f>Paramètres!AK7</f>
        <v>0</v>
      </c>
      <c r="S16" s="912">
        <v>2000</v>
      </c>
      <c r="T16" s="200">
        <f>VALUE_Spell_Freeze[[#This Row],[Valeur]]*VALUE_Spell_Freeze[[#This Row],[Rang]]</f>
        <v>0</v>
      </c>
      <c r="U16" s="177"/>
      <c r="V16" s="177"/>
      <c r="W16" s="177"/>
      <c r="X16" s="177"/>
      <c r="Y16" s="177"/>
      <c r="Z16" s="177"/>
      <c r="AA16" s="177"/>
      <c r="AB16" s="177"/>
      <c r="AC16" s="177"/>
      <c r="AD16" s="177"/>
      <c r="AE16" s="177"/>
      <c r="AF16" s="177"/>
      <c r="AG16" s="177"/>
      <c r="AH16" s="177"/>
      <c r="AI16" s="177"/>
      <c r="AJ16" s="177"/>
      <c r="AK16" s="177"/>
      <c r="AL16" s="177"/>
      <c r="AM16" s="177"/>
      <c r="AN16" s="177"/>
    </row>
    <row r="17" spans="1:40" ht="15.75" thickBot="1" x14ac:dyDescent="0.3">
      <c r="A17" s="561">
        <v>3</v>
      </c>
      <c r="B17" s="775">
        <f>Paramètres!AG8</f>
        <v>0</v>
      </c>
      <c r="C17" s="912">
        <v>300</v>
      </c>
      <c r="D17" s="194">
        <f>VALUE_Spell_Lightning[[#This Row],[Valeur]]*VALUE_Spell_Lightning[[#This Row],[LVL]]</f>
        <v>900</v>
      </c>
      <c r="E17" s="561">
        <v>3</v>
      </c>
      <c r="F17" s="775">
        <f>Paramètres!AH8</f>
        <v>0</v>
      </c>
      <c r="G17" s="912">
        <v>600</v>
      </c>
      <c r="H17" s="194">
        <f>VALUE_Spell_Healing[[#This Row],[Valeur]]*VALUE_Spell_Healing[[#This Row],[Rang]]</f>
        <v>0</v>
      </c>
      <c r="I17" s="561">
        <v>3</v>
      </c>
      <c r="J17" s="775">
        <f>Paramètres!AI8</f>
        <v>0</v>
      </c>
      <c r="K17" s="912">
        <v>300</v>
      </c>
      <c r="L17" s="194">
        <f>VALUE_Spell_Rage[[#This Row],[Valeur]]*VALUE_Spell_Rage[[#This Row],[Rang]]</f>
        <v>0</v>
      </c>
      <c r="M17" s="568">
        <v>3</v>
      </c>
      <c r="N17" s="777">
        <f>Paramètres!AJ8</f>
        <v>0</v>
      </c>
      <c r="O17" s="914">
        <v>300</v>
      </c>
      <c r="P17" s="779">
        <f>VALUE_Spell_Jump[[#This Row],[Valeur]]*VALUE_Spell_Jump[[#This Row],[Rang]]</f>
        <v>0</v>
      </c>
      <c r="Q17" s="561">
        <v>3</v>
      </c>
      <c r="R17" s="775">
        <f>Paramètres!AK8</f>
        <v>0</v>
      </c>
      <c r="S17" s="912">
        <v>3000</v>
      </c>
      <c r="T17" s="200">
        <f>VALUE_Spell_Freeze[[#This Row],[Valeur]]*VALUE_Spell_Freeze[[#This Row],[Rang]]</f>
        <v>0</v>
      </c>
      <c r="U17" s="177"/>
      <c r="V17" s="177"/>
      <c r="W17" s="177"/>
      <c r="X17" s="177"/>
      <c r="Y17" s="177"/>
      <c r="Z17" s="177"/>
      <c r="AA17" s="177"/>
      <c r="AB17" s="177"/>
      <c r="AC17" s="177"/>
      <c r="AD17" s="177"/>
      <c r="AE17" s="177"/>
      <c r="AF17" s="177"/>
      <c r="AG17" s="177"/>
      <c r="AH17" s="177"/>
      <c r="AI17" s="177"/>
      <c r="AJ17" s="177"/>
      <c r="AK17" s="177"/>
      <c r="AL17" s="177"/>
      <c r="AM17" s="177"/>
      <c r="AN17" s="177"/>
    </row>
    <row r="18" spans="1:40" x14ac:dyDescent="0.25">
      <c r="A18" s="561">
        <v>4</v>
      </c>
      <c r="B18" s="775">
        <f>Paramètres!AG9</f>
        <v>0</v>
      </c>
      <c r="C18" s="912">
        <v>400</v>
      </c>
      <c r="D18" s="194">
        <f>VALUE_Spell_Lightning[[#This Row],[Valeur]]*VALUE_Spell_Lightning[[#This Row],[LVL]]</f>
        <v>1600</v>
      </c>
      <c r="E18" s="561">
        <v>4</v>
      </c>
      <c r="F18" s="775">
        <f>Paramètres!AH9</f>
        <v>0</v>
      </c>
      <c r="G18" s="912">
        <v>800</v>
      </c>
      <c r="H18" s="194">
        <f>VALUE_Spell_Healing[[#This Row],[Valeur]]*VALUE_Spell_Healing[[#This Row],[Rang]]</f>
        <v>0</v>
      </c>
      <c r="I18" s="561">
        <v>4</v>
      </c>
      <c r="J18" s="775">
        <f>Paramètres!AI9</f>
        <v>0</v>
      </c>
      <c r="K18" s="912">
        <v>400</v>
      </c>
      <c r="L18" s="200">
        <f>VALUE_Spell_Rage[[#This Row],[Valeur]]*VALUE_Spell_Rage[[#This Row],[Rang]]</f>
        <v>0</v>
      </c>
      <c r="M18" s="177"/>
      <c r="N18" s="177"/>
      <c r="O18" s="177"/>
      <c r="P18" s="177"/>
      <c r="Q18" s="561">
        <v>4</v>
      </c>
      <c r="R18" s="775">
        <f>Paramètres!AK9</f>
        <v>0</v>
      </c>
      <c r="S18" s="912">
        <v>4000</v>
      </c>
      <c r="T18" s="200">
        <f>VALUE_Spell_Freeze[[#This Row],[Valeur]]*VALUE_Spell_Freeze[[#This Row],[Rang]]</f>
        <v>0</v>
      </c>
      <c r="U18" s="177"/>
      <c r="V18" s="177"/>
      <c r="W18" s="177"/>
      <c r="X18" s="177"/>
      <c r="Y18" s="177"/>
      <c r="Z18" s="177"/>
      <c r="AA18" s="177"/>
      <c r="AB18" s="177"/>
      <c r="AC18" s="177"/>
      <c r="AD18" s="177"/>
      <c r="AE18" s="177"/>
      <c r="AF18" s="177"/>
      <c r="AG18" s="177"/>
      <c r="AH18" s="177"/>
      <c r="AI18" s="177"/>
      <c r="AJ18" s="177"/>
      <c r="AK18" s="177"/>
      <c r="AL18" s="177"/>
      <c r="AM18" s="177"/>
      <c r="AN18" s="177"/>
    </row>
    <row r="19" spans="1:40" ht="15.75" thickBot="1" x14ac:dyDescent="0.3">
      <c r="A19" s="561">
        <v>5</v>
      </c>
      <c r="B19" s="775">
        <f>Paramètres!AG10</f>
        <v>0</v>
      </c>
      <c r="C19" s="912">
        <v>500</v>
      </c>
      <c r="D19" s="194">
        <f>VALUE_Spell_Lightning[[#This Row],[Valeur]]*VALUE_Spell_Lightning[[#This Row],[LVL]]</f>
        <v>2500</v>
      </c>
      <c r="E19" s="561">
        <v>5</v>
      </c>
      <c r="F19" s="775">
        <f>Paramètres!AH10</f>
        <v>0</v>
      </c>
      <c r="G19" s="912">
        <v>1000</v>
      </c>
      <c r="H19" s="194">
        <f>VALUE_Spell_Healing[[#This Row],[Valeur]]*VALUE_Spell_Healing[[#This Row],[Rang]]</f>
        <v>0</v>
      </c>
      <c r="I19" s="568">
        <v>5</v>
      </c>
      <c r="J19" s="777">
        <f>Paramètres!AI10</f>
        <v>0</v>
      </c>
      <c r="K19" s="914">
        <v>500</v>
      </c>
      <c r="L19" s="539">
        <f>VALUE_Spell_Rage[[#This Row],[Valeur]]*VALUE_Spell_Rage[[#This Row],[Rang]]</f>
        <v>0</v>
      </c>
      <c r="M19" s="177"/>
      <c r="N19" s="177"/>
      <c r="O19" s="177"/>
      <c r="P19" s="177"/>
      <c r="Q19" s="568">
        <v>5</v>
      </c>
      <c r="R19" s="777">
        <f>Paramètres!AK10</f>
        <v>0</v>
      </c>
      <c r="S19" s="914">
        <v>5000</v>
      </c>
      <c r="T19" s="539">
        <f>VALUE_Spell_Freeze[[#This Row],[Valeur]]*VALUE_Spell_Freeze[[#This Row],[Rang]]</f>
        <v>0</v>
      </c>
      <c r="U19" s="177"/>
      <c r="V19" s="177"/>
      <c r="W19" s="177"/>
      <c r="X19" s="177"/>
      <c r="Y19" s="177"/>
      <c r="Z19" s="177"/>
      <c r="AA19" s="177"/>
      <c r="AB19" s="177"/>
      <c r="AC19" s="177"/>
      <c r="AD19" s="177"/>
      <c r="AE19" s="177"/>
      <c r="AF19" s="177"/>
      <c r="AG19" s="177"/>
      <c r="AH19" s="177"/>
      <c r="AI19" s="177"/>
      <c r="AJ19" s="177"/>
      <c r="AK19" s="177"/>
      <c r="AL19" s="177"/>
      <c r="AM19" s="177"/>
      <c r="AN19" s="177"/>
    </row>
    <row r="20" spans="1:40" ht="15.75" thickBot="1" x14ac:dyDescent="0.3">
      <c r="A20" s="568">
        <v>6</v>
      </c>
      <c r="B20" s="777">
        <f>Paramètres!AG11</f>
        <v>0</v>
      </c>
      <c r="C20" s="914">
        <v>600</v>
      </c>
      <c r="D20" s="779">
        <f>VALUE_Spell_Lightning[[#This Row],[Valeur]]*VALUE_Spell_Lightning[[#This Row],[LVL]]</f>
        <v>3600</v>
      </c>
      <c r="E20" s="568">
        <v>6</v>
      </c>
      <c r="F20" s="777">
        <f>Paramètres!AH11</f>
        <v>0</v>
      </c>
      <c r="G20" s="914">
        <v>1200</v>
      </c>
      <c r="H20" s="539">
        <f>VALUE_Spell_Healing[[#This Row],[Valeur]]*VALUE_Spell_Healing[[#This Row],[Rang]]</f>
        <v>0</v>
      </c>
      <c r="I20" s="177"/>
      <c r="J20" s="177"/>
      <c r="K20" s="177"/>
      <c r="L20" s="177"/>
      <c r="M20" s="177"/>
      <c r="N20" s="177"/>
      <c r="O20" s="177"/>
      <c r="P20" s="177"/>
      <c r="Q20" s="177"/>
      <c r="R20" s="177"/>
      <c r="S20" s="177"/>
      <c r="T20" s="177"/>
      <c r="U20" s="177"/>
      <c r="V20" s="177"/>
      <c r="W20" s="177"/>
      <c r="X20" s="177"/>
      <c r="Y20" s="177"/>
      <c r="Z20" s="177"/>
      <c r="AA20" s="177"/>
      <c r="AB20" s="177"/>
      <c r="AC20" s="177"/>
      <c r="AD20" s="177"/>
      <c r="AE20" s="177"/>
      <c r="AF20" s="177"/>
      <c r="AG20" s="177"/>
      <c r="AH20" s="177"/>
      <c r="AI20" s="177"/>
      <c r="AJ20" s="177"/>
      <c r="AK20" s="177"/>
      <c r="AL20" s="177"/>
      <c r="AM20" s="177"/>
      <c r="AN20" s="177"/>
    </row>
    <row r="21" spans="1:40" x14ac:dyDescent="0.25">
      <c r="A21" s="177"/>
      <c r="B21" s="177"/>
      <c r="C21" s="177"/>
      <c r="D21" s="177"/>
      <c r="E21" s="177"/>
      <c r="F21" s="177"/>
      <c r="G21" s="177"/>
      <c r="H21" s="177"/>
      <c r="I21" s="177"/>
      <c r="J21" s="177"/>
      <c r="K21" s="177"/>
      <c r="L21" s="177"/>
      <c r="M21" s="177"/>
      <c r="N21" s="177"/>
      <c r="O21" s="177"/>
      <c r="P21" s="177"/>
      <c r="Q21" s="177"/>
      <c r="R21" s="177"/>
      <c r="S21" s="177"/>
      <c r="T21" s="177"/>
      <c r="U21" s="177"/>
      <c r="V21" s="177"/>
      <c r="W21" s="177"/>
      <c r="X21" s="177"/>
      <c r="Y21" s="177"/>
      <c r="Z21" s="177"/>
      <c r="AA21" s="177"/>
      <c r="AB21" s="177"/>
      <c r="AC21" s="177"/>
      <c r="AD21" s="177"/>
      <c r="AE21" s="177"/>
      <c r="AF21" s="177"/>
      <c r="AG21" s="177"/>
      <c r="AH21" s="177"/>
      <c r="AI21" s="177"/>
      <c r="AJ21" s="177"/>
      <c r="AK21" s="177"/>
      <c r="AL21" s="177"/>
      <c r="AM21" s="177"/>
      <c r="AN21" s="177"/>
    </row>
    <row r="22" spans="1:40" ht="15.75" thickBot="1" x14ac:dyDescent="0.3">
      <c r="A22" s="177"/>
      <c r="B22" s="177"/>
      <c r="C22" s="177"/>
      <c r="D22" s="177"/>
      <c r="E22" s="177"/>
      <c r="F22" s="177"/>
      <c r="G22" s="177"/>
      <c r="H22" s="177"/>
      <c r="I22" s="177"/>
      <c r="J22" s="177"/>
      <c r="K22" s="177"/>
      <c r="L22" s="177"/>
      <c r="M22" s="177"/>
      <c r="N22" s="177"/>
      <c r="O22" s="177"/>
      <c r="P22" s="177"/>
      <c r="Q22" s="177"/>
      <c r="R22" s="177"/>
      <c r="S22" s="177"/>
      <c r="T22" s="177"/>
      <c r="U22" s="177"/>
      <c r="V22" s="177"/>
      <c r="W22" s="177"/>
      <c r="X22" s="177"/>
      <c r="Y22" s="177"/>
      <c r="Z22" s="177"/>
      <c r="AA22" s="177"/>
      <c r="AB22" s="177"/>
      <c r="AC22" s="177"/>
      <c r="AD22" s="177"/>
      <c r="AE22" s="177"/>
      <c r="AF22" s="177"/>
      <c r="AG22" s="177"/>
      <c r="AH22" s="177"/>
      <c r="AI22" s="177"/>
      <c r="AJ22" s="177"/>
      <c r="AK22" s="177"/>
      <c r="AL22" s="177"/>
      <c r="AM22" s="177"/>
      <c r="AN22" s="177"/>
    </row>
    <row r="23" spans="1:40" ht="19.5" thickBot="1" x14ac:dyDescent="0.3">
      <c r="A23" s="1262" t="s">
        <v>699</v>
      </c>
      <c r="B23" s="1263"/>
      <c r="C23" s="1263"/>
      <c r="D23" s="1263"/>
      <c r="E23" s="1263"/>
      <c r="F23" s="1263"/>
      <c r="G23" s="1263"/>
      <c r="H23" s="1263"/>
      <c r="I23" s="1263"/>
      <c r="J23" s="1263"/>
      <c r="K23" s="1263"/>
      <c r="L23" s="1263"/>
      <c r="M23" s="1263"/>
      <c r="N23" s="1263"/>
      <c r="O23" s="1263"/>
      <c r="P23" s="1263"/>
      <c r="Q23" s="1263"/>
      <c r="R23" s="1263"/>
      <c r="S23" s="1263"/>
      <c r="T23" s="1263"/>
      <c r="U23" s="1263"/>
      <c r="V23" s="1263"/>
      <c r="W23" s="1263"/>
      <c r="X23" s="1263"/>
      <c r="Y23" s="1263"/>
      <c r="Z23" s="1263"/>
      <c r="AA23" s="1263"/>
      <c r="AB23" s="1263"/>
      <c r="AC23" s="1263"/>
      <c r="AD23" s="1263"/>
      <c r="AE23" s="1263"/>
      <c r="AF23" s="1263"/>
      <c r="AG23" s="1263"/>
      <c r="AH23" s="1263"/>
      <c r="AI23" s="1263"/>
      <c r="AJ23" s="1263"/>
      <c r="AK23" s="1263"/>
      <c r="AL23" s="1263"/>
      <c r="AM23" s="1263"/>
      <c r="AN23" s="1264"/>
    </row>
    <row r="24" spans="1:40" ht="15.75" thickBot="1" x14ac:dyDescent="0.3">
      <c r="A24" s="1306" t="s">
        <v>195</v>
      </c>
      <c r="B24" s="1307"/>
      <c r="C24" s="1307"/>
      <c r="D24" s="1308"/>
      <c r="E24" s="1306" t="s">
        <v>50</v>
      </c>
      <c r="F24" s="1307"/>
      <c r="G24" s="1307"/>
      <c r="H24" s="1308"/>
      <c r="I24" s="1306" t="s">
        <v>189</v>
      </c>
      <c r="J24" s="1307"/>
      <c r="K24" s="1307"/>
      <c r="L24" s="1308"/>
      <c r="M24" s="1306" t="s">
        <v>188</v>
      </c>
      <c r="N24" s="1307"/>
      <c r="O24" s="1307"/>
      <c r="P24" s="1308"/>
      <c r="Q24" s="1306" t="s">
        <v>187</v>
      </c>
      <c r="R24" s="1307"/>
      <c r="S24" s="1307"/>
      <c r="T24" s="1308"/>
      <c r="U24" s="1306" t="s">
        <v>186</v>
      </c>
      <c r="V24" s="1307"/>
      <c r="W24" s="1307"/>
      <c r="X24" s="1308"/>
      <c r="Y24" s="1306" t="s">
        <v>185</v>
      </c>
      <c r="Z24" s="1307"/>
      <c r="AA24" s="1307"/>
      <c r="AB24" s="1308"/>
      <c r="AC24" s="1306" t="s">
        <v>184</v>
      </c>
      <c r="AD24" s="1307"/>
      <c r="AE24" s="1307"/>
      <c r="AF24" s="1308"/>
      <c r="AG24" s="1306" t="s">
        <v>57</v>
      </c>
      <c r="AH24" s="1307"/>
      <c r="AI24" s="1307"/>
      <c r="AJ24" s="1308"/>
      <c r="AK24" s="1306" t="s">
        <v>58</v>
      </c>
      <c r="AL24" s="1307"/>
      <c r="AM24" s="1307"/>
      <c r="AN24" s="1308"/>
    </row>
    <row r="25" spans="1:40" ht="15.75" thickBot="1" x14ac:dyDescent="0.3">
      <c r="A25" s="202" t="s">
        <v>17</v>
      </c>
      <c r="B25" s="541" t="s">
        <v>702</v>
      </c>
      <c r="C25" s="542" t="s">
        <v>683</v>
      </c>
      <c r="D25" s="543" t="s">
        <v>31</v>
      </c>
      <c r="E25" s="202" t="s">
        <v>17</v>
      </c>
      <c r="F25" s="541" t="s">
        <v>702</v>
      </c>
      <c r="G25" s="542" t="s">
        <v>683</v>
      </c>
      <c r="H25" s="543" t="s">
        <v>31</v>
      </c>
      <c r="I25" s="202" t="s">
        <v>17</v>
      </c>
      <c r="J25" s="541" t="s">
        <v>702</v>
      </c>
      <c r="K25" s="542" t="s">
        <v>683</v>
      </c>
      <c r="L25" s="543" t="s">
        <v>31</v>
      </c>
      <c r="M25" s="202" t="s">
        <v>17</v>
      </c>
      <c r="N25" s="541" t="s">
        <v>702</v>
      </c>
      <c r="O25" s="542" t="s">
        <v>683</v>
      </c>
      <c r="P25" s="543" t="s">
        <v>31</v>
      </c>
      <c r="Q25" s="202" t="s">
        <v>17</v>
      </c>
      <c r="R25" s="541" t="s">
        <v>702</v>
      </c>
      <c r="S25" s="542" t="s">
        <v>683</v>
      </c>
      <c r="T25" s="543" t="s">
        <v>31</v>
      </c>
      <c r="U25" s="186" t="s">
        <v>17</v>
      </c>
      <c r="V25" s="187" t="s">
        <v>702</v>
      </c>
      <c r="W25" s="304" t="s">
        <v>683</v>
      </c>
      <c r="X25" s="188" t="s">
        <v>31</v>
      </c>
      <c r="Y25" s="186" t="s">
        <v>17</v>
      </c>
      <c r="Z25" s="187" t="s">
        <v>702</v>
      </c>
      <c r="AA25" s="304" t="s">
        <v>683</v>
      </c>
      <c r="AB25" s="188" t="s">
        <v>31</v>
      </c>
      <c r="AC25" s="186" t="s">
        <v>17</v>
      </c>
      <c r="AD25" s="187" t="s">
        <v>702</v>
      </c>
      <c r="AE25" s="304" t="s">
        <v>683</v>
      </c>
      <c r="AF25" s="188" t="s">
        <v>31</v>
      </c>
      <c r="AG25" s="186" t="s">
        <v>17</v>
      </c>
      <c r="AH25" s="187" t="s">
        <v>702</v>
      </c>
      <c r="AI25" s="304" t="s">
        <v>683</v>
      </c>
      <c r="AJ25" s="188" t="s">
        <v>31</v>
      </c>
      <c r="AK25" s="202" t="s">
        <v>17</v>
      </c>
      <c r="AL25" s="541" t="s">
        <v>702</v>
      </c>
      <c r="AM25" s="542" t="s">
        <v>683</v>
      </c>
      <c r="AN25" s="919" t="s">
        <v>31</v>
      </c>
    </row>
    <row r="26" spans="1:40" x14ac:dyDescent="0.25">
      <c r="A26" s="903">
        <v>1</v>
      </c>
      <c r="B26" s="776">
        <f>Paramètres!AO6</f>
        <v>0</v>
      </c>
      <c r="C26" s="913">
        <v>100</v>
      </c>
      <c r="D26" s="199">
        <f>VALUE_Barbarian[[#This Row],[Valeur]]*VALUE_Barbarian[[#This Row],[Rang]]</f>
        <v>0</v>
      </c>
      <c r="E26" s="903">
        <v>1</v>
      </c>
      <c r="F26" s="776">
        <f>Paramètres!AP6</f>
        <v>0</v>
      </c>
      <c r="G26" s="913">
        <v>150</v>
      </c>
      <c r="H26" s="199">
        <f>VALUE_Archer[[#This Row],[Valeur]]*VALUE_Archer[[#This Row],[Rang]]</f>
        <v>0</v>
      </c>
      <c r="I26" s="903">
        <v>1</v>
      </c>
      <c r="J26" s="776">
        <f>Paramètres!AQ6</f>
        <v>0</v>
      </c>
      <c r="K26" s="913">
        <v>50</v>
      </c>
      <c r="L26" s="199">
        <f>VALUE_Goblin[[#This Row],[Valeur]]*VALUE_Goblin[[#This Row],[Rang]]</f>
        <v>0</v>
      </c>
      <c r="M26" s="903">
        <v>1</v>
      </c>
      <c r="N26" s="776">
        <f>Paramètres!AR6</f>
        <v>0</v>
      </c>
      <c r="O26" s="913">
        <v>120</v>
      </c>
      <c r="P26" s="199">
        <f>VALUE_Giant[[#This Row],[Valeur]]*VALUE_Giant[[#This Row],[Rang]]</f>
        <v>0</v>
      </c>
      <c r="Q26" s="903">
        <v>1</v>
      </c>
      <c r="R26" s="776">
        <f>Paramètres!AS6</f>
        <v>0</v>
      </c>
      <c r="S26" s="913">
        <v>100</v>
      </c>
      <c r="T26" s="199">
        <f>VALUE_Wall_Breaker[[#This Row],[Valeur]]*VALUE_Wall_Breaker[[#This Row],[Rang]]</f>
        <v>0</v>
      </c>
      <c r="U26" s="903">
        <v>1</v>
      </c>
      <c r="V26" s="776">
        <f>Paramètres!AT6</f>
        <v>0</v>
      </c>
      <c r="W26" s="913">
        <v>120</v>
      </c>
      <c r="X26" s="199">
        <f>VALUE_Balloon[[#This Row],[Valeur]]*VALUE_Balloon[[#This Row],[Rang]]</f>
        <v>0</v>
      </c>
      <c r="Y26" s="903">
        <v>1</v>
      </c>
      <c r="Z26" s="776">
        <f>Paramètres!AU6</f>
        <v>0</v>
      </c>
      <c r="AA26" s="913">
        <v>150</v>
      </c>
      <c r="AB26" s="199">
        <f>VALUE_Wizard[[#This Row],[Valeur]]*VALUE_Wizard[[#This Row],[Rang]]</f>
        <v>0</v>
      </c>
      <c r="AC26" s="908">
        <v>1</v>
      </c>
      <c r="AD26" s="776">
        <f>Paramètres!AV6</f>
        <v>0</v>
      </c>
      <c r="AE26" s="913">
        <v>180</v>
      </c>
      <c r="AF26" s="199">
        <f>VALUE_Healer[[#This Row],[Valeur]]*VALUE_Healer[[#This Row],[Rang]]</f>
        <v>0</v>
      </c>
      <c r="AG26" s="903">
        <v>1</v>
      </c>
      <c r="AH26" s="776">
        <f>Paramètres!AW6</f>
        <v>0</v>
      </c>
      <c r="AI26" s="913">
        <v>150</v>
      </c>
      <c r="AJ26" s="199">
        <f>VALUE_Dragon[[#This Row],[Valeur]]*VALUE_Dragon[[#This Row],[Rang]]</f>
        <v>0</v>
      </c>
      <c r="AK26" s="903">
        <v>1</v>
      </c>
      <c r="AL26" s="776">
        <f>Paramètres!AX6</f>
        <v>0</v>
      </c>
      <c r="AM26" s="913">
        <v>120</v>
      </c>
      <c r="AN26" s="778">
        <f>VALUE_PEKKA[[#This Row],[Valeur]]*VALUE_PEKKA[[#This Row],[Rang]]</f>
        <v>0</v>
      </c>
    </row>
    <row r="27" spans="1:40" x14ac:dyDescent="0.25">
      <c r="A27" s="561">
        <v>2</v>
      </c>
      <c r="B27" s="775">
        <f>Paramètres!AO7</f>
        <v>0</v>
      </c>
      <c r="C27" s="912">
        <v>200</v>
      </c>
      <c r="D27" s="200">
        <f>VALUE_Barbarian[[#This Row],[Valeur]]*VALUE_Barbarian[[#This Row],[Rang]]</f>
        <v>0</v>
      </c>
      <c r="E27" s="561">
        <v>2</v>
      </c>
      <c r="F27" s="775">
        <f>Paramètres!AP7</f>
        <v>0</v>
      </c>
      <c r="G27" s="912">
        <v>300</v>
      </c>
      <c r="H27" s="200">
        <f>VALUE_Archer[[#This Row],[Valeur]]*VALUE_Archer[[#This Row],[Rang]]</f>
        <v>0</v>
      </c>
      <c r="I27" s="561">
        <v>2</v>
      </c>
      <c r="J27" s="775">
        <f>Paramètres!AQ7</f>
        <v>0</v>
      </c>
      <c r="K27" s="912">
        <v>100</v>
      </c>
      <c r="L27" s="200">
        <f>VALUE_Goblin[[#This Row],[Valeur]]*VALUE_Goblin[[#This Row],[Rang]]</f>
        <v>0</v>
      </c>
      <c r="M27" s="561">
        <v>2</v>
      </c>
      <c r="N27" s="775">
        <f>Paramètres!AR7</f>
        <v>0</v>
      </c>
      <c r="O27" s="912">
        <v>240</v>
      </c>
      <c r="P27" s="200">
        <f>VALUE_Giant[[#This Row],[Valeur]]*VALUE_Giant[[#This Row],[Rang]]</f>
        <v>0</v>
      </c>
      <c r="Q27" s="561">
        <v>2</v>
      </c>
      <c r="R27" s="775">
        <f>Paramètres!AS7</f>
        <v>0</v>
      </c>
      <c r="S27" s="912">
        <v>200</v>
      </c>
      <c r="T27" s="200">
        <f>VALUE_Wall_Breaker[[#This Row],[Valeur]]*VALUE_Wall_Breaker[[#This Row],[Rang]]</f>
        <v>0</v>
      </c>
      <c r="U27" s="561">
        <v>2</v>
      </c>
      <c r="V27" s="775">
        <f>Paramètres!AT7</f>
        <v>0</v>
      </c>
      <c r="W27" s="912">
        <v>240</v>
      </c>
      <c r="X27" s="200">
        <f>VALUE_Balloon[[#This Row],[Valeur]]*VALUE_Balloon[[#This Row],[Rang]]</f>
        <v>0</v>
      </c>
      <c r="Y27" s="561">
        <v>2</v>
      </c>
      <c r="Z27" s="775">
        <f>Paramètres!AU7</f>
        <v>0</v>
      </c>
      <c r="AA27" s="912">
        <v>300</v>
      </c>
      <c r="AB27" s="200">
        <f>VALUE_Wizard[[#This Row],[Valeur]]*VALUE_Wizard[[#This Row],[Rang]]</f>
        <v>0</v>
      </c>
      <c r="AC27" s="674">
        <v>2</v>
      </c>
      <c r="AD27" s="775">
        <f>Paramètres!AV7</f>
        <v>0</v>
      </c>
      <c r="AE27" s="912">
        <v>360</v>
      </c>
      <c r="AF27" s="200">
        <f>VALUE_Healer[[#This Row],[Valeur]]*VALUE_Healer[[#This Row],[Rang]]</f>
        <v>0</v>
      </c>
      <c r="AG27" s="561">
        <v>2</v>
      </c>
      <c r="AH27" s="775">
        <f>Paramètres!AW7</f>
        <v>0</v>
      </c>
      <c r="AI27" s="912">
        <v>300</v>
      </c>
      <c r="AJ27" s="200">
        <f>VALUE_Dragon[[#This Row],[Valeur]]*VALUE_Dragon[[#This Row],[Rang]]</f>
        <v>0</v>
      </c>
      <c r="AK27" s="561">
        <v>2</v>
      </c>
      <c r="AL27" s="775">
        <f>Paramètres!AX7</f>
        <v>0</v>
      </c>
      <c r="AM27" s="912">
        <v>240</v>
      </c>
      <c r="AN27" s="194">
        <f>VALUE_PEKKA[[#This Row],[Valeur]]*VALUE_PEKKA[[#This Row],[Rang]]</f>
        <v>0</v>
      </c>
    </row>
    <row r="28" spans="1:40" x14ac:dyDescent="0.25">
      <c r="A28" s="561">
        <v>3</v>
      </c>
      <c r="B28" s="775">
        <f>Paramètres!AO8</f>
        <v>0</v>
      </c>
      <c r="C28" s="912">
        <v>300</v>
      </c>
      <c r="D28" s="200">
        <f>VALUE_Barbarian[[#This Row],[Valeur]]*VALUE_Barbarian[[#This Row],[Rang]]</f>
        <v>0</v>
      </c>
      <c r="E28" s="561">
        <v>3</v>
      </c>
      <c r="F28" s="775">
        <f>Paramètres!AP8</f>
        <v>0</v>
      </c>
      <c r="G28" s="912">
        <v>450</v>
      </c>
      <c r="H28" s="200">
        <f>VALUE_Archer[[#This Row],[Valeur]]*VALUE_Archer[[#This Row],[Rang]]</f>
        <v>0</v>
      </c>
      <c r="I28" s="561">
        <v>3</v>
      </c>
      <c r="J28" s="775">
        <f>Paramètres!AQ8</f>
        <v>0</v>
      </c>
      <c r="K28" s="912">
        <v>150</v>
      </c>
      <c r="L28" s="200">
        <f>VALUE_Goblin[[#This Row],[Valeur]]*VALUE_Goblin[[#This Row],[Rang]]</f>
        <v>0</v>
      </c>
      <c r="M28" s="561">
        <v>3</v>
      </c>
      <c r="N28" s="775">
        <f>Paramètres!AR8</f>
        <v>0</v>
      </c>
      <c r="O28" s="912">
        <v>360</v>
      </c>
      <c r="P28" s="200">
        <f>VALUE_Giant[[#This Row],[Valeur]]*VALUE_Giant[[#This Row],[Rang]]</f>
        <v>0</v>
      </c>
      <c r="Q28" s="561">
        <v>3</v>
      </c>
      <c r="R28" s="775">
        <f>Paramètres!AS8</f>
        <v>0</v>
      </c>
      <c r="S28" s="912">
        <v>300</v>
      </c>
      <c r="T28" s="200">
        <f>VALUE_Wall_Breaker[[#This Row],[Valeur]]*VALUE_Wall_Breaker[[#This Row],[Rang]]</f>
        <v>0</v>
      </c>
      <c r="U28" s="561">
        <v>3</v>
      </c>
      <c r="V28" s="775">
        <f>Paramètres!AT8</f>
        <v>0</v>
      </c>
      <c r="W28" s="912">
        <v>360</v>
      </c>
      <c r="X28" s="200">
        <f>VALUE_Balloon[[#This Row],[Valeur]]*VALUE_Balloon[[#This Row],[Rang]]</f>
        <v>0</v>
      </c>
      <c r="Y28" s="561">
        <v>3</v>
      </c>
      <c r="Z28" s="775">
        <f>Paramètres!AU8</f>
        <v>0</v>
      </c>
      <c r="AA28" s="912">
        <v>450</v>
      </c>
      <c r="AB28" s="200">
        <f>VALUE_Wizard[[#This Row],[Valeur]]*VALUE_Wizard[[#This Row],[Rang]]</f>
        <v>0</v>
      </c>
      <c r="AC28" s="674">
        <v>3</v>
      </c>
      <c r="AD28" s="775">
        <f>Paramètres!AV8</f>
        <v>0</v>
      </c>
      <c r="AE28" s="912">
        <v>540</v>
      </c>
      <c r="AF28" s="200">
        <f>VALUE_Healer[[#This Row],[Valeur]]*VALUE_Healer[[#This Row],[Rang]]</f>
        <v>0</v>
      </c>
      <c r="AG28" s="561">
        <v>3</v>
      </c>
      <c r="AH28" s="775">
        <f>Paramètres!AW8</f>
        <v>0</v>
      </c>
      <c r="AI28" s="912">
        <v>450</v>
      </c>
      <c r="AJ28" s="200">
        <f>VALUE_Dragon[[#This Row],[Valeur]]*VALUE_Dragon[[#This Row],[Rang]]</f>
        <v>0</v>
      </c>
      <c r="AK28" s="561">
        <v>3</v>
      </c>
      <c r="AL28" s="775">
        <f>Paramètres!AX8</f>
        <v>0</v>
      </c>
      <c r="AM28" s="912">
        <v>360</v>
      </c>
      <c r="AN28" s="194">
        <f>VALUE_PEKKA[[#This Row],[Valeur]]*VALUE_PEKKA[[#This Row],[Rang]]</f>
        <v>0</v>
      </c>
    </row>
    <row r="29" spans="1:40" ht="15.75" thickBot="1" x14ac:dyDescent="0.3">
      <c r="A29" s="561">
        <v>4</v>
      </c>
      <c r="B29" s="775">
        <f>Paramètres!AO9</f>
        <v>0</v>
      </c>
      <c r="C29" s="912">
        <v>400</v>
      </c>
      <c r="D29" s="200">
        <f>VALUE_Barbarian[[#This Row],[Valeur]]*VALUE_Barbarian[[#This Row],[Rang]]</f>
        <v>0</v>
      </c>
      <c r="E29" s="561">
        <v>4</v>
      </c>
      <c r="F29" s="775">
        <f>Paramètres!AP9</f>
        <v>0</v>
      </c>
      <c r="G29" s="912">
        <v>600</v>
      </c>
      <c r="H29" s="200">
        <f>VALUE_Archer[[#This Row],[Valeur]]*VALUE_Archer[[#This Row],[Rang]]</f>
        <v>0</v>
      </c>
      <c r="I29" s="561">
        <v>4</v>
      </c>
      <c r="J29" s="775">
        <f>Paramètres!AQ9</f>
        <v>0</v>
      </c>
      <c r="K29" s="912">
        <v>200</v>
      </c>
      <c r="L29" s="200">
        <f>VALUE_Goblin[[#This Row],[Valeur]]*VALUE_Goblin[[#This Row],[Rang]]</f>
        <v>0</v>
      </c>
      <c r="M29" s="561">
        <v>4</v>
      </c>
      <c r="N29" s="775">
        <f>Paramètres!AR9</f>
        <v>0</v>
      </c>
      <c r="O29" s="912">
        <v>480</v>
      </c>
      <c r="P29" s="200">
        <f>VALUE_Giant[[#This Row],[Valeur]]*VALUE_Giant[[#This Row],[Rang]]</f>
        <v>0</v>
      </c>
      <c r="Q29" s="561">
        <v>4</v>
      </c>
      <c r="R29" s="775">
        <f>Paramètres!AS9</f>
        <v>0</v>
      </c>
      <c r="S29" s="912">
        <v>400</v>
      </c>
      <c r="T29" s="200">
        <f>VALUE_Wall_Breaker[[#This Row],[Valeur]]*VALUE_Wall_Breaker[[#This Row],[Rang]]</f>
        <v>0</v>
      </c>
      <c r="U29" s="561">
        <v>4</v>
      </c>
      <c r="V29" s="775">
        <f>Paramètres!AT9</f>
        <v>0</v>
      </c>
      <c r="W29" s="912">
        <v>480</v>
      </c>
      <c r="X29" s="200">
        <f>VALUE_Balloon[[#This Row],[Valeur]]*VALUE_Balloon[[#This Row],[Rang]]</f>
        <v>0</v>
      </c>
      <c r="Y29" s="561">
        <v>4</v>
      </c>
      <c r="Z29" s="775">
        <f>Paramètres!AU9</f>
        <v>0</v>
      </c>
      <c r="AA29" s="912">
        <v>600</v>
      </c>
      <c r="AB29" s="200">
        <f>VALUE_Wizard[[#This Row],[Valeur]]*VALUE_Wizard[[#This Row],[Rang]]</f>
        <v>0</v>
      </c>
      <c r="AC29" s="909">
        <v>4</v>
      </c>
      <c r="AD29" s="777">
        <f>Paramètres!AV9</f>
        <v>0</v>
      </c>
      <c r="AE29" s="914">
        <v>720</v>
      </c>
      <c r="AF29" s="539">
        <f>VALUE_Healer[[#This Row],[Valeur]]*VALUE_Healer[[#This Row],[Rang]]</f>
        <v>0</v>
      </c>
      <c r="AG29" s="568">
        <v>4</v>
      </c>
      <c r="AH29" s="777">
        <f>Paramètres!AW9</f>
        <v>0</v>
      </c>
      <c r="AI29" s="914">
        <v>600</v>
      </c>
      <c r="AJ29" s="539">
        <f>VALUE_Dragon[[#This Row],[Valeur]]*VALUE_Dragon[[#This Row],[Rang]]</f>
        <v>0</v>
      </c>
      <c r="AK29" s="561">
        <v>4</v>
      </c>
      <c r="AL29" s="775">
        <f>Paramètres!AX9</f>
        <v>0</v>
      </c>
      <c r="AM29" s="912">
        <v>480</v>
      </c>
      <c r="AN29" s="194">
        <f>VALUE_PEKKA[[#This Row],[Valeur]]*VALUE_PEKKA[[#This Row],[Rang]]</f>
        <v>0</v>
      </c>
    </row>
    <row r="30" spans="1:40" ht="15.75" thickBot="1" x14ac:dyDescent="0.3">
      <c r="A30" s="561">
        <v>5</v>
      </c>
      <c r="B30" s="775">
        <f>Paramètres!AO10</f>
        <v>0</v>
      </c>
      <c r="C30" s="912">
        <v>500</v>
      </c>
      <c r="D30" s="200">
        <f>VALUE_Barbarian[[#This Row],[Valeur]]*VALUE_Barbarian[[#This Row],[Rang]]</f>
        <v>0</v>
      </c>
      <c r="E30" s="561">
        <v>5</v>
      </c>
      <c r="F30" s="775">
        <f>Paramètres!AP10</f>
        <v>0</v>
      </c>
      <c r="G30" s="912">
        <v>750</v>
      </c>
      <c r="H30" s="200">
        <f>VALUE_Archer[[#This Row],[Valeur]]*VALUE_Archer[[#This Row],[Rang]]</f>
        <v>0</v>
      </c>
      <c r="I30" s="561">
        <v>5</v>
      </c>
      <c r="J30" s="775">
        <f>Paramètres!AQ10</f>
        <v>0</v>
      </c>
      <c r="K30" s="912">
        <v>250</v>
      </c>
      <c r="L30" s="200">
        <f>VALUE_Goblin[[#This Row],[Valeur]]*VALUE_Goblin[[#This Row],[Rang]]</f>
        <v>0</v>
      </c>
      <c r="M30" s="561">
        <v>5</v>
      </c>
      <c r="N30" s="775">
        <f>Paramètres!AR10</f>
        <v>0</v>
      </c>
      <c r="O30" s="912">
        <v>600</v>
      </c>
      <c r="P30" s="200">
        <f>VALUE_Giant[[#This Row],[Valeur]]*VALUE_Giant[[#This Row],[Rang]]</f>
        <v>0</v>
      </c>
      <c r="Q30" s="561">
        <v>5</v>
      </c>
      <c r="R30" s="775">
        <f>Paramètres!AS10</f>
        <v>0</v>
      </c>
      <c r="S30" s="912">
        <v>500</v>
      </c>
      <c r="T30" s="200">
        <f>VALUE_Wall_Breaker[[#This Row],[Valeur]]*VALUE_Wall_Breaker[[#This Row],[Rang]]</f>
        <v>0</v>
      </c>
      <c r="U30" s="561">
        <v>5</v>
      </c>
      <c r="V30" s="775">
        <f>Paramètres!AT10</f>
        <v>0</v>
      </c>
      <c r="W30" s="912">
        <v>600</v>
      </c>
      <c r="X30" s="200">
        <f>VALUE_Balloon[[#This Row],[Valeur]]*VALUE_Balloon[[#This Row],[Rang]]</f>
        <v>0</v>
      </c>
      <c r="Y30" s="561">
        <v>5</v>
      </c>
      <c r="Z30" s="775">
        <f>Paramètres!AU10</f>
        <v>0</v>
      </c>
      <c r="AA30" s="912">
        <v>750</v>
      </c>
      <c r="AB30" s="200">
        <f>VALUE_Wizard[[#This Row],[Valeur]]*VALUE_Wizard[[#This Row],[Rang]]</f>
        <v>0</v>
      </c>
      <c r="AC30" s="177"/>
      <c r="AD30" s="177"/>
      <c r="AE30" s="177"/>
      <c r="AF30" s="177"/>
      <c r="AG30" s="177"/>
      <c r="AH30" s="177"/>
      <c r="AI30" s="177"/>
      <c r="AJ30" s="177"/>
      <c r="AK30" s="568">
        <v>5</v>
      </c>
      <c r="AL30" s="777">
        <f>Paramètres!AX10</f>
        <v>0</v>
      </c>
      <c r="AM30" s="914">
        <v>480</v>
      </c>
      <c r="AN30" s="779">
        <f>VALUE_PEKKA[[#This Row],[Valeur]]*VALUE_PEKKA[[#This Row],[Rang]]</f>
        <v>0</v>
      </c>
    </row>
    <row r="31" spans="1:40" ht="15.75" thickBot="1" x14ac:dyDescent="0.3">
      <c r="A31" s="561">
        <v>6</v>
      </c>
      <c r="B31" s="775">
        <f>Paramètres!AO11</f>
        <v>0</v>
      </c>
      <c r="C31" s="912">
        <v>600</v>
      </c>
      <c r="D31" s="200">
        <f>VALUE_Barbarian[[#This Row],[Valeur]]*VALUE_Barbarian[[#This Row],[Rang]]</f>
        <v>0</v>
      </c>
      <c r="E31" s="561">
        <v>6</v>
      </c>
      <c r="F31" s="775">
        <f>Paramètres!AP11</f>
        <v>0</v>
      </c>
      <c r="G31" s="912">
        <v>900</v>
      </c>
      <c r="H31" s="200">
        <f>VALUE_Archer[[#This Row],[Valeur]]*VALUE_Archer[[#This Row],[Rang]]</f>
        <v>0</v>
      </c>
      <c r="I31" s="568">
        <v>6</v>
      </c>
      <c r="J31" s="777">
        <f>Paramètres!AQ11</f>
        <v>0</v>
      </c>
      <c r="K31" s="914">
        <v>300</v>
      </c>
      <c r="L31" s="539">
        <f>VALUE_Goblin[[#This Row],[Valeur]]*VALUE_Goblin[[#This Row],[Rang]]</f>
        <v>0</v>
      </c>
      <c r="M31" s="561">
        <v>6</v>
      </c>
      <c r="N31" s="775">
        <f>Paramètres!AR11</f>
        <v>0</v>
      </c>
      <c r="O31" s="912">
        <v>720</v>
      </c>
      <c r="P31" s="200">
        <f>VALUE_Giant[[#This Row],[Valeur]]*VALUE_Giant[[#This Row],[Rang]]</f>
        <v>0</v>
      </c>
      <c r="Q31" s="568">
        <v>6</v>
      </c>
      <c r="R31" s="777">
        <f>Paramètres!AS11</f>
        <v>0</v>
      </c>
      <c r="S31" s="914">
        <v>600</v>
      </c>
      <c r="T31" s="539">
        <f>VALUE_Wall_Breaker[[#This Row],[Valeur]]*VALUE_Wall_Breaker[[#This Row],[Rang]]</f>
        <v>0</v>
      </c>
      <c r="U31" s="568">
        <v>6</v>
      </c>
      <c r="V31" s="777">
        <f>Paramètres!AT11</f>
        <v>0</v>
      </c>
      <c r="W31" s="914">
        <v>720</v>
      </c>
      <c r="X31" s="539">
        <f>VALUE_Balloon[[#This Row],[Valeur]]*VALUE_Balloon[[#This Row],[Rang]]</f>
        <v>0</v>
      </c>
      <c r="Y31" s="568">
        <v>6</v>
      </c>
      <c r="Z31" s="777">
        <f>Paramètres!AU11</f>
        <v>0</v>
      </c>
      <c r="AA31" s="914">
        <v>900</v>
      </c>
      <c r="AB31" s="539">
        <f>VALUE_Wizard[[#This Row],[Valeur]]*VALUE_Wizard[[#This Row],[Rang]]</f>
        <v>0</v>
      </c>
      <c r="AC31" s="177"/>
      <c r="AD31" s="177"/>
      <c r="AE31" s="177"/>
      <c r="AF31" s="177"/>
      <c r="AG31" s="177"/>
      <c r="AH31" s="177"/>
      <c r="AI31" s="177"/>
      <c r="AJ31" s="177"/>
      <c r="AK31" s="177"/>
      <c r="AL31" s="177"/>
      <c r="AM31" s="177"/>
      <c r="AN31" s="177"/>
    </row>
    <row r="32" spans="1:40" ht="15.75" thickBot="1" x14ac:dyDescent="0.3">
      <c r="A32" s="568">
        <v>7</v>
      </c>
      <c r="B32" s="777">
        <f>Paramètres!AO12</f>
        <v>0</v>
      </c>
      <c r="C32" s="914">
        <v>700</v>
      </c>
      <c r="D32" s="539">
        <f>VALUE_Barbarian[[#This Row],[Valeur]]*VALUE_Barbarian[[#This Row],[Rang]]</f>
        <v>0</v>
      </c>
      <c r="E32" s="568">
        <v>7</v>
      </c>
      <c r="F32" s="777">
        <f>Paramètres!AP12</f>
        <v>0</v>
      </c>
      <c r="G32" s="914">
        <v>1050</v>
      </c>
      <c r="H32" s="539">
        <f>VALUE_Archer[[#This Row],[Valeur]]*VALUE_Archer[[#This Row],[Rang]]</f>
        <v>0</v>
      </c>
      <c r="I32" s="177"/>
      <c r="J32" s="177"/>
      <c r="K32" s="177"/>
      <c r="L32" s="177"/>
      <c r="M32" s="568">
        <v>7</v>
      </c>
      <c r="N32" s="777">
        <f>Paramètres!AR12</f>
        <v>0</v>
      </c>
      <c r="O32" s="914">
        <v>840</v>
      </c>
      <c r="P32" s="539">
        <f>VALUE_Giant[[#This Row],[Valeur]]*VALUE_Giant[[#This Row],[Rang]]</f>
        <v>0</v>
      </c>
      <c r="Q32" s="177"/>
      <c r="R32" s="177"/>
      <c r="S32" s="177"/>
      <c r="T32" s="177"/>
      <c r="U32" s="177"/>
      <c r="V32" s="177"/>
      <c r="W32" s="177"/>
      <c r="X32" s="177"/>
      <c r="Y32" s="177"/>
      <c r="Z32" s="177"/>
      <c r="AA32" s="177"/>
      <c r="AB32" s="177"/>
      <c r="AC32" s="177"/>
      <c r="AD32" s="177"/>
      <c r="AE32" s="177"/>
      <c r="AF32" s="177"/>
      <c r="AG32" s="177"/>
      <c r="AH32" s="177"/>
      <c r="AI32" s="177"/>
      <c r="AJ32" s="177"/>
      <c r="AK32" s="177"/>
      <c r="AL32" s="177"/>
      <c r="AM32" s="177"/>
      <c r="AN32" s="177"/>
    </row>
    <row r="33" spans="1:40" x14ac:dyDescent="0.25">
      <c r="A33" s="177"/>
      <c r="B33" s="177"/>
      <c r="C33" s="177"/>
      <c r="D33" s="177"/>
      <c r="E33" s="177"/>
      <c r="F33" s="177"/>
      <c r="G33" s="177"/>
      <c r="H33" s="177"/>
      <c r="I33" s="177"/>
      <c r="J33" s="177"/>
      <c r="K33" s="177"/>
      <c r="L33" s="177"/>
      <c r="M33" s="177"/>
      <c r="N33" s="177"/>
      <c r="O33" s="177"/>
      <c r="P33" s="177"/>
      <c r="Q33" s="177"/>
      <c r="R33" s="177"/>
      <c r="S33" s="177"/>
      <c r="T33" s="177"/>
      <c r="U33" s="177"/>
      <c r="V33" s="177"/>
      <c r="W33" s="177"/>
      <c r="X33" s="177"/>
      <c r="Y33" s="177"/>
      <c r="Z33" s="177"/>
      <c r="AA33" s="177"/>
      <c r="AB33" s="177"/>
      <c r="AC33" s="177"/>
      <c r="AD33" s="177"/>
      <c r="AE33" s="177"/>
      <c r="AF33" s="177"/>
      <c r="AG33" s="177"/>
      <c r="AH33" s="177"/>
      <c r="AI33" s="177"/>
      <c r="AJ33" s="177"/>
      <c r="AK33" s="177"/>
      <c r="AL33" s="177"/>
      <c r="AM33" s="177"/>
      <c r="AN33" s="177"/>
    </row>
    <row r="34" spans="1:40" ht="15.75" thickBot="1" x14ac:dyDescent="0.3">
      <c r="A34" s="177"/>
      <c r="B34" s="177"/>
      <c r="C34" s="177"/>
      <c r="D34" s="177"/>
      <c r="E34" s="177"/>
      <c r="F34" s="177"/>
      <c r="G34" s="177"/>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7"/>
      <c r="AG34" s="177"/>
      <c r="AH34" s="177"/>
      <c r="AI34" s="177"/>
      <c r="AJ34" s="177"/>
      <c r="AK34" s="177"/>
      <c r="AL34" s="177"/>
      <c r="AM34" s="177"/>
      <c r="AN34" s="177"/>
    </row>
    <row r="35" spans="1:40" ht="19.5" customHeight="1" thickBot="1" x14ac:dyDescent="0.3">
      <c r="A35" s="1262" t="s">
        <v>698</v>
      </c>
      <c r="B35" s="1263"/>
      <c r="C35" s="1263"/>
      <c r="D35" s="1263"/>
      <c r="E35" s="1263"/>
      <c r="F35" s="1263"/>
      <c r="G35" s="1263"/>
      <c r="H35" s="1263"/>
      <c r="I35" s="1263"/>
      <c r="J35" s="1263"/>
      <c r="K35" s="1263"/>
      <c r="L35" s="1263"/>
      <c r="M35" s="1263"/>
      <c r="N35" s="1263"/>
      <c r="O35" s="1263"/>
      <c r="P35" s="1263"/>
      <c r="Q35" s="1329"/>
      <c r="R35" s="1329"/>
      <c r="S35" s="1329"/>
      <c r="T35" s="1329"/>
      <c r="U35" s="1329"/>
      <c r="V35" s="1329"/>
      <c r="W35" s="1329"/>
      <c r="X35" s="1330"/>
      <c r="Y35" s="177"/>
      <c r="Z35" s="177"/>
      <c r="AA35" s="177"/>
      <c r="AB35" s="177"/>
      <c r="AC35" s="177"/>
      <c r="AD35" s="177"/>
      <c r="AE35" s="177"/>
      <c r="AF35" s="177"/>
      <c r="AG35" s="911"/>
      <c r="AH35" s="911"/>
      <c r="AI35" s="911"/>
      <c r="AJ35" s="911"/>
      <c r="AK35" s="911"/>
      <c r="AL35" s="911"/>
      <c r="AM35" s="911"/>
      <c r="AN35" s="911"/>
    </row>
    <row r="36" spans="1:40" ht="15.75" thickBot="1" x14ac:dyDescent="0.3">
      <c r="A36" s="1321" t="s">
        <v>183</v>
      </c>
      <c r="B36" s="1322"/>
      <c r="C36" s="1322"/>
      <c r="D36" s="1323"/>
      <c r="E36" s="1321" t="s">
        <v>245</v>
      </c>
      <c r="F36" s="1322"/>
      <c r="G36" s="1322"/>
      <c r="H36" s="1323"/>
      <c r="I36" s="1321" t="s">
        <v>66</v>
      </c>
      <c r="J36" s="1322"/>
      <c r="K36" s="1322"/>
      <c r="L36" s="1323"/>
      <c r="M36" s="1321" t="s">
        <v>67</v>
      </c>
      <c r="N36" s="1322"/>
      <c r="O36" s="1322"/>
      <c r="P36" s="1323"/>
      <c r="Q36" s="1321" t="s">
        <v>539</v>
      </c>
      <c r="R36" s="1322"/>
      <c r="S36" s="1322"/>
      <c r="T36" s="1323"/>
      <c r="U36" s="1321" t="s">
        <v>576</v>
      </c>
      <c r="V36" s="1322"/>
      <c r="W36" s="1322"/>
      <c r="X36" s="1323"/>
      <c r="Y36" s="177"/>
      <c r="Z36" s="177"/>
      <c r="AA36" s="177"/>
      <c r="AB36" s="177"/>
      <c r="AC36" s="177"/>
      <c r="AD36" s="177"/>
      <c r="AE36" s="177"/>
      <c r="AF36" s="177"/>
      <c r="AG36" s="911"/>
      <c r="AH36" s="911"/>
      <c r="AI36" s="911"/>
      <c r="AJ36" s="911"/>
      <c r="AK36" s="911"/>
      <c r="AL36" s="911"/>
      <c r="AM36" s="911"/>
      <c r="AN36" s="911"/>
    </row>
    <row r="37" spans="1:40" ht="15.75" thickBot="1" x14ac:dyDescent="0.3">
      <c r="A37" s="186" t="s">
        <v>17</v>
      </c>
      <c r="B37" s="187" t="s">
        <v>702</v>
      </c>
      <c r="C37" s="304" t="s">
        <v>683</v>
      </c>
      <c r="D37" s="188" t="s">
        <v>31</v>
      </c>
      <c r="E37" s="186" t="s">
        <v>17</v>
      </c>
      <c r="F37" s="187" t="s">
        <v>702</v>
      </c>
      <c r="G37" s="304" t="s">
        <v>683</v>
      </c>
      <c r="H37" s="188" t="s">
        <v>31</v>
      </c>
      <c r="I37" s="186" t="s">
        <v>17</v>
      </c>
      <c r="J37" s="187" t="s">
        <v>702</v>
      </c>
      <c r="K37" s="304" t="s">
        <v>683</v>
      </c>
      <c r="L37" s="188" t="s">
        <v>31</v>
      </c>
      <c r="M37" s="186" t="s">
        <v>17</v>
      </c>
      <c r="N37" s="187" t="s">
        <v>702</v>
      </c>
      <c r="O37" s="304" t="s">
        <v>683</v>
      </c>
      <c r="P37" s="188" t="s">
        <v>31</v>
      </c>
      <c r="Q37" s="186" t="s">
        <v>17</v>
      </c>
      <c r="R37" s="187" t="s">
        <v>702</v>
      </c>
      <c r="S37" s="304" t="s">
        <v>683</v>
      </c>
      <c r="T37" s="188" t="s">
        <v>31</v>
      </c>
      <c r="U37" s="186" t="s">
        <v>17</v>
      </c>
      <c r="V37" s="187" t="s">
        <v>702</v>
      </c>
      <c r="W37" s="304" t="s">
        <v>683</v>
      </c>
      <c r="X37" s="188" t="s">
        <v>31</v>
      </c>
      <c r="Y37" s="177"/>
      <c r="Z37" s="177"/>
      <c r="AA37" s="177"/>
      <c r="AB37" s="177"/>
      <c r="AC37" s="177"/>
      <c r="AD37" s="177"/>
      <c r="AE37" s="177"/>
      <c r="AF37" s="177"/>
      <c r="AG37" s="911"/>
      <c r="AH37" s="911"/>
      <c r="AI37" s="911"/>
      <c r="AJ37" s="911"/>
      <c r="AK37" s="911"/>
      <c r="AL37" s="911"/>
      <c r="AM37" s="911"/>
      <c r="AN37" s="911"/>
    </row>
    <row r="38" spans="1:40" x14ac:dyDescent="0.25">
      <c r="A38" s="903">
        <v>1</v>
      </c>
      <c r="B38" s="776">
        <f>Paramètres!AY6</f>
        <v>0</v>
      </c>
      <c r="C38" s="913">
        <v>120</v>
      </c>
      <c r="D38" s="199">
        <f>VALUE_Minion[[#This Row],[Valeur]]*VALUE_Minion[[#This Row],[Rang]]</f>
        <v>0</v>
      </c>
      <c r="E38" s="908">
        <v>1</v>
      </c>
      <c r="F38" s="776">
        <f>Paramètres!AZ6</f>
        <v>0</v>
      </c>
      <c r="G38" s="913">
        <v>120</v>
      </c>
      <c r="H38" s="199">
        <f>VALUE_Hog_Rider[[#This Row],[Valeur]]*VALUE_Hog_Rider[[#This Row],[Rang]]</f>
        <v>0</v>
      </c>
      <c r="I38" s="908">
        <v>1</v>
      </c>
      <c r="J38" s="776">
        <f>Paramètres!BA6</f>
        <v>0</v>
      </c>
      <c r="K38" s="913">
        <v>100</v>
      </c>
      <c r="L38" s="199">
        <f>VALUE_Valkyrie[[#This Row],[Valeur]]*VALUE_Valkyrie[[#This Row],[Rang]]</f>
        <v>0</v>
      </c>
      <c r="M38" s="903">
        <v>1</v>
      </c>
      <c r="N38" s="776">
        <f>Paramètres!BB6</f>
        <v>0</v>
      </c>
      <c r="O38" s="913">
        <v>120</v>
      </c>
      <c r="P38" s="199">
        <f>VALUE_Golem[[#This Row],[Valeur]]*VALUE_Golem[[#This Row],[Rang]]</f>
        <v>0</v>
      </c>
      <c r="Q38" s="908">
        <v>1</v>
      </c>
      <c r="R38" s="776">
        <f>Paramètres!BC6</f>
        <v>0</v>
      </c>
      <c r="S38" s="913">
        <v>900</v>
      </c>
      <c r="T38" s="199">
        <f>VALUE_Witch[[#This Row],[Valeur]]*VALUE_Witch[[#This Row],[Rang]]</f>
        <v>0</v>
      </c>
      <c r="U38" s="903">
        <v>1</v>
      </c>
      <c r="V38" s="776">
        <f>Paramètres!BD6</f>
        <v>0</v>
      </c>
      <c r="W38" s="913">
        <v>120</v>
      </c>
      <c r="X38" s="199">
        <f>VALUE_Lava_Hound[[#This Row],[Valeur]]*VALUE_Lava_Hound[[#This Row],[Rang]]</f>
        <v>0</v>
      </c>
      <c r="Y38" s="177"/>
      <c r="Z38" s="177"/>
      <c r="AA38" s="177"/>
      <c r="AB38" s="177"/>
      <c r="AC38" s="177"/>
      <c r="AD38" s="177"/>
      <c r="AE38" s="177"/>
      <c r="AF38" s="177"/>
      <c r="AG38" s="911"/>
      <c r="AH38" s="911"/>
      <c r="AI38" s="911"/>
      <c r="AJ38" s="911"/>
      <c r="AK38" s="911"/>
      <c r="AL38" s="911"/>
      <c r="AM38" s="911"/>
      <c r="AN38" s="911"/>
    </row>
    <row r="39" spans="1:40" ht="15.75" thickBot="1" x14ac:dyDescent="0.3">
      <c r="A39" s="561">
        <v>2</v>
      </c>
      <c r="B39" s="775">
        <f>Paramètres!AY7</f>
        <v>0</v>
      </c>
      <c r="C39" s="912">
        <v>240</v>
      </c>
      <c r="D39" s="200">
        <f>VALUE_Minion[[#This Row],[Valeur]]*VALUE_Minion[[#This Row],[Rang]]</f>
        <v>0</v>
      </c>
      <c r="E39" s="674">
        <v>2</v>
      </c>
      <c r="F39" s="775">
        <f>Paramètres!AZ7</f>
        <v>0</v>
      </c>
      <c r="G39" s="912">
        <v>240</v>
      </c>
      <c r="H39" s="200">
        <f>VALUE_Hog_Rider[[#This Row],[Valeur]]*VALUE_Hog_Rider[[#This Row],[Rang]]</f>
        <v>0</v>
      </c>
      <c r="I39" s="674">
        <v>2</v>
      </c>
      <c r="J39" s="775">
        <f>Paramètres!BA7</f>
        <v>0</v>
      </c>
      <c r="K39" s="912">
        <v>200</v>
      </c>
      <c r="L39" s="200">
        <f>VALUE_Valkyrie[[#This Row],[Valeur]]*VALUE_Valkyrie[[#This Row],[Rang]]</f>
        <v>0</v>
      </c>
      <c r="M39" s="561">
        <v>2</v>
      </c>
      <c r="N39" s="775">
        <f>Paramètres!BB7</f>
        <v>0</v>
      </c>
      <c r="O39" s="912">
        <v>240</v>
      </c>
      <c r="P39" s="200">
        <f>VALUE_Golem[[#This Row],[Valeur]]*VALUE_Golem[[#This Row],[Rang]]</f>
        <v>0</v>
      </c>
      <c r="Q39" s="909">
        <v>2</v>
      </c>
      <c r="R39" s="777">
        <f>Paramètres!BC7</f>
        <v>0</v>
      </c>
      <c r="S39" s="914">
        <v>2100</v>
      </c>
      <c r="T39" s="539">
        <f>VALUE_Witch[[#This Row],[Valeur]]*VALUE_Witch[[#This Row],[Rang]]</f>
        <v>0</v>
      </c>
      <c r="U39" s="561">
        <v>2</v>
      </c>
      <c r="V39" s="775">
        <f>Paramètres!BD7</f>
        <v>0</v>
      </c>
      <c r="W39" s="912">
        <v>240</v>
      </c>
      <c r="X39" s="200">
        <f>VALUE_Lava_Hound[[#This Row],[Valeur]]*VALUE_Lava_Hound[[#This Row],[Rang]]</f>
        <v>0</v>
      </c>
      <c r="Y39" s="177"/>
      <c r="Z39" s="177"/>
      <c r="AA39" s="177"/>
      <c r="AB39" s="177"/>
      <c r="AC39" s="177"/>
      <c r="AD39" s="177"/>
      <c r="AE39" s="177"/>
      <c r="AF39" s="177"/>
      <c r="AG39" s="911"/>
      <c r="AH39" s="911"/>
      <c r="AI39" s="911"/>
      <c r="AJ39" s="911"/>
      <c r="AK39" s="911"/>
      <c r="AL39" s="911"/>
      <c r="AM39" s="911"/>
      <c r="AN39" s="911"/>
    </row>
    <row r="40" spans="1:40" ht="15.75" thickBot="1" x14ac:dyDescent="0.3">
      <c r="A40" s="561">
        <v>3</v>
      </c>
      <c r="B40" s="775">
        <f>Paramètres!AY8</f>
        <v>0</v>
      </c>
      <c r="C40" s="912">
        <v>360</v>
      </c>
      <c r="D40" s="200">
        <f>VALUE_Minion[[#This Row],[Valeur]]*VALUE_Minion[[#This Row],[Rang]]</f>
        <v>0</v>
      </c>
      <c r="E40" s="674">
        <v>3</v>
      </c>
      <c r="F40" s="775">
        <f>Paramètres!AZ8</f>
        <v>0</v>
      </c>
      <c r="G40" s="912">
        <v>360</v>
      </c>
      <c r="H40" s="200">
        <f>VALUE_Hog_Rider[[#This Row],[Valeur]]*VALUE_Hog_Rider[[#This Row],[Rang]]</f>
        <v>0</v>
      </c>
      <c r="I40" s="674">
        <v>3</v>
      </c>
      <c r="J40" s="775">
        <f>Paramètres!BA8</f>
        <v>0</v>
      </c>
      <c r="K40" s="912">
        <v>300</v>
      </c>
      <c r="L40" s="200">
        <f>VALUE_Valkyrie[[#This Row],[Valeur]]*VALUE_Valkyrie[[#This Row],[Rang]]</f>
        <v>0</v>
      </c>
      <c r="M40" s="561">
        <v>3</v>
      </c>
      <c r="N40" s="775">
        <f>Paramètres!BB8</f>
        <v>0</v>
      </c>
      <c r="O40" s="912">
        <v>360</v>
      </c>
      <c r="P40" s="200">
        <f>VALUE_Golem[[#This Row],[Valeur]]*VALUE_Golem[[#This Row],[Rang]]</f>
        <v>0</v>
      </c>
      <c r="Q40" s="177"/>
      <c r="R40" s="177"/>
      <c r="S40" s="177"/>
      <c r="T40" s="177"/>
      <c r="U40" s="568">
        <v>3</v>
      </c>
      <c r="V40" s="777">
        <f>Paramètres!BD8</f>
        <v>0</v>
      </c>
      <c r="W40" s="914">
        <v>360</v>
      </c>
      <c r="X40" s="539">
        <f>VALUE_Lava_Hound[[#This Row],[Valeur]]*VALUE_Lava_Hound[[#This Row],[Rang]]</f>
        <v>0</v>
      </c>
      <c r="Y40" s="177"/>
      <c r="Z40" s="177"/>
      <c r="AA40" s="177"/>
      <c r="AB40" s="177"/>
      <c r="AC40" s="177"/>
      <c r="AD40" s="177"/>
      <c r="AE40" s="177"/>
      <c r="AF40" s="177"/>
      <c r="AG40" s="911"/>
      <c r="AH40" s="911"/>
      <c r="AI40" s="911"/>
      <c r="AJ40" s="911"/>
      <c r="AK40" s="911"/>
      <c r="AL40" s="911"/>
      <c r="AM40" s="911"/>
      <c r="AN40" s="911"/>
    </row>
    <row r="41" spans="1:40" ht="15.75" thickBot="1" x14ac:dyDescent="0.3">
      <c r="A41" s="561">
        <v>4</v>
      </c>
      <c r="B41" s="775">
        <f>Paramètres!AY9</f>
        <v>0</v>
      </c>
      <c r="C41" s="912">
        <v>480</v>
      </c>
      <c r="D41" s="200">
        <f>VALUE_Minion[[#This Row],[Valeur]]*VALUE_Minion[[#This Row],[Rang]]</f>
        <v>0</v>
      </c>
      <c r="E41" s="674">
        <v>4</v>
      </c>
      <c r="F41" s="775">
        <f>Paramètres!AZ9</f>
        <v>0</v>
      </c>
      <c r="G41" s="912">
        <v>480</v>
      </c>
      <c r="H41" s="200">
        <f>VALUE_Hog_Rider[[#This Row],[Valeur]]*VALUE_Hog_Rider[[#This Row],[Rang]]</f>
        <v>0</v>
      </c>
      <c r="I41" s="909">
        <v>4</v>
      </c>
      <c r="J41" s="777">
        <f>Paramètres!BA9</f>
        <v>0</v>
      </c>
      <c r="K41" s="914">
        <v>400</v>
      </c>
      <c r="L41" s="539">
        <f>VALUE_Valkyrie[[#This Row],[Valeur]]*VALUE_Valkyrie[[#This Row],[Rang]]</f>
        <v>0</v>
      </c>
      <c r="M41" s="561">
        <v>4</v>
      </c>
      <c r="N41" s="775">
        <f>Paramètres!BB9</f>
        <v>0</v>
      </c>
      <c r="O41" s="912">
        <v>480</v>
      </c>
      <c r="P41" s="200">
        <f>VALUE_Golem[[#This Row],[Valeur]]*VALUE_Golem[[#This Row],[Rang]]</f>
        <v>0</v>
      </c>
      <c r="Q41" s="177"/>
      <c r="R41" s="177"/>
      <c r="S41" s="177"/>
      <c r="T41" s="177"/>
      <c r="U41" s="177"/>
      <c r="V41" s="177"/>
      <c r="W41" s="177"/>
      <c r="X41" s="177"/>
      <c r="Y41" s="177"/>
      <c r="Z41" s="177"/>
      <c r="AA41" s="177"/>
      <c r="AB41" s="177"/>
      <c r="AC41" s="177"/>
      <c r="AD41" s="177"/>
      <c r="AE41" s="177"/>
      <c r="AF41" s="177"/>
      <c r="AG41" s="911"/>
      <c r="AH41" s="911"/>
      <c r="AI41" s="911"/>
      <c r="AJ41" s="911"/>
      <c r="AK41" s="911"/>
      <c r="AL41" s="911"/>
      <c r="AM41" s="911"/>
      <c r="AN41" s="911"/>
    </row>
    <row r="42" spans="1:40" ht="15.75" thickBot="1" x14ac:dyDescent="0.3">
      <c r="A42" s="561">
        <v>5</v>
      </c>
      <c r="B42" s="775">
        <f>Paramètres!AY10</f>
        <v>0</v>
      </c>
      <c r="C42" s="912">
        <v>600</v>
      </c>
      <c r="D42" s="200">
        <f>VALUE_Minion[[#This Row],[Valeur]]*VALUE_Minion[[#This Row],[Rang]]</f>
        <v>0</v>
      </c>
      <c r="E42" s="909">
        <v>5</v>
      </c>
      <c r="F42" s="777">
        <f>Paramètres!AZ10</f>
        <v>0</v>
      </c>
      <c r="G42" s="914">
        <v>600</v>
      </c>
      <c r="H42" s="539">
        <f>VALUE_Hog_Rider[[#This Row],[Valeur]]*VALUE_Hog_Rider[[#This Row],[Rang]]</f>
        <v>0</v>
      </c>
      <c r="I42" s="177"/>
      <c r="J42" s="177"/>
      <c r="K42" s="177"/>
      <c r="L42" s="177"/>
      <c r="M42" s="568">
        <v>5</v>
      </c>
      <c r="N42" s="777">
        <f>Paramètres!BB10</f>
        <v>0</v>
      </c>
      <c r="O42" s="914">
        <v>600</v>
      </c>
      <c r="P42" s="539">
        <f>VALUE_Golem[[#This Row],[Valeur]]*VALUE_Golem[[#This Row],[Rang]]</f>
        <v>0</v>
      </c>
      <c r="Q42" s="177"/>
      <c r="R42" s="177"/>
      <c r="S42" s="177"/>
      <c r="T42" s="177"/>
      <c r="U42" s="177"/>
      <c r="V42" s="177"/>
      <c r="W42" s="177"/>
      <c r="X42" s="177"/>
      <c r="Y42" s="177"/>
      <c r="Z42" s="177"/>
      <c r="AA42" s="177"/>
      <c r="AB42" s="177"/>
      <c r="AC42" s="177"/>
      <c r="AD42" s="177"/>
      <c r="AE42" s="177"/>
      <c r="AF42" s="177"/>
      <c r="AG42" s="911"/>
      <c r="AH42" s="911"/>
      <c r="AI42" s="911"/>
      <c r="AJ42" s="911"/>
      <c r="AK42" s="911"/>
      <c r="AL42" s="911"/>
      <c r="AM42" s="911"/>
      <c r="AN42" s="911"/>
    </row>
    <row r="43" spans="1:40" ht="15.75" thickBot="1" x14ac:dyDescent="0.3">
      <c r="A43" s="568">
        <v>6</v>
      </c>
      <c r="B43" s="777">
        <f>Paramètres!AY11</f>
        <v>0</v>
      </c>
      <c r="C43" s="914">
        <v>720</v>
      </c>
      <c r="D43" s="539">
        <f>VALUE_Minion[[#This Row],[Valeur]]*VALUE_Minion[[#This Row],[Rang]]</f>
        <v>0</v>
      </c>
      <c r="E43" s="177"/>
      <c r="F43" s="177"/>
      <c r="G43" s="177"/>
      <c r="H43" s="177"/>
      <c r="I43" s="177"/>
      <c r="J43" s="177"/>
      <c r="K43" s="177"/>
      <c r="L43" s="177"/>
      <c r="M43" s="177"/>
      <c r="N43" s="177"/>
      <c r="O43" s="177"/>
      <c r="P43" s="177"/>
      <c r="Q43" s="177"/>
      <c r="R43" s="177"/>
      <c r="S43" s="177"/>
      <c r="T43" s="177"/>
      <c r="U43" s="177"/>
      <c r="V43" s="177"/>
      <c r="W43" s="177"/>
      <c r="X43" s="177"/>
      <c r="Y43" s="177"/>
      <c r="Z43" s="177"/>
      <c r="AA43" s="177"/>
      <c r="AB43" s="177"/>
      <c r="AC43" s="177"/>
      <c r="AD43" s="177"/>
      <c r="AE43" s="177"/>
      <c r="AF43" s="177"/>
      <c r="AG43" s="911"/>
      <c r="AH43" s="911"/>
      <c r="AI43" s="911"/>
      <c r="AJ43" s="911"/>
      <c r="AK43" s="911"/>
      <c r="AL43" s="911"/>
      <c r="AM43" s="911"/>
      <c r="AN43" s="911"/>
    </row>
    <row r="44" spans="1:40" x14ac:dyDescent="0.25">
      <c r="A44" s="177"/>
      <c r="B44" s="177"/>
      <c r="C44" s="177"/>
      <c r="D44" s="177"/>
      <c r="E44" s="177"/>
      <c r="F44" s="177"/>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7"/>
      <c r="AE44" s="177"/>
      <c r="AF44" s="177"/>
      <c r="AG44" s="911"/>
      <c r="AH44" s="911"/>
      <c r="AI44" s="911"/>
      <c r="AJ44" s="911"/>
      <c r="AK44" s="911"/>
      <c r="AL44" s="911"/>
      <c r="AM44" s="911"/>
      <c r="AN44" s="911"/>
    </row>
    <row r="45" spans="1:40" ht="15.75" thickBot="1" x14ac:dyDescent="0.3">
      <c r="A45" s="177"/>
      <c r="B45" s="177"/>
      <c r="C45" s="177"/>
      <c r="D45" s="177"/>
      <c r="E45" s="177"/>
      <c r="F45" s="177"/>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177"/>
      <c r="AE45" s="177"/>
      <c r="AF45" s="177"/>
      <c r="AG45" s="911"/>
      <c r="AH45" s="911"/>
      <c r="AI45" s="911"/>
      <c r="AJ45" s="911"/>
      <c r="AK45" s="911"/>
      <c r="AL45" s="911"/>
      <c r="AM45" s="911"/>
      <c r="AN45" s="911"/>
    </row>
    <row r="46" spans="1:40" ht="19.5" customHeight="1" thickBot="1" x14ac:dyDescent="0.3">
      <c r="A46" s="1025" t="s">
        <v>684</v>
      </c>
      <c r="B46" s="1026"/>
      <c r="C46" s="1026"/>
      <c r="D46" s="1026"/>
      <c r="E46" s="1026"/>
      <c r="F46" s="1026"/>
      <c r="G46" s="1026"/>
      <c r="H46" s="1026"/>
      <c r="I46" s="1026"/>
      <c r="J46" s="1026"/>
      <c r="K46" s="1026"/>
      <c r="L46" s="1026"/>
      <c r="M46" s="1026"/>
      <c r="N46" s="1026"/>
      <c r="O46" s="1026"/>
      <c r="P46" s="1026"/>
      <c r="Q46" s="1026"/>
      <c r="R46" s="1026"/>
      <c r="S46" s="1026"/>
      <c r="T46" s="1026"/>
      <c r="U46" s="1026"/>
      <c r="V46" s="1026"/>
      <c r="W46" s="1026"/>
      <c r="X46" s="1026"/>
      <c r="Y46" s="177"/>
      <c r="Z46" s="1262" t="s">
        <v>688</v>
      </c>
      <c r="AA46" s="1263"/>
      <c r="AB46" s="1263"/>
      <c r="AC46" s="1263"/>
      <c r="AD46" s="1263"/>
      <c r="AE46" s="1263"/>
      <c r="AF46" s="1263"/>
      <c r="AG46" s="1264"/>
      <c r="AH46" s="911"/>
      <c r="AI46" s="911"/>
      <c r="AJ46" s="911"/>
      <c r="AK46" s="911"/>
      <c r="AL46" s="911"/>
      <c r="AM46" s="911"/>
      <c r="AN46" s="911"/>
    </row>
    <row r="47" spans="1:40" ht="15.75" customHeight="1" thickBot="1" x14ac:dyDescent="0.3">
      <c r="A47" s="1321" t="s">
        <v>176</v>
      </c>
      <c r="B47" s="1322"/>
      <c r="C47" s="1322"/>
      <c r="D47" s="1323"/>
      <c r="E47" s="1321" t="s">
        <v>211</v>
      </c>
      <c r="F47" s="1322"/>
      <c r="G47" s="1322"/>
      <c r="H47" s="1323"/>
      <c r="I47" s="1321" t="s">
        <v>212</v>
      </c>
      <c r="J47" s="1322"/>
      <c r="K47" s="1322"/>
      <c r="L47" s="1323"/>
      <c r="M47" s="1324" t="s">
        <v>452</v>
      </c>
      <c r="N47" s="1325"/>
      <c r="O47" s="1325"/>
      <c r="P47" s="1326"/>
      <c r="Q47" s="1321" t="s">
        <v>210</v>
      </c>
      <c r="R47" s="1322"/>
      <c r="S47" s="1322"/>
      <c r="T47" s="1323"/>
      <c r="U47" s="1321" t="s">
        <v>453</v>
      </c>
      <c r="V47" s="1322"/>
      <c r="W47" s="1322"/>
      <c r="X47" s="1322"/>
      <c r="Y47" s="177"/>
      <c r="Z47" s="1321" t="s">
        <v>198</v>
      </c>
      <c r="AA47" s="1322"/>
      <c r="AB47" s="1322"/>
      <c r="AC47" s="1323"/>
      <c r="AD47" s="1321" t="s">
        <v>197</v>
      </c>
      <c r="AE47" s="1322"/>
      <c r="AF47" s="1322"/>
      <c r="AG47" s="1323"/>
      <c r="AH47" s="911"/>
      <c r="AI47" s="911"/>
      <c r="AJ47" s="911"/>
      <c r="AK47" s="911"/>
      <c r="AL47" s="911"/>
      <c r="AM47" s="911"/>
      <c r="AN47" s="911"/>
    </row>
    <row r="48" spans="1:40" ht="15.75" thickBot="1" x14ac:dyDescent="0.3">
      <c r="A48" s="186" t="s">
        <v>17</v>
      </c>
      <c r="B48" s="907" t="s">
        <v>702</v>
      </c>
      <c r="C48" s="757" t="s">
        <v>683</v>
      </c>
      <c r="D48" s="188" t="s">
        <v>31</v>
      </c>
      <c r="E48" s="186" t="s">
        <v>17</v>
      </c>
      <c r="F48" s="907" t="s">
        <v>702</v>
      </c>
      <c r="G48" s="757" t="s">
        <v>683</v>
      </c>
      <c r="H48" s="188" t="s">
        <v>31</v>
      </c>
      <c r="I48" s="186" t="s">
        <v>17</v>
      </c>
      <c r="J48" s="907" t="s">
        <v>702</v>
      </c>
      <c r="K48" s="757" t="s">
        <v>683</v>
      </c>
      <c r="L48" s="188" t="s">
        <v>31</v>
      </c>
      <c r="M48" s="186" t="s">
        <v>17</v>
      </c>
      <c r="N48" s="907" t="s">
        <v>702</v>
      </c>
      <c r="O48" s="757" t="s">
        <v>683</v>
      </c>
      <c r="P48" s="188" t="s">
        <v>31</v>
      </c>
      <c r="Q48" s="186" t="s">
        <v>17</v>
      </c>
      <c r="R48" s="907" t="s">
        <v>702</v>
      </c>
      <c r="S48" s="757" t="s">
        <v>683</v>
      </c>
      <c r="T48" s="188" t="s">
        <v>31</v>
      </c>
      <c r="U48" s="186" t="s">
        <v>17</v>
      </c>
      <c r="V48" s="907" t="s">
        <v>702</v>
      </c>
      <c r="W48" s="757" t="s">
        <v>683</v>
      </c>
      <c r="X48" s="188" t="s">
        <v>31</v>
      </c>
      <c r="Y48" s="177"/>
      <c r="Z48" s="186" t="s">
        <v>17</v>
      </c>
      <c r="AA48" s="907" t="s">
        <v>702</v>
      </c>
      <c r="AB48" s="757" t="s">
        <v>683</v>
      </c>
      <c r="AC48" s="188" t="s">
        <v>31</v>
      </c>
      <c r="AD48" s="186" t="s">
        <v>17</v>
      </c>
      <c r="AE48" s="907" t="s">
        <v>702</v>
      </c>
      <c r="AF48" s="757" t="s">
        <v>683</v>
      </c>
      <c r="AG48" s="188" t="s">
        <v>31</v>
      </c>
      <c r="AH48" s="177"/>
      <c r="AI48" s="177"/>
      <c r="AJ48" s="177"/>
      <c r="AK48" s="911"/>
      <c r="AL48" s="911"/>
      <c r="AM48" s="911"/>
      <c r="AN48" s="911"/>
    </row>
    <row r="49" spans="1:40" x14ac:dyDescent="0.25">
      <c r="A49" s="903">
        <v>1</v>
      </c>
      <c r="B49" s="915">
        <f>Paramètres!B6</f>
        <v>0</v>
      </c>
      <c r="C49" s="913">
        <v>0</v>
      </c>
      <c r="D49" s="199">
        <f>VALUE_Gold_Mine[[#This Row],[Valeur]]*VALUE_Gold_Mine[[#This Row],[Rang]]</f>
        <v>0</v>
      </c>
      <c r="E49" s="903">
        <v>1</v>
      </c>
      <c r="F49" s="915">
        <f>Paramètres!D6</f>
        <v>0</v>
      </c>
      <c r="G49" s="913">
        <v>0</v>
      </c>
      <c r="H49" s="199">
        <f>VALUE_Dark_Elixir_Drill[[#This Row],[Valeur]]*VALUE_Dark_Elixir_Drill[[#This Row],[Rang]]</f>
        <v>0</v>
      </c>
      <c r="I49" s="903">
        <v>1</v>
      </c>
      <c r="J49" s="915">
        <f>Paramètres!E6</f>
        <v>0</v>
      </c>
      <c r="K49" s="913">
        <v>0</v>
      </c>
      <c r="L49" s="199">
        <f>VALUE_Gold_Storage[[#This Row],[Valeur]]*VALUE_Gold_Storage[[#This Row],[Rang]]</f>
        <v>0</v>
      </c>
      <c r="M49" s="903">
        <v>1</v>
      </c>
      <c r="N49" s="915">
        <f>Paramètres!G6</f>
        <v>0</v>
      </c>
      <c r="O49" s="913">
        <v>0</v>
      </c>
      <c r="P49" s="199">
        <f>VALUE_Dark_Elixir_Storage[[#This Row],[Valeur]]*VALUE_Dark_Elixir_Storage[[#This Row],[Rang]]</f>
        <v>0</v>
      </c>
      <c r="Q49" s="903">
        <v>1</v>
      </c>
      <c r="R49" s="915">
        <f>Paramètres!C6</f>
        <v>0</v>
      </c>
      <c r="S49" s="913">
        <v>0</v>
      </c>
      <c r="T49" s="199">
        <f>VALUE_Elixir_Collector[[#This Row],[Valeur]]*VALUE_Elixir_Collector[[#This Row],[Rang]]</f>
        <v>0</v>
      </c>
      <c r="U49" s="903">
        <v>1</v>
      </c>
      <c r="V49" s="915">
        <f>Paramètres!F6</f>
        <v>0</v>
      </c>
      <c r="W49" s="913">
        <v>0</v>
      </c>
      <c r="X49" s="199">
        <f>VALUE_Elixir_Storage[[#This Row],[Valeur]]*VALUE_Elixir_Storage[[#This Row],[Rang]]</f>
        <v>0</v>
      </c>
      <c r="Y49" s="177"/>
      <c r="Z49" s="903">
        <v>1</v>
      </c>
      <c r="AA49" s="915">
        <f>Paramètres!AD6</f>
        <v>0</v>
      </c>
      <c r="AB49" s="913">
        <v>0</v>
      </c>
      <c r="AC49" s="199">
        <f>VALUE_Clan_Castle[[#This Row],[Valeur]]*VALUE_Clan_Castle[[#This Row],[Rang]]</f>
        <v>0</v>
      </c>
      <c r="AD49" s="903">
        <v>1</v>
      </c>
      <c r="AE49" s="915">
        <f>Paramètres!AE6</f>
        <v>1</v>
      </c>
      <c r="AF49" s="913">
        <v>0</v>
      </c>
      <c r="AG49" s="199">
        <f>VALUE_Town_Home[[#This Row],[Valeur]]*VALUE_Town_Home[[#This Row],[Rang]]</f>
        <v>0</v>
      </c>
      <c r="AH49" s="177"/>
      <c r="AI49" s="177"/>
      <c r="AJ49" s="177"/>
      <c r="AK49" s="911"/>
      <c r="AL49" s="911"/>
      <c r="AM49" s="911"/>
      <c r="AN49" s="911"/>
    </row>
    <row r="50" spans="1:40" x14ac:dyDescent="0.25">
      <c r="A50" s="561">
        <v>2</v>
      </c>
      <c r="B50" s="916">
        <f>Paramètres!B7</f>
        <v>0</v>
      </c>
      <c r="C50" s="912">
        <v>0</v>
      </c>
      <c r="D50" s="200">
        <f>VALUE_Gold_Mine[[#This Row],[Valeur]]*VALUE_Gold_Mine[[#This Row],[Rang]]</f>
        <v>0</v>
      </c>
      <c r="E50" s="561">
        <v>2</v>
      </c>
      <c r="F50" s="916">
        <f>Paramètres!D7</f>
        <v>0</v>
      </c>
      <c r="G50" s="912">
        <v>0</v>
      </c>
      <c r="H50" s="200">
        <f>VALUE_Dark_Elixir_Drill[[#This Row],[Valeur]]*VALUE_Dark_Elixir_Drill[[#This Row],[Rang]]</f>
        <v>0</v>
      </c>
      <c r="I50" s="561">
        <v>2</v>
      </c>
      <c r="J50" s="916">
        <f>Paramètres!E7</f>
        <v>0</v>
      </c>
      <c r="K50" s="912">
        <v>0</v>
      </c>
      <c r="L50" s="200">
        <f>VALUE_Gold_Storage[[#This Row],[Valeur]]*VALUE_Gold_Storage[[#This Row],[Rang]]</f>
        <v>0</v>
      </c>
      <c r="M50" s="561">
        <v>2</v>
      </c>
      <c r="N50" s="916">
        <f>Paramètres!G7</f>
        <v>0</v>
      </c>
      <c r="O50" s="912">
        <v>0</v>
      </c>
      <c r="P50" s="200">
        <f>VALUE_Dark_Elixir_Storage[[#This Row],[Valeur]]*VALUE_Dark_Elixir_Storage[[#This Row],[Rang]]</f>
        <v>0</v>
      </c>
      <c r="Q50" s="561">
        <v>2</v>
      </c>
      <c r="R50" s="916">
        <f>Paramètres!C7</f>
        <v>0</v>
      </c>
      <c r="S50" s="912">
        <v>0</v>
      </c>
      <c r="T50" s="200">
        <f>VALUE_Elixir_Collector[[#This Row],[Valeur]]*VALUE_Elixir_Collector[[#This Row],[Rang]]</f>
        <v>0</v>
      </c>
      <c r="U50" s="561">
        <v>2</v>
      </c>
      <c r="V50" s="916">
        <f>Paramètres!F7</f>
        <v>0</v>
      </c>
      <c r="W50" s="912">
        <v>0</v>
      </c>
      <c r="X50" s="200">
        <f>VALUE_Elixir_Storage[[#This Row],[Valeur]]*VALUE_Elixir_Storage[[#This Row],[Rang]]</f>
        <v>0</v>
      </c>
      <c r="Y50" s="177"/>
      <c r="Z50" s="561">
        <v>2</v>
      </c>
      <c r="AA50" s="916">
        <f>Paramètres!AD7</f>
        <v>0</v>
      </c>
      <c r="AB50" s="912">
        <v>0</v>
      </c>
      <c r="AC50" s="200">
        <f>VALUE_Clan_Castle[[#This Row],[Valeur]]*VALUE_Clan_Castle[[#This Row],[Rang]]</f>
        <v>0</v>
      </c>
      <c r="AD50" s="561">
        <v>2</v>
      </c>
      <c r="AE50" s="916">
        <f>Paramètres!AE7</f>
        <v>0</v>
      </c>
      <c r="AF50" s="912">
        <v>0</v>
      </c>
      <c r="AG50" s="200">
        <f>VALUE_Town_Home[[#This Row],[Valeur]]*VALUE_Town_Home[[#This Row],[Rang]]</f>
        <v>0</v>
      </c>
      <c r="AH50" s="177"/>
      <c r="AI50" s="177"/>
      <c r="AJ50" s="177"/>
      <c r="AK50" s="911"/>
      <c r="AL50" s="911"/>
      <c r="AM50" s="911"/>
      <c r="AN50" s="911"/>
    </row>
    <row r="51" spans="1:40" x14ac:dyDescent="0.25">
      <c r="A51" s="561">
        <v>3</v>
      </c>
      <c r="B51" s="916">
        <f>Paramètres!B8</f>
        <v>0</v>
      </c>
      <c r="C51" s="912">
        <v>0</v>
      </c>
      <c r="D51" s="200">
        <f>VALUE_Gold_Mine[[#This Row],[Valeur]]*VALUE_Gold_Mine[[#This Row],[Rang]]</f>
        <v>0</v>
      </c>
      <c r="E51" s="561">
        <v>3</v>
      </c>
      <c r="F51" s="916">
        <f>Paramètres!D8</f>
        <v>0</v>
      </c>
      <c r="G51" s="912">
        <v>0</v>
      </c>
      <c r="H51" s="200">
        <f>VALUE_Dark_Elixir_Drill[[#This Row],[Valeur]]*VALUE_Dark_Elixir_Drill[[#This Row],[Rang]]</f>
        <v>0</v>
      </c>
      <c r="I51" s="561">
        <v>3</v>
      </c>
      <c r="J51" s="916">
        <f>Paramètres!E8</f>
        <v>0</v>
      </c>
      <c r="K51" s="912">
        <v>0</v>
      </c>
      <c r="L51" s="200">
        <f>VALUE_Gold_Storage[[#This Row],[Valeur]]*VALUE_Gold_Storage[[#This Row],[Rang]]</f>
        <v>0</v>
      </c>
      <c r="M51" s="561">
        <v>3</v>
      </c>
      <c r="N51" s="916">
        <f>Paramètres!G8</f>
        <v>0</v>
      </c>
      <c r="O51" s="912">
        <v>0</v>
      </c>
      <c r="P51" s="200">
        <f>VALUE_Dark_Elixir_Storage[[#This Row],[Valeur]]*VALUE_Dark_Elixir_Storage[[#This Row],[Rang]]</f>
        <v>0</v>
      </c>
      <c r="Q51" s="561">
        <v>3</v>
      </c>
      <c r="R51" s="916">
        <f>Paramètres!C8</f>
        <v>0</v>
      </c>
      <c r="S51" s="912">
        <v>0</v>
      </c>
      <c r="T51" s="200">
        <f>VALUE_Elixir_Collector[[#This Row],[Valeur]]*VALUE_Elixir_Collector[[#This Row],[Rang]]</f>
        <v>0</v>
      </c>
      <c r="U51" s="561">
        <v>3</v>
      </c>
      <c r="V51" s="916">
        <f>Paramètres!F8</f>
        <v>0</v>
      </c>
      <c r="W51" s="912">
        <v>0</v>
      </c>
      <c r="X51" s="200">
        <f>VALUE_Elixir_Storage[[#This Row],[Valeur]]*VALUE_Elixir_Storage[[#This Row],[Rang]]</f>
        <v>0</v>
      </c>
      <c r="Y51" s="177"/>
      <c r="Z51" s="561">
        <v>3</v>
      </c>
      <c r="AA51" s="916">
        <f>Paramètres!AD8</f>
        <v>0</v>
      </c>
      <c r="AB51" s="912">
        <v>0</v>
      </c>
      <c r="AC51" s="200">
        <f>VALUE_Clan_Castle[[#This Row],[Valeur]]*VALUE_Clan_Castle[[#This Row],[Rang]]</f>
        <v>0</v>
      </c>
      <c r="AD51" s="561">
        <v>3</v>
      </c>
      <c r="AE51" s="916">
        <f>Paramètres!AE8</f>
        <v>0</v>
      </c>
      <c r="AF51" s="912">
        <v>0</v>
      </c>
      <c r="AG51" s="200">
        <f>VALUE_Town_Home[[#This Row],[Valeur]]*VALUE_Town_Home[[#This Row],[Rang]]</f>
        <v>0</v>
      </c>
      <c r="AH51" s="177"/>
      <c r="AI51" s="177"/>
      <c r="AJ51" s="177"/>
      <c r="AK51" s="911"/>
      <c r="AL51" s="911"/>
      <c r="AM51" s="911"/>
      <c r="AN51" s="911"/>
    </row>
    <row r="52" spans="1:40" x14ac:dyDescent="0.25">
      <c r="A52" s="561">
        <v>4</v>
      </c>
      <c r="B52" s="916">
        <f>Paramètres!B9</f>
        <v>0</v>
      </c>
      <c r="C52" s="912">
        <v>0</v>
      </c>
      <c r="D52" s="200">
        <f>VALUE_Gold_Mine[[#This Row],[Valeur]]*VALUE_Gold_Mine[[#This Row],[Rang]]</f>
        <v>0</v>
      </c>
      <c r="E52" s="561">
        <v>4</v>
      </c>
      <c r="F52" s="916">
        <f>Paramètres!D9</f>
        <v>0</v>
      </c>
      <c r="G52" s="912">
        <v>0</v>
      </c>
      <c r="H52" s="200">
        <f>VALUE_Dark_Elixir_Drill[[#This Row],[Valeur]]*VALUE_Dark_Elixir_Drill[[#This Row],[Rang]]</f>
        <v>0</v>
      </c>
      <c r="I52" s="561">
        <v>4</v>
      </c>
      <c r="J52" s="916">
        <f>Paramètres!E9</f>
        <v>0</v>
      </c>
      <c r="K52" s="912">
        <v>0</v>
      </c>
      <c r="L52" s="200">
        <f>VALUE_Gold_Storage[[#This Row],[Valeur]]*VALUE_Gold_Storage[[#This Row],[Rang]]</f>
        <v>0</v>
      </c>
      <c r="M52" s="561">
        <v>4</v>
      </c>
      <c r="N52" s="916">
        <f>Paramètres!G9</f>
        <v>0</v>
      </c>
      <c r="O52" s="912">
        <v>0</v>
      </c>
      <c r="P52" s="200">
        <f>VALUE_Dark_Elixir_Storage[[#This Row],[Valeur]]*VALUE_Dark_Elixir_Storage[[#This Row],[Rang]]</f>
        <v>0</v>
      </c>
      <c r="Q52" s="561">
        <v>4</v>
      </c>
      <c r="R52" s="916">
        <f>Paramètres!C9</f>
        <v>0</v>
      </c>
      <c r="S52" s="912">
        <v>0</v>
      </c>
      <c r="T52" s="200">
        <f>VALUE_Elixir_Collector[[#This Row],[Valeur]]*VALUE_Elixir_Collector[[#This Row],[Rang]]</f>
        <v>0</v>
      </c>
      <c r="U52" s="561">
        <v>4</v>
      </c>
      <c r="V52" s="916">
        <f>Paramètres!F9</f>
        <v>0</v>
      </c>
      <c r="W52" s="912">
        <v>0</v>
      </c>
      <c r="X52" s="200">
        <f>VALUE_Elixir_Storage[[#This Row],[Valeur]]*VALUE_Elixir_Storage[[#This Row],[Rang]]</f>
        <v>0</v>
      </c>
      <c r="Y52" s="177"/>
      <c r="Z52" s="561">
        <v>4</v>
      </c>
      <c r="AA52" s="916">
        <f>Paramètres!AD9</f>
        <v>0</v>
      </c>
      <c r="AB52" s="912">
        <v>0</v>
      </c>
      <c r="AC52" s="200">
        <f>VALUE_Clan_Castle[[#This Row],[Valeur]]*VALUE_Clan_Castle[[#This Row],[Rang]]</f>
        <v>0</v>
      </c>
      <c r="AD52" s="561">
        <v>4</v>
      </c>
      <c r="AE52" s="916">
        <f>Paramètres!AE9</f>
        <v>0</v>
      </c>
      <c r="AF52" s="912">
        <v>0</v>
      </c>
      <c r="AG52" s="200">
        <f>VALUE_Town_Home[[#This Row],[Valeur]]*VALUE_Town_Home[[#This Row],[Rang]]</f>
        <v>0</v>
      </c>
      <c r="AH52" s="177"/>
      <c r="AI52" s="177"/>
      <c r="AJ52" s="177"/>
      <c r="AK52" s="911"/>
      <c r="AL52" s="911"/>
      <c r="AM52" s="911"/>
      <c r="AN52" s="911"/>
    </row>
    <row r="53" spans="1:40" x14ac:dyDescent="0.25">
      <c r="A53" s="561">
        <v>5</v>
      </c>
      <c r="B53" s="916">
        <f>Paramètres!B10</f>
        <v>0</v>
      </c>
      <c r="C53" s="912">
        <v>0</v>
      </c>
      <c r="D53" s="200">
        <f>VALUE_Gold_Mine[[#This Row],[Valeur]]*VALUE_Gold_Mine[[#This Row],[Rang]]</f>
        <v>0</v>
      </c>
      <c r="E53" s="561">
        <v>5</v>
      </c>
      <c r="F53" s="916">
        <f>Paramètres!D10</f>
        <v>0</v>
      </c>
      <c r="G53" s="912">
        <v>0</v>
      </c>
      <c r="H53" s="200">
        <f>VALUE_Dark_Elixir_Drill[[#This Row],[Valeur]]*VALUE_Dark_Elixir_Drill[[#This Row],[Rang]]</f>
        <v>0</v>
      </c>
      <c r="I53" s="561">
        <v>5</v>
      </c>
      <c r="J53" s="916">
        <f>Paramètres!E10</f>
        <v>0</v>
      </c>
      <c r="K53" s="912">
        <v>0</v>
      </c>
      <c r="L53" s="200">
        <f>VALUE_Gold_Storage[[#This Row],[Valeur]]*VALUE_Gold_Storage[[#This Row],[Rang]]</f>
        <v>0</v>
      </c>
      <c r="M53" s="561">
        <v>5</v>
      </c>
      <c r="N53" s="916">
        <f>Paramètres!G10</f>
        <v>0</v>
      </c>
      <c r="O53" s="912">
        <v>0</v>
      </c>
      <c r="P53" s="200">
        <f>VALUE_Dark_Elixir_Storage[[#This Row],[Valeur]]*VALUE_Dark_Elixir_Storage[[#This Row],[Rang]]</f>
        <v>0</v>
      </c>
      <c r="Q53" s="561">
        <v>5</v>
      </c>
      <c r="R53" s="916">
        <f>Paramètres!C10</f>
        <v>0</v>
      </c>
      <c r="S53" s="912">
        <v>0</v>
      </c>
      <c r="T53" s="200">
        <f>VALUE_Elixir_Collector[[#This Row],[Valeur]]*VALUE_Elixir_Collector[[#This Row],[Rang]]</f>
        <v>0</v>
      </c>
      <c r="U53" s="561">
        <v>5</v>
      </c>
      <c r="V53" s="916">
        <f>Paramètres!F10</f>
        <v>0</v>
      </c>
      <c r="W53" s="912">
        <v>0</v>
      </c>
      <c r="X53" s="200">
        <f>VALUE_Elixir_Storage[[#This Row],[Valeur]]*VALUE_Elixir_Storage[[#This Row],[Rang]]</f>
        <v>0</v>
      </c>
      <c r="Y53" s="177"/>
      <c r="Z53" s="561">
        <v>5</v>
      </c>
      <c r="AA53" s="916">
        <f>Paramètres!AD10</f>
        <v>0</v>
      </c>
      <c r="AB53" s="912">
        <v>0</v>
      </c>
      <c r="AC53" s="200">
        <f>VALUE_Clan_Castle[[#This Row],[Valeur]]*VALUE_Clan_Castle[[#This Row],[Rang]]</f>
        <v>0</v>
      </c>
      <c r="AD53" s="561">
        <v>5</v>
      </c>
      <c r="AE53" s="916">
        <f>Paramètres!AE10</f>
        <v>0</v>
      </c>
      <c r="AF53" s="912">
        <v>0</v>
      </c>
      <c r="AG53" s="200">
        <f>VALUE_Town_Home[[#This Row],[Valeur]]*VALUE_Town_Home[[#This Row],[Rang]]</f>
        <v>0</v>
      </c>
      <c r="AH53" s="177"/>
      <c r="AI53" s="177"/>
      <c r="AJ53" s="177"/>
      <c r="AK53" s="911"/>
      <c r="AL53" s="911"/>
      <c r="AM53" s="911"/>
      <c r="AN53" s="911"/>
    </row>
    <row r="54" spans="1:40" ht="15.75" thickBot="1" x14ac:dyDescent="0.3">
      <c r="A54" s="561">
        <v>6</v>
      </c>
      <c r="B54" s="916">
        <f>Paramètres!B11</f>
        <v>0</v>
      </c>
      <c r="C54" s="912">
        <v>0</v>
      </c>
      <c r="D54" s="200">
        <f>VALUE_Gold_Mine[[#This Row],[Valeur]]*VALUE_Gold_Mine[[#This Row],[Rang]]</f>
        <v>0</v>
      </c>
      <c r="E54" s="568">
        <v>6</v>
      </c>
      <c r="F54" s="917">
        <f>Paramètres!D11</f>
        <v>0</v>
      </c>
      <c r="G54" s="914">
        <v>0</v>
      </c>
      <c r="H54" s="539">
        <f>VALUE_Dark_Elixir_Drill[[#This Row],[Valeur]]*VALUE_Dark_Elixir_Drill[[#This Row],[Rang]]</f>
        <v>0</v>
      </c>
      <c r="I54" s="561">
        <v>6</v>
      </c>
      <c r="J54" s="916">
        <f>Paramètres!E11</f>
        <v>0</v>
      </c>
      <c r="K54" s="912">
        <v>0</v>
      </c>
      <c r="L54" s="200">
        <f>VALUE_Gold_Storage[[#This Row],[Valeur]]*VALUE_Gold_Storage[[#This Row],[Rang]]</f>
        <v>0</v>
      </c>
      <c r="M54" s="568">
        <v>6</v>
      </c>
      <c r="N54" s="917">
        <f>Paramètres!G11</f>
        <v>0</v>
      </c>
      <c r="O54" s="914">
        <v>0</v>
      </c>
      <c r="P54" s="539">
        <f>VALUE_Dark_Elixir_Storage[[#This Row],[Valeur]]*VALUE_Dark_Elixir_Storage[[#This Row],[Rang]]</f>
        <v>0</v>
      </c>
      <c r="Q54" s="561">
        <v>6</v>
      </c>
      <c r="R54" s="916">
        <f>Paramètres!C11</f>
        <v>0</v>
      </c>
      <c r="S54" s="912">
        <v>0</v>
      </c>
      <c r="T54" s="200">
        <f>VALUE_Elixir_Collector[[#This Row],[Valeur]]*VALUE_Elixir_Collector[[#This Row],[Rang]]</f>
        <v>0</v>
      </c>
      <c r="U54" s="561">
        <v>6</v>
      </c>
      <c r="V54" s="916">
        <f>Paramètres!F11</f>
        <v>0</v>
      </c>
      <c r="W54" s="912">
        <v>0</v>
      </c>
      <c r="X54" s="200">
        <f>VALUE_Elixir_Storage[[#This Row],[Valeur]]*VALUE_Elixir_Storage[[#This Row],[Rang]]</f>
        <v>0</v>
      </c>
      <c r="Y54" s="177"/>
      <c r="Z54" s="568">
        <v>6</v>
      </c>
      <c r="AA54" s="917">
        <f>Paramètres!AD11</f>
        <v>0</v>
      </c>
      <c r="AB54" s="914">
        <v>0</v>
      </c>
      <c r="AC54" s="539">
        <f>VALUE_Clan_Castle[[#This Row],[Valeur]]*VALUE_Clan_Castle[[#This Row],[Rang]]</f>
        <v>0</v>
      </c>
      <c r="AD54" s="561">
        <v>6</v>
      </c>
      <c r="AE54" s="916">
        <f>Paramètres!AE11</f>
        <v>0</v>
      </c>
      <c r="AF54" s="912">
        <v>0</v>
      </c>
      <c r="AG54" s="200">
        <f>VALUE_Town_Home[[#This Row],[Valeur]]*VALUE_Town_Home[[#This Row],[Rang]]</f>
        <v>0</v>
      </c>
      <c r="AH54" s="177"/>
      <c r="AI54" s="177"/>
      <c r="AJ54" s="177"/>
      <c r="AK54" s="911"/>
      <c r="AL54" s="911"/>
      <c r="AM54" s="911"/>
      <c r="AN54" s="911"/>
    </row>
    <row r="55" spans="1:40" x14ac:dyDescent="0.25">
      <c r="A55" s="561">
        <v>7</v>
      </c>
      <c r="B55" s="916">
        <f>Paramètres!B12</f>
        <v>0</v>
      </c>
      <c r="C55" s="912">
        <v>0</v>
      </c>
      <c r="D55" s="200">
        <f>VALUE_Gold_Mine[[#This Row],[Valeur]]*VALUE_Gold_Mine[[#This Row],[Rang]]</f>
        <v>0</v>
      </c>
      <c r="E55" s="177"/>
      <c r="F55" s="177"/>
      <c r="G55" s="177"/>
      <c r="H55" s="911"/>
      <c r="I55" s="561">
        <v>7</v>
      </c>
      <c r="J55" s="916">
        <f>Paramètres!E12</f>
        <v>0</v>
      </c>
      <c r="K55" s="912">
        <v>0</v>
      </c>
      <c r="L55" s="200">
        <f>VALUE_Gold_Storage[[#This Row],[Valeur]]*VALUE_Gold_Storage[[#This Row],[Rang]]</f>
        <v>0</v>
      </c>
      <c r="M55" s="177"/>
      <c r="N55" s="177"/>
      <c r="O55" s="177"/>
      <c r="P55" s="911"/>
      <c r="Q55" s="561">
        <v>7</v>
      </c>
      <c r="R55" s="916">
        <f>Paramètres!C12</f>
        <v>0</v>
      </c>
      <c r="S55" s="912">
        <v>0</v>
      </c>
      <c r="T55" s="200">
        <f>VALUE_Elixir_Collector[[#This Row],[Valeur]]*VALUE_Elixir_Collector[[#This Row],[Rang]]</f>
        <v>0</v>
      </c>
      <c r="U55" s="561">
        <v>7</v>
      </c>
      <c r="V55" s="916">
        <f>Paramètres!F12</f>
        <v>0</v>
      </c>
      <c r="W55" s="912">
        <v>0</v>
      </c>
      <c r="X55" s="200">
        <f>VALUE_Elixir_Storage[[#This Row],[Valeur]]*VALUE_Elixir_Storage[[#This Row],[Rang]]</f>
        <v>0</v>
      </c>
      <c r="Y55" s="177"/>
      <c r="Z55" s="177"/>
      <c r="AA55" s="177"/>
      <c r="AB55" s="177"/>
      <c r="AC55" s="911"/>
      <c r="AD55" s="561">
        <v>7</v>
      </c>
      <c r="AE55" s="916">
        <f>Paramètres!AE12</f>
        <v>0</v>
      </c>
      <c r="AF55" s="912">
        <v>0</v>
      </c>
      <c r="AG55" s="200">
        <f>VALUE_Town_Home[[#This Row],[Valeur]]*VALUE_Town_Home[[#This Row],[Rang]]</f>
        <v>0</v>
      </c>
      <c r="AH55" s="177"/>
      <c r="AI55" s="911"/>
      <c r="AJ55" s="911"/>
      <c r="AK55" s="911"/>
      <c r="AL55" s="911"/>
      <c r="AM55" s="911"/>
      <c r="AN55" s="911"/>
    </row>
    <row r="56" spans="1:40" x14ac:dyDescent="0.25">
      <c r="A56" s="561">
        <v>8</v>
      </c>
      <c r="B56" s="916">
        <f>Paramètres!B13</f>
        <v>0</v>
      </c>
      <c r="C56" s="912">
        <v>0</v>
      </c>
      <c r="D56" s="200">
        <f>VALUE_Gold_Mine[[#This Row],[Valeur]]*VALUE_Gold_Mine[[#This Row],[Rang]]</f>
        <v>0</v>
      </c>
      <c r="E56" s="177"/>
      <c r="F56" s="177"/>
      <c r="G56" s="177"/>
      <c r="H56" s="911"/>
      <c r="I56" s="561">
        <v>8</v>
      </c>
      <c r="J56" s="916">
        <f>Paramètres!E13</f>
        <v>0</v>
      </c>
      <c r="K56" s="912">
        <v>0</v>
      </c>
      <c r="L56" s="200">
        <f>VALUE_Gold_Storage[[#This Row],[Valeur]]*VALUE_Gold_Storage[[#This Row],[Rang]]</f>
        <v>0</v>
      </c>
      <c r="M56" s="177"/>
      <c r="N56" s="177"/>
      <c r="O56" s="177"/>
      <c r="P56" s="911"/>
      <c r="Q56" s="561">
        <v>8</v>
      </c>
      <c r="R56" s="916">
        <f>Paramètres!C13</f>
        <v>0</v>
      </c>
      <c r="S56" s="912">
        <v>0</v>
      </c>
      <c r="T56" s="200">
        <f>VALUE_Elixir_Collector[[#This Row],[Valeur]]*VALUE_Elixir_Collector[[#This Row],[Rang]]</f>
        <v>0</v>
      </c>
      <c r="U56" s="561">
        <v>8</v>
      </c>
      <c r="V56" s="916">
        <f>Paramètres!F13</f>
        <v>0</v>
      </c>
      <c r="W56" s="912">
        <v>0</v>
      </c>
      <c r="X56" s="200">
        <f>VALUE_Elixir_Storage[[#This Row],[Valeur]]*VALUE_Elixir_Storage[[#This Row],[Rang]]</f>
        <v>0</v>
      </c>
      <c r="Y56" s="177"/>
      <c r="Z56" s="177"/>
      <c r="AA56" s="177"/>
      <c r="AB56" s="177"/>
      <c r="AC56" s="911"/>
      <c r="AD56" s="561">
        <v>8</v>
      </c>
      <c r="AE56" s="916">
        <f>Paramètres!AE13</f>
        <v>0</v>
      </c>
      <c r="AF56" s="912">
        <v>0</v>
      </c>
      <c r="AG56" s="200">
        <f>VALUE_Town_Home[[#This Row],[Valeur]]*VALUE_Town_Home[[#This Row],[Rang]]</f>
        <v>0</v>
      </c>
      <c r="AH56" s="177"/>
      <c r="AI56" s="911"/>
      <c r="AJ56" s="911"/>
      <c r="AK56" s="911"/>
      <c r="AL56" s="911"/>
      <c r="AM56" s="911"/>
      <c r="AN56" s="911"/>
    </row>
    <row r="57" spans="1:40" x14ac:dyDescent="0.25">
      <c r="A57" s="561">
        <v>9</v>
      </c>
      <c r="B57" s="916">
        <f>Paramètres!B14</f>
        <v>0</v>
      </c>
      <c r="C57" s="912">
        <v>0</v>
      </c>
      <c r="D57" s="200">
        <f>VALUE_Gold_Mine[[#This Row],[Valeur]]*VALUE_Gold_Mine[[#This Row],[Rang]]</f>
        <v>0</v>
      </c>
      <c r="E57" s="177"/>
      <c r="F57" s="177"/>
      <c r="G57" s="177"/>
      <c r="H57" s="911"/>
      <c r="I57" s="561">
        <v>9</v>
      </c>
      <c r="J57" s="916">
        <f>Paramètres!E14</f>
        <v>0</v>
      </c>
      <c r="K57" s="912">
        <v>0</v>
      </c>
      <c r="L57" s="200">
        <f>VALUE_Gold_Storage[[#This Row],[Valeur]]*VALUE_Gold_Storage[[#This Row],[Rang]]</f>
        <v>0</v>
      </c>
      <c r="M57" s="177"/>
      <c r="N57" s="177"/>
      <c r="O57" s="177"/>
      <c r="P57" s="911"/>
      <c r="Q57" s="561">
        <v>9</v>
      </c>
      <c r="R57" s="916">
        <f>Paramètres!C14</f>
        <v>0</v>
      </c>
      <c r="S57" s="912">
        <v>0</v>
      </c>
      <c r="T57" s="200">
        <f>VALUE_Elixir_Collector[[#This Row],[Valeur]]*VALUE_Elixir_Collector[[#This Row],[Rang]]</f>
        <v>0</v>
      </c>
      <c r="U57" s="561">
        <v>9</v>
      </c>
      <c r="V57" s="916">
        <f>Paramètres!F14</f>
        <v>0</v>
      </c>
      <c r="W57" s="912">
        <v>0</v>
      </c>
      <c r="X57" s="200">
        <f>VALUE_Elixir_Storage[[#This Row],[Valeur]]*VALUE_Elixir_Storage[[#This Row],[Rang]]</f>
        <v>0</v>
      </c>
      <c r="Y57" s="177"/>
      <c r="Z57" s="177"/>
      <c r="AA57" s="177"/>
      <c r="AB57" s="177"/>
      <c r="AC57" s="911"/>
      <c r="AD57" s="561">
        <v>9</v>
      </c>
      <c r="AE57" s="916">
        <f>Paramètres!AE14</f>
        <v>0</v>
      </c>
      <c r="AF57" s="912">
        <v>0</v>
      </c>
      <c r="AG57" s="200">
        <f>VALUE_Town_Home[[#This Row],[Valeur]]*VALUE_Town_Home[[#This Row],[Rang]]</f>
        <v>0</v>
      </c>
      <c r="AH57" s="177"/>
      <c r="AI57" s="911"/>
      <c r="AJ57" s="911"/>
      <c r="AK57" s="911"/>
      <c r="AL57" s="911"/>
      <c r="AM57" s="911"/>
      <c r="AN57" s="911"/>
    </row>
    <row r="58" spans="1:40" ht="15.75" thickBot="1" x14ac:dyDescent="0.3">
      <c r="A58" s="561">
        <v>10</v>
      </c>
      <c r="B58" s="916">
        <f>Paramètres!B15</f>
        <v>0</v>
      </c>
      <c r="C58" s="912">
        <v>0</v>
      </c>
      <c r="D58" s="200">
        <f>VALUE_Gold_Mine[[#This Row],[Valeur]]*VALUE_Gold_Mine[[#This Row],[Rang]]</f>
        <v>0</v>
      </c>
      <c r="E58" s="177"/>
      <c r="F58" s="177"/>
      <c r="G58" s="177"/>
      <c r="H58" s="911"/>
      <c r="I58" s="561">
        <v>10</v>
      </c>
      <c r="J58" s="916">
        <f>Paramètres!E15</f>
        <v>0</v>
      </c>
      <c r="K58" s="912">
        <v>0</v>
      </c>
      <c r="L58" s="200">
        <f>VALUE_Gold_Storage[[#This Row],[Valeur]]*VALUE_Gold_Storage[[#This Row],[Rang]]</f>
        <v>0</v>
      </c>
      <c r="M58" s="177"/>
      <c r="N58" s="177"/>
      <c r="O58" s="177"/>
      <c r="P58" s="911"/>
      <c r="Q58" s="561">
        <v>10</v>
      </c>
      <c r="R58" s="916">
        <f>Paramètres!C15</f>
        <v>0</v>
      </c>
      <c r="S58" s="912">
        <v>0</v>
      </c>
      <c r="T58" s="200">
        <f>VALUE_Elixir_Collector[[#This Row],[Valeur]]*VALUE_Elixir_Collector[[#This Row],[Rang]]</f>
        <v>0</v>
      </c>
      <c r="U58" s="561">
        <v>10</v>
      </c>
      <c r="V58" s="916">
        <f>Paramètres!F15</f>
        <v>0</v>
      </c>
      <c r="W58" s="912">
        <v>0</v>
      </c>
      <c r="X58" s="200">
        <f>VALUE_Elixir_Storage[[#This Row],[Valeur]]*VALUE_Elixir_Storage[[#This Row],[Rang]]</f>
        <v>0</v>
      </c>
      <c r="Y58" s="177"/>
      <c r="Z58" s="177"/>
      <c r="AA58" s="177"/>
      <c r="AB58" s="177"/>
      <c r="AC58" s="911"/>
      <c r="AD58" s="568">
        <v>10</v>
      </c>
      <c r="AE58" s="917">
        <f>Paramètres!AE15</f>
        <v>0</v>
      </c>
      <c r="AF58" s="914">
        <v>0</v>
      </c>
      <c r="AG58" s="539">
        <f>VALUE_Town_Home[[#This Row],[Valeur]]*VALUE_Town_Home[[#This Row],[Rang]]</f>
        <v>0</v>
      </c>
      <c r="AH58" s="177"/>
      <c r="AI58" s="911"/>
      <c r="AJ58" s="911"/>
      <c r="AK58" s="911"/>
      <c r="AL58" s="911"/>
      <c r="AM58" s="911"/>
      <c r="AN58" s="911"/>
    </row>
    <row r="59" spans="1:40" ht="15.75" thickBot="1" x14ac:dyDescent="0.3">
      <c r="A59" s="561">
        <v>11</v>
      </c>
      <c r="B59" s="916">
        <f>Paramètres!B16</f>
        <v>0</v>
      </c>
      <c r="C59" s="912">
        <v>0</v>
      </c>
      <c r="D59" s="200">
        <f>VALUE_Gold_Mine[[#This Row],[Valeur]]*VALUE_Gold_Mine[[#This Row],[Rang]]</f>
        <v>0</v>
      </c>
      <c r="E59" s="177"/>
      <c r="F59" s="177"/>
      <c r="G59" s="177"/>
      <c r="H59" s="911"/>
      <c r="I59" s="568">
        <v>11</v>
      </c>
      <c r="J59" s="917">
        <f>Paramètres!E16</f>
        <v>0</v>
      </c>
      <c r="K59" s="914">
        <v>0</v>
      </c>
      <c r="L59" s="539">
        <f>VALUE_Gold_Storage[[#This Row],[Valeur]]*VALUE_Gold_Storage[[#This Row],[Rang]]</f>
        <v>0</v>
      </c>
      <c r="M59" s="177"/>
      <c r="N59" s="177"/>
      <c r="O59" s="177"/>
      <c r="P59" s="911"/>
      <c r="Q59" s="561">
        <v>11</v>
      </c>
      <c r="R59" s="916">
        <f>Paramètres!C16</f>
        <v>0</v>
      </c>
      <c r="S59" s="912">
        <v>0</v>
      </c>
      <c r="T59" s="200">
        <f>VALUE_Elixir_Collector[[#This Row],[Valeur]]*VALUE_Elixir_Collector[[#This Row],[Rang]]</f>
        <v>0</v>
      </c>
      <c r="U59" s="568">
        <v>11</v>
      </c>
      <c r="V59" s="917">
        <f>Paramètres!F16</f>
        <v>0</v>
      </c>
      <c r="W59" s="914">
        <v>0</v>
      </c>
      <c r="X59" s="539">
        <f>VALUE_Elixir_Storage[[#This Row],[Valeur]]*VALUE_Elixir_Storage[[#This Row],[Rang]]</f>
        <v>0</v>
      </c>
      <c r="Y59" s="177"/>
      <c r="Z59" s="177"/>
      <c r="AA59" s="177"/>
      <c r="AB59" s="177"/>
      <c r="AC59" s="177"/>
      <c r="AD59" s="177"/>
      <c r="AE59" s="177"/>
      <c r="AF59" s="177"/>
      <c r="AG59" s="177"/>
      <c r="AH59" s="177"/>
      <c r="AI59" s="911"/>
      <c r="AJ59" s="911"/>
      <c r="AK59" s="911"/>
      <c r="AL59" s="911"/>
      <c r="AM59" s="911"/>
      <c r="AN59" s="911"/>
    </row>
    <row r="60" spans="1:40" ht="15.75" thickBot="1" x14ac:dyDescent="0.3">
      <c r="A60" s="568">
        <v>12</v>
      </c>
      <c r="B60" s="917">
        <f>Paramètres!B17</f>
        <v>0</v>
      </c>
      <c r="C60" s="914">
        <v>0</v>
      </c>
      <c r="D60" s="539">
        <f>VALUE_Gold_Mine[[#This Row],[Valeur]]*VALUE_Gold_Mine[[#This Row],[Rang]]</f>
        <v>0</v>
      </c>
      <c r="E60" s="177"/>
      <c r="F60" s="177"/>
      <c r="G60" s="177"/>
      <c r="H60" s="177"/>
      <c r="I60" s="177"/>
      <c r="J60" s="162"/>
      <c r="K60" s="162"/>
      <c r="L60" s="162"/>
      <c r="M60" s="177"/>
      <c r="O60" s="911"/>
      <c r="P60" s="911"/>
      <c r="Q60" s="568">
        <v>12</v>
      </c>
      <c r="R60" s="917">
        <f>Paramètres!C17</f>
        <v>0</v>
      </c>
      <c r="S60" s="914">
        <v>0</v>
      </c>
      <c r="T60" s="539">
        <f>VALUE_Elixir_Collector[[#This Row],[Valeur]]*VALUE_Elixir_Collector[[#This Row],[Rang]]</f>
        <v>0</v>
      </c>
      <c r="U60" s="177"/>
      <c r="V60" s="177"/>
      <c r="W60" s="177"/>
      <c r="X60" s="177"/>
      <c r="Y60" s="177"/>
      <c r="Z60" s="177"/>
      <c r="AA60" s="177"/>
      <c r="AB60" s="177"/>
      <c r="AC60" s="177"/>
      <c r="AD60" s="177"/>
      <c r="AE60" s="177"/>
      <c r="AF60" s="177"/>
      <c r="AG60" s="911"/>
      <c r="AH60" s="911"/>
      <c r="AI60" s="911"/>
      <c r="AJ60" s="911"/>
      <c r="AK60" s="911"/>
      <c r="AL60" s="911"/>
      <c r="AM60" s="911"/>
      <c r="AN60" s="911"/>
    </row>
    <row r="61" spans="1:40" x14ac:dyDescent="0.25">
      <c r="A61" s="162"/>
      <c r="B61" s="162"/>
      <c r="C61" s="162"/>
      <c r="D61" s="177"/>
      <c r="E61" s="177"/>
      <c r="F61" s="177"/>
      <c r="G61" s="177"/>
      <c r="H61" s="177"/>
      <c r="I61" s="162"/>
      <c r="J61" s="162"/>
      <c r="K61" s="162"/>
      <c r="L61" s="177"/>
      <c r="M61" s="177"/>
      <c r="N61" s="177"/>
      <c r="O61" s="177"/>
      <c r="P61" s="177"/>
      <c r="Q61" s="177"/>
      <c r="R61" s="177"/>
      <c r="S61" s="177"/>
      <c r="T61" s="177"/>
      <c r="U61" s="177"/>
      <c r="V61" s="177"/>
      <c r="W61" s="177"/>
      <c r="X61" s="177"/>
      <c r="Y61" s="177"/>
      <c r="Z61" s="177"/>
      <c r="AA61" s="177"/>
      <c r="AB61" s="177"/>
      <c r="AC61" s="177"/>
      <c r="AD61" s="177"/>
      <c r="AE61" s="911"/>
      <c r="AF61" s="911"/>
      <c r="AG61" s="911"/>
      <c r="AH61" s="911"/>
      <c r="AI61" s="911"/>
      <c r="AJ61" s="911"/>
      <c r="AK61" s="911"/>
      <c r="AL61" s="911"/>
      <c r="AM61" s="911"/>
      <c r="AN61" s="911"/>
    </row>
    <row r="62" spans="1:40" ht="15.75" thickBot="1" x14ac:dyDescent="0.3">
      <c r="A62" s="162"/>
      <c r="B62" s="162"/>
      <c r="C62" s="162"/>
      <c r="D62" s="177"/>
      <c r="E62" s="177"/>
      <c r="F62" s="177"/>
      <c r="G62" s="177"/>
      <c r="H62" s="177"/>
      <c r="I62" s="162"/>
      <c r="J62" s="162"/>
      <c r="K62" s="162"/>
      <c r="L62" s="177"/>
      <c r="M62" s="177"/>
      <c r="N62" s="177"/>
      <c r="O62" s="177"/>
      <c r="P62" s="177"/>
      <c r="Q62" s="177"/>
      <c r="R62" s="177"/>
      <c r="S62" s="177"/>
      <c r="T62" s="177"/>
      <c r="U62" s="177"/>
      <c r="V62" s="177"/>
      <c r="W62" s="177"/>
      <c r="X62" s="177"/>
      <c r="Y62" s="177"/>
      <c r="Z62" s="177"/>
      <c r="AA62" s="177"/>
      <c r="AB62" s="177"/>
      <c r="AC62" s="177"/>
      <c r="AD62" s="177"/>
      <c r="AE62" s="911"/>
      <c r="AF62" s="911"/>
      <c r="AG62" s="911"/>
      <c r="AH62" s="911"/>
      <c r="AI62" s="911"/>
      <c r="AJ62" s="911"/>
      <c r="AK62" s="911"/>
      <c r="AL62" s="911"/>
      <c r="AM62" s="911"/>
      <c r="AN62" s="911"/>
    </row>
    <row r="63" spans="1:40" ht="19.5" customHeight="1" thickBot="1" x14ac:dyDescent="0.3">
      <c r="A63" s="1262" t="s">
        <v>685</v>
      </c>
      <c r="B63" s="1263"/>
      <c r="C63" s="1263"/>
      <c r="D63" s="1263"/>
      <c r="E63" s="1263"/>
      <c r="F63" s="1263"/>
      <c r="G63" s="1263"/>
      <c r="H63" s="1263"/>
      <c r="I63" s="1263"/>
      <c r="J63" s="1263"/>
      <c r="K63" s="1263"/>
      <c r="L63" s="1263"/>
      <c r="M63" s="1263"/>
      <c r="N63" s="1263"/>
      <c r="O63" s="1263"/>
      <c r="P63" s="1263"/>
      <c r="Q63" s="1263"/>
      <c r="R63" s="1263"/>
      <c r="S63" s="1263"/>
      <c r="T63" s="1264"/>
      <c r="U63" s="911"/>
      <c r="V63" s="911"/>
      <c r="W63" s="911"/>
      <c r="X63" s="911"/>
      <c r="Y63" s="177"/>
      <c r="Z63" s="911"/>
      <c r="AA63" s="911"/>
      <c r="AB63" s="911"/>
      <c r="AC63" s="911"/>
      <c r="AD63" s="911"/>
      <c r="AE63" s="911"/>
      <c r="AF63" s="911"/>
      <c r="AG63" s="911"/>
      <c r="AH63" s="911"/>
      <c r="AI63" s="911"/>
      <c r="AJ63" s="911"/>
      <c r="AK63" s="911"/>
      <c r="AL63" s="911"/>
      <c r="AM63" s="911"/>
      <c r="AN63" s="911"/>
    </row>
    <row r="64" spans="1:40" ht="15.75" thickBot="1" x14ac:dyDescent="0.3">
      <c r="A64" s="1321" t="s">
        <v>343</v>
      </c>
      <c r="B64" s="1322"/>
      <c r="C64" s="1322"/>
      <c r="D64" s="1323"/>
      <c r="E64" s="1321" t="s">
        <v>207</v>
      </c>
      <c r="F64" s="1322"/>
      <c r="G64" s="1322"/>
      <c r="H64" s="1323"/>
      <c r="I64" s="1321" t="s">
        <v>338</v>
      </c>
      <c r="J64" s="1322"/>
      <c r="K64" s="1322"/>
      <c r="L64" s="1323"/>
      <c r="M64" s="1321" t="s">
        <v>208</v>
      </c>
      <c r="N64" s="1322"/>
      <c r="O64" s="1322"/>
      <c r="P64" s="1323"/>
      <c r="Q64" s="1321" t="s">
        <v>209</v>
      </c>
      <c r="R64" s="1322"/>
      <c r="S64" s="1322"/>
      <c r="T64" s="1323"/>
      <c r="U64" s="911"/>
      <c r="V64" s="911"/>
      <c r="W64" s="911"/>
      <c r="X64" s="911"/>
      <c r="Y64" s="177"/>
      <c r="Z64" s="911"/>
      <c r="AA64" s="911"/>
      <c r="AB64" s="911"/>
      <c r="AC64" s="911"/>
      <c r="AD64" s="911"/>
      <c r="AE64" s="911"/>
      <c r="AF64" s="911"/>
      <c r="AG64" s="911"/>
      <c r="AH64" s="911"/>
      <c r="AI64" s="911"/>
      <c r="AJ64" s="911"/>
      <c r="AK64" s="911"/>
      <c r="AL64" s="911"/>
      <c r="AM64" s="911"/>
      <c r="AN64" s="911"/>
    </row>
    <row r="65" spans="1:40" ht="15.75" thickBot="1" x14ac:dyDescent="0.3">
      <c r="A65" s="186" t="s">
        <v>17</v>
      </c>
      <c r="B65" s="907" t="s">
        <v>702</v>
      </c>
      <c r="C65" s="757" t="s">
        <v>683</v>
      </c>
      <c r="D65" s="188" t="s">
        <v>31</v>
      </c>
      <c r="E65" s="186" t="s">
        <v>17</v>
      </c>
      <c r="F65" s="907" t="s">
        <v>702</v>
      </c>
      <c r="G65" s="757" t="s">
        <v>683</v>
      </c>
      <c r="H65" s="188" t="s">
        <v>31</v>
      </c>
      <c r="I65" s="186" t="s">
        <v>17</v>
      </c>
      <c r="J65" s="907" t="s">
        <v>702</v>
      </c>
      <c r="K65" s="757" t="s">
        <v>683</v>
      </c>
      <c r="L65" s="188" t="s">
        <v>31</v>
      </c>
      <c r="M65" s="186" t="s">
        <v>17</v>
      </c>
      <c r="N65" s="907" t="s">
        <v>702</v>
      </c>
      <c r="O65" s="757" t="s">
        <v>683</v>
      </c>
      <c r="P65" s="188" t="s">
        <v>31</v>
      </c>
      <c r="Q65" s="186" t="s">
        <v>17</v>
      </c>
      <c r="R65" s="907" t="s">
        <v>702</v>
      </c>
      <c r="S65" s="757" t="s">
        <v>683</v>
      </c>
      <c r="T65" s="188" t="s">
        <v>31</v>
      </c>
      <c r="U65" s="177"/>
      <c r="V65" s="911"/>
      <c r="W65" s="911"/>
      <c r="X65" s="911"/>
      <c r="Y65" s="911"/>
      <c r="Z65" s="911"/>
      <c r="AA65" s="911"/>
      <c r="AB65" s="911"/>
      <c r="AC65" s="911"/>
      <c r="AD65" s="177"/>
      <c r="AE65" s="911"/>
      <c r="AF65" s="911"/>
      <c r="AG65" s="911"/>
      <c r="AH65" s="911"/>
      <c r="AI65" s="911"/>
      <c r="AJ65" s="911"/>
      <c r="AK65" s="911"/>
      <c r="AL65" s="911"/>
      <c r="AM65" s="911"/>
      <c r="AN65" s="911"/>
    </row>
    <row r="66" spans="1:40" x14ac:dyDescent="0.25">
      <c r="A66" s="903">
        <v>1</v>
      </c>
      <c r="B66" s="915">
        <f>Paramètres!I6</f>
        <v>0</v>
      </c>
      <c r="C66" s="913">
        <v>0</v>
      </c>
      <c r="D66" s="199">
        <f>VALUE_Dark_Barrack[[#This Row],[Valeur]]*VALUE_Dark_Barrack[[#This Row],[Rang]]</f>
        <v>0</v>
      </c>
      <c r="E66" s="903">
        <v>1</v>
      </c>
      <c r="F66" s="915">
        <f>Paramètres!H6</f>
        <v>0</v>
      </c>
      <c r="G66" s="913">
        <v>0</v>
      </c>
      <c r="H66" s="199">
        <f>VALUE_Barrack[[#This Row],[Valeur]]*VALUE_Barrack[[#This Row],[Rang]]</f>
        <v>0</v>
      </c>
      <c r="I66" s="903">
        <v>1</v>
      </c>
      <c r="J66" s="915">
        <f>Paramètres!J6</f>
        <v>0</v>
      </c>
      <c r="K66" s="913">
        <v>0</v>
      </c>
      <c r="L66" s="199">
        <f>VALUE_Army_Camp[[#This Row],[Valeur]]*VALUE_Army_Camp[[#This Row],[Rang]]</f>
        <v>0</v>
      </c>
      <c r="M66" s="903">
        <v>1</v>
      </c>
      <c r="N66" s="915">
        <f>Paramètres!K6</f>
        <v>0</v>
      </c>
      <c r="O66" s="913">
        <v>0</v>
      </c>
      <c r="P66" s="199">
        <f>VALUE_Laboratory[[#This Row],[Valeur]]*VALUE_Laboratory[[#This Row],[Rang]]</f>
        <v>0</v>
      </c>
      <c r="Q66" s="903">
        <v>1</v>
      </c>
      <c r="R66" s="915">
        <f>Paramètres!L6</f>
        <v>0</v>
      </c>
      <c r="S66" s="913">
        <v>0</v>
      </c>
      <c r="T66" s="199">
        <f>VALUE_Spell_Factory[[#This Row],[Valeur]]*VALUE_Spell_Factory[[#This Row],[Rang]]</f>
        <v>0</v>
      </c>
      <c r="U66" s="177"/>
      <c r="V66" s="911"/>
      <c r="W66" s="911"/>
      <c r="X66" s="911"/>
      <c r="Y66" s="911"/>
      <c r="Z66" s="911"/>
      <c r="AA66" s="911"/>
      <c r="AB66" s="911"/>
      <c r="AC66" s="911"/>
      <c r="AD66" s="177"/>
      <c r="AE66" s="911"/>
      <c r="AF66" s="911"/>
      <c r="AG66" s="911"/>
      <c r="AH66" s="911"/>
      <c r="AI66" s="911"/>
      <c r="AJ66" s="911"/>
      <c r="AK66" s="911"/>
      <c r="AL66" s="911"/>
      <c r="AM66" s="911"/>
      <c r="AN66" s="911"/>
    </row>
    <row r="67" spans="1:40" x14ac:dyDescent="0.25">
      <c r="A67" s="561">
        <v>2</v>
      </c>
      <c r="B67" s="916">
        <f>Paramètres!I7</f>
        <v>0</v>
      </c>
      <c r="C67" s="912">
        <v>0</v>
      </c>
      <c r="D67" s="200">
        <f>VALUE_Dark_Barrack[[#This Row],[Valeur]]*VALUE_Dark_Barrack[[#This Row],[Rang]]</f>
        <v>0</v>
      </c>
      <c r="E67" s="561">
        <v>2</v>
      </c>
      <c r="F67" s="916">
        <f>Paramètres!H7</f>
        <v>0</v>
      </c>
      <c r="G67" s="912">
        <v>0</v>
      </c>
      <c r="H67" s="200">
        <f>VALUE_Barrack[[#This Row],[Valeur]]*VALUE_Barrack[[#This Row],[Rang]]</f>
        <v>0</v>
      </c>
      <c r="I67" s="561">
        <v>2</v>
      </c>
      <c r="J67" s="916">
        <f>Paramètres!J7</f>
        <v>0</v>
      </c>
      <c r="K67" s="912">
        <v>0</v>
      </c>
      <c r="L67" s="200">
        <f>VALUE_Army_Camp[[#This Row],[Valeur]]*VALUE_Army_Camp[[#This Row],[Rang]]</f>
        <v>0</v>
      </c>
      <c r="M67" s="561">
        <v>2</v>
      </c>
      <c r="N67" s="916">
        <f>Paramètres!K7</f>
        <v>0</v>
      </c>
      <c r="O67" s="912">
        <v>0</v>
      </c>
      <c r="P67" s="200">
        <f>VALUE_Laboratory[[#This Row],[Valeur]]*VALUE_Laboratory[[#This Row],[Rang]]</f>
        <v>0</v>
      </c>
      <c r="Q67" s="561">
        <v>2</v>
      </c>
      <c r="R67" s="916">
        <f>Paramètres!L7</f>
        <v>0</v>
      </c>
      <c r="S67" s="912">
        <v>0</v>
      </c>
      <c r="T67" s="200">
        <f>VALUE_Spell_Factory[[#This Row],[Valeur]]*VALUE_Spell_Factory[[#This Row],[Rang]]</f>
        <v>0</v>
      </c>
      <c r="U67" s="177"/>
      <c r="V67" s="911"/>
      <c r="W67" s="911"/>
      <c r="X67" s="911"/>
      <c r="Y67" s="911"/>
      <c r="Z67" s="911"/>
      <c r="AA67" s="911"/>
      <c r="AB67" s="911"/>
      <c r="AC67" s="911"/>
      <c r="AD67" s="177"/>
      <c r="AE67" s="911"/>
      <c r="AF67" s="911"/>
      <c r="AG67" s="911"/>
      <c r="AH67" s="911"/>
      <c r="AI67" s="911"/>
      <c r="AJ67" s="911"/>
      <c r="AK67" s="911"/>
      <c r="AL67" s="911"/>
      <c r="AM67" s="911"/>
      <c r="AN67" s="911"/>
    </row>
    <row r="68" spans="1:40" x14ac:dyDescent="0.25">
      <c r="A68" s="561">
        <v>3</v>
      </c>
      <c r="B68" s="916">
        <f>Paramètres!I8</f>
        <v>0</v>
      </c>
      <c r="C68" s="912">
        <v>0</v>
      </c>
      <c r="D68" s="200">
        <f>VALUE_Dark_Barrack[[#This Row],[Valeur]]*VALUE_Dark_Barrack[[#This Row],[Rang]]</f>
        <v>0</v>
      </c>
      <c r="E68" s="561">
        <v>3</v>
      </c>
      <c r="F68" s="916">
        <f>Paramètres!H8</f>
        <v>0</v>
      </c>
      <c r="G68" s="912">
        <v>0</v>
      </c>
      <c r="H68" s="200">
        <f>VALUE_Barrack[[#This Row],[Valeur]]*VALUE_Barrack[[#This Row],[Rang]]</f>
        <v>0</v>
      </c>
      <c r="I68" s="561">
        <v>3</v>
      </c>
      <c r="J68" s="916">
        <f>Paramètres!J8</f>
        <v>0</v>
      </c>
      <c r="K68" s="912">
        <v>0</v>
      </c>
      <c r="L68" s="200">
        <f>VALUE_Army_Camp[[#This Row],[Valeur]]*VALUE_Army_Camp[[#This Row],[Rang]]</f>
        <v>0</v>
      </c>
      <c r="M68" s="561">
        <v>3</v>
      </c>
      <c r="N68" s="916">
        <f>Paramètres!K8</f>
        <v>0</v>
      </c>
      <c r="O68" s="912">
        <v>0</v>
      </c>
      <c r="P68" s="200">
        <f>VALUE_Laboratory[[#This Row],[Valeur]]*VALUE_Laboratory[[#This Row],[Rang]]</f>
        <v>0</v>
      </c>
      <c r="Q68" s="561">
        <v>3</v>
      </c>
      <c r="R68" s="916">
        <f>Paramètres!L8</f>
        <v>0</v>
      </c>
      <c r="S68" s="912">
        <v>0</v>
      </c>
      <c r="T68" s="200">
        <f>VALUE_Spell_Factory[[#This Row],[Valeur]]*VALUE_Spell_Factory[[#This Row],[Rang]]</f>
        <v>0</v>
      </c>
      <c r="U68" s="177"/>
      <c r="V68" s="911"/>
      <c r="W68" s="911"/>
      <c r="X68" s="911"/>
      <c r="Y68" s="911"/>
      <c r="Z68" s="911"/>
      <c r="AA68" s="911"/>
      <c r="AB68" s="911"/>
      <c r="AC68" s="911"/>
      <c r="AD68" s="177"/>
      <c r="AE68" s="911"/>
      <c r="AF68" s="911"/>
      <c r="AG68" s="911"/>
      <c r="AH68" s="911"/>
      <c r="AI68" s="911"/>
      <c r="AJ68" s="911"/>
      <c r="AK68" s="911"/>
      <c r="AL68" s="911"/>
      <c r="AM68" s="911"/>
      <c r="AN68" s="911"/>
    </row>
    <row r="69" spans="1:40" x14ac:dyDescent="0.25">
      <c r="A69" s="561">
        <v>4</v>
      </c>
      <c r="B69" s="916">
        <f>Paramètres!I9</f>
        <v>0</v>
      </c>
      <c r="C69" s="912">
        <v>0</v>
      </c>
      <c r="D69" s="200">
        <f>VALUE_Dark_Barrack[[#This Row],[Valeur]]*VALUE_Dark_Barrack[[#This Row],[Rang]]</f>
        <v>0</v>
      </c>
      <c r="E69" s="561">
        <v>4</v>
      </c>
      <c r="F69" s="916">
        <f>Paramètres!H9</f>
        <v>0</v>
      </c>
      <c r="G69" s="912">
        <v>0</v>
      </c>
      <c r="H69" s="200">
        <f>VALUE_Barrack[[#This Row],[Valeur]]*VALUE_Barrack[[#This Row],[Rang]]</f>
        <v>0</v>
      </c>
      <c r="I69" s="561">
        <v>4</v>
      </c>
      <c r="J69" s="916">
        <f>Paramètres!J9</f>
        <v>0</v>
      </c>
      <c r="K69" s="912">
        <v>0</v>
      </c>
      <c r="L69" s="200">
        <f>VALUE_Army_Camp[[#This Row],[Valeur]]*VALUE_Army_Camp[[#This Row],[Rang]]</f>
        <v>0</v>
      </c>
      <c r="M69" s="561">
        <v>4</v>
      </c>
      <c r="N69" s="916">
        <f>Paramètres!K9</f>
        <v>0</v>
      </c>
      <c r="O69" s="912">
        <v>0</v>
      </c>
      <c r="P69" s="200">
        <f>VALUE_Laboratory[[#This Row],[Valeur]]*VALUE_Laboratory[[#This Row],[Rang]]</f>
        <v>0</v>
      </c>
      <c r="Q69" s="561">
        <v>4</v>
      </c>
      <c r="R69" s="916">
        <f>Paramètres!L9</f>
        <v>0</v>
      </c>
      <c r="S69" s="912">
        <v>0</v>
      </c>
      <c r="T69" s="200">
        <f>VALUE_Spell_Factory[[#This Row],[Valeur]]*VALUE_Spell_Factory[[#This Row],[Rang]]</f>
        <v>0</v>
      </c>
      <c r="U69" s="177"/>
      <c r="V69" s="911"/>
      <c r="W69" s="911"/>
      <c r="X69" s="911"/>
      <c r="Y69" s="911"/>
      <c r="Z69" s="911"/>
      <c r="AA69" s="911"/>
      <c r="AB69" s="911"/>
      <c r="AC69" s="911"/>
      <c r="AD69" s="177"/>
      <c r="AE69" s="911"/>
      <c r="AF69" s="911"/>
      <c r="AG69" s="911"/>
      <c r="AH69" s="911"/>
      <c r="AI69" s="911"/>
      <c r="AJ69" s="911"/>
      <c r="AK69" s="911"/>
      <c r="AL69" s="911"/>
      <c r="AM69" s="911"/>
      <c r="AN69" s="911"/>
    </row>
    <row r="70" spans="1:40" ht="15.75" thickBot="1" x14ac:dyDescent="0.3">
      <c r="A70" s="561">
        <v>5</v>
      </c>
      <c r="B70" s="916">
        <f>Paramètres!I10</f>
        <v>0</v>
      </c>
      <c r="C70" s="912">
        <v>0</v>
      </c>
      <c r="D70" s="200">
        <f>VALUE_Dark_Barrack[[#This Row],[Valeur]]*VALUE_Dark_Barrack[[#This Row],[Rang]]</f>
        <v>0</v>
      </c>
      <c r="E70" s="561">
        <v>5</v>
      </c>
      <c r="F70" s="916">
        <f>Paramètres!H10</f>
        <v>0</v>
      </c>
      <c r="G70" s="912">
        <v>0</v>
      </c>
      <c r="H70" s="200">
        <f>VALUE_Barrack[[#This Row],[Valeur]]*VALUE_Barrack[[#This Row],[Rang]]</f>
        <v>0</v>
      </c>
      <c r="I70" s="561">
        <v>5</v>
      </c>
      <c r="J70" s="916">
        <f>Paramètres!J10</f>
        <v>0</v>
      </c>
      <c r="K70" s="912">
        <v>0</v>
      </c>
      <c r="L70" s="200">
        <f>VALUE_Army_Camp[[#This Row],[Valeur]]*VALUE_Army_Camp[[#This Row],[Rang]]</f>
        <v>0</v>
      </c>
      <c r="M70" s="561">
        <v>5</v>
      </c>
      <c r="N70" s="916">
        <f>Paramètres!K10</f>
        <v>0</v>
      </c>
      <c r="O70" s="912">
        <v>0</v>
      </c>
      <c r="P70" s="200">
        <f>VALUE_Laboratory[[#This Row],[Valeur]]*VALUE_Laboratory[[#This Row],[Rang]]</f>
        <v>0</v>
      </c>
      <c r="Q70" s="568">
        <v>5</v>
      </c>
      <c r="R70" s="917">
        <f>Paramètres!L10</f>
        <v>0</v>
      </c>
      <c r="S70" s="914">
        <v>0</v>
      </c>
      <c r="T70" s="539">
        <f>VALUE_Spell_Factory[[#This Row],[Valeur]]*VALUE_Spell_Factory[[#This Row],[Rang]]</f>
        <v>0</v>
      </c>
      <c r="U70" s="177"/>
      <c r="V70" s="911"/>
      <c r="W70" s="911"/>
      <c r="X70" s="911"/>
      <c r="Y70" s="911"/>
      <c r="Z70" s="911"/>
      <c r="AA70" s="911"/>
      <c r="AB70" s="911"/>
      <c r="AC70" s="911"/>
      <c r="AD70" s="177"/>
      <c r="AE70" s="911"/>
      <c r="AF70" s="911"/>
      <c r="AG70" s="911"/>
      <c r="AH70" s="911"/>
      <c r="AI70" s="911"/>
      <c r="AJ70" s="911"/>
      <c r="AK70" s="911"/>
      <c r="AL70" s="911"/>
      <c r="AM70" s="911"/>
      <c r="AN70" s="911"/>
    </row>
    <row r="71" spans="1:40" ht="15.75" thickBot="1" x14ac:dyDescent="0.3">
      <c r="A71" s="568">
        <v>6</v>
      </c>
      <c r="B71" s="917">
        <f>Paramètres!I11</f>
        <v>0</v>
      </c>
      <c r="C71" s="914">
        <v>0</v>
      </c>
      <c r="D71" s="539">
        <f>VALUE_Dark_Barrack[[#This Row],[Valeur]]*VALUE_Dark_Barrack[[#This Row],[Rang]]</f>
        <v>0</v>
      </c>
      <c r="E71" s="561">
        <v>6</v>
      </c>
      <c r="F71" s="916">
        <f>Paramètres!H11</f>
        <v>0</v>
      </c>
      <c r="G71" s="912">
        <v>0</v>
      </c>
      <c r="H71" s="200">
        <f>VALUE_Barrack[[#This Row],[Valeur]]*VALUE_Barrack[[#This Row],[Rang]]</f>
        <v>0</v>
      </c>
      <c r="I71" s="561">
        <v>6</v>
      </c>
      <c r="J71" s="916">
        <f>Paramètres!J11</f>
        <v>0</v>
      </c>
      <c r="K71" s="912">
        <v>0</v>
      </c>
      <c r="L71" s="200">
        <f>VALUE_Army_Camp[[#This Row],[Valeur]]*VALUE_Army_Camp[[#This Row],[Rang]]</f>
        <v>0</v>
      </c>
      <c r="M71" s="561">
        <v>6</v>
      </c>
      <c r="N71" s="916">
        <f>Paramètres!K11</f>
        <v>0</v>
      </c>
      <c r="O71" s="912">
        <v>0</v>
      </c>
      <c r="P71" s="200">
        <f>VALUE_Laboratory[[#This Row],[Valeur]]*VALUE_Laboratory[[#This Row],[Rang]]</f>
        <v>0</v>
      </c>
      <c r="Q71" s="177"/>
      <c r="R71" s="177"/>
      <c r="S71" s="177"/>
      <c r="T71" s="177"/>
      <c r="U71" s="911"/>
      <c r="V71" s="911"/>
      <c r="W71" s="911"/>
      <c r="X71" s="911"/>
      <c r="Y71" s="911"/>
      <c r="Z71" s="911"/>
      <c r="AA71" s="911"/>
      <c r="AB71" s="911"/>
      <c r="AC71" s="177"/>
      <c r="AD71" s="911"/>
      <c r="AE71" s="911"/>
      <c r="AF71" s="911"/>
      <c r="AG71" s="911"/>
      <c r="AH71" s="911"/>
      <c r="AI71" s="911"/>
      <c r="AJ71" s="911"/>
      <c r="AK71" s="911"/>
      <c r="AL71" s="911"/>
      <c r="AM71" s="911"/>
      <c r="AN71" s="911"/>
    </row>
    <row r="72" spans="1:40" x14ac:dyDescent="0.25">
      <c r="A72" s="177"/>
      <c r="B72" s="177"/>
      <c r="C72" s="177"/>
      <c r="D72" s="911"/>
      <c r="E72" s="561">
        <v>7</v>
      </c>
      <c r="F72" s="916">
        <f>Paramètres!H12</f>
        <v>0</v>
      </c>
      <c r="G72" s="912">
        <v>0</v>
      </c>
      <c r="H72" s="200">
        <f>VALUE_Barrack[[#This Row],[Valeur]]*VALUE_Barrack[[#This Row],[Rang]]</f>
        <v>0</v>
      </c>
      <c r="I72" s="561">
        <v>7</v>
      </c>
      <c r="J72" s="916">
        <f>Paramètres!J12</f>
        <v>0</v>
      </c>
      <c r="K72" s="912">
        <v>0</v>
      </c>
      <c r="L72" s="200">
        <f>VALUE_Army_Camp[[#This Row],[Valeur]]*VALUE_Army_Camp[[#This Row],[Rang]]</f>
        <v>0</v>
      </c>
      <c r="M72" s="561">
        <v>7</v>
      </c>
      <c r="N72" s="916">
        <f>Paramètres!K12</f>
        <v>0</v>
      </c>
      <c r="O72" s="912">
        <v>0</v>
      </c>
      <c r="P72" s="200">
        <f>VALUE_Laboratory[[#This Row],[Valeur]]*VALUE_Laboratory[[#This Row],[Rang]]</f>
        <v>0</v>
      </c>
      <c r="Q72" s="177"/>
      <c r="R72" s="177"/>
      <c r="S72" s="177"/>
      <c r="T72" s="177"/>
      <c r="U72" s="911"/>
      <c r="V72" s="911"/>
      <c r="W72" s="911"/>
      <c r="X72" s="911"/>
      <c r="Y72" s="911"/>
      <c r="Z72" s="911"/>
      <c r="AA72" s="911"/>
      <c r="AB72" s="177"/>
      <c r="AC72" s="911"/>
      <c r="AD72" s="911"/>
      <c r="AE72" s="911"/>
      <c r="AF72" s="911"/>
      <c r="AG72" s="911"/>
      <c r="AH72" s="911"/>
      <c r="AI72" s="911"/>
      <c r="AJ72" s="911"/>
      <c r="AK72" s="911"/>
      <c r="AL72" s="911"/>
      <c r="AM72" s="911"/>
      <c r="AN72" s="911"/>
    </row>
    <row r="73" spans="1:40" ht="15.75" thickBot="1" x14ac:dyDescent="0.3">
      <c r="A73" s="177"/>
      <c r="B73" s="177"/>
      <c r="C73" s="177"/>
      <c r="D73" s="911"/>
      <c r="E73" s="561">
        <v>8</v>
      </c>
      <c r="F73" s="916">
        <f>Paramètres!H13</f>
        <v>0</v>
      </c>
      <c r="G73" s="912">
        <v>0</v>
      </c>
      <c r="H73" s="200">
        <f>VALUE_Barrack[[#This Row],[Valeur]]*VALUE_Barrack[[#This Row],[Rang]]</f>
        <v>0</v>
      </c>
      <c r="I73" s="568">
        <v>8</v>
      </c>
      <c r="J73" s="917">
        <f>Paramètres!J13</f>
        <v>0</v>
      </c>
      <c r="K73" s="914">
        <v>0</v>
      </c>
      <c r="L73" s="539">
        <f>VALUE_Army_Camp[[#This Row],[Valeur]]*VALUE_Army_Camp[[#This Row],[Rang]]</f>
        <v>0</v>
      </c>
      <c r="M73" s="568">
        <v>8</v>
      </c>
      <c r="N73" s="917">
        <f>Paramètres!K13</f>
        <v>0</v>
      </c>
      <c r="O73" s="914">
        <v>0</v>
      </c>
      <c r="P73" s="539">
        <f>VALUE_Laboratory[[#This Row],[Valeur]]*VALUE_Laboratory[[#This Row],[Rang]]</f>
        <v>0</v>
      </c>
      <c r="Q73" s="162"/>
      <c r="R73" s="162"/>
      <c r="S73" s="162"/>
      <c r="T73" s="177"/>
      <c r="U73" s="911"/>
      <c r="V73" s="911"/>
      <c r="W73" s="911"/>
      <c r="X73" s="911"/>
      <c r="Y73" s="911"/>
      <c r="Z73" s="911"/>
      <c r="AA73" s="911"/>
      <c r="AB73" s="177"/>
      <c r="AC73" s="911"/>
      <c r="AD73" s="911"/>
      <c r="AE73" s="911"/>
      <c r="AF73" s="911"/>
      <c r="AG73" s="911"/>
      <c r="AH73" s="911"/>
      <c r="AI73" s="911"/>
      <c r="AJ73" s="911"/>
      <c r="AK73" s="911"/>
      <c r="AL73" s="911"/>
      <c r="AM73" s="911"/>
      <c r="AN73" s="911"/>
    </row>
    <row r="74" spans="1:40" x14ac:dyDescent="0.25">
      <c r="A74" s="177"/>
      <c r="B74" s="177"/>
      <c r="C74" s="177"/>
      <c r="D74" s="911"/>
      <c r="E74" s="561">
        <v>9</v>
      </c>
      <c r="F74" s="916">
        <f>Paramètres!H14</f>
        <v>0</v>
      </c>
      <c r="G74" s="912">
        <v>0</v>
      </c>
      <c r="H74" s="200">
        <f>VALUE_Barrack[[#This Row],[Valeur]]*VALUE_Barrack[[#This Row],[Rang]]</f>
        <v>0</v>
      </c>
      <c r="I74" s="177"/>
      <c r="J74" s="177"/>
      <c r="K74" s="177"/>
      <c r="L74" s="177"/>
      <c r="M74" s="177"/>
      <c r="N74" s="177"/>
      <c r="O74" s="177"/>
      <c r="P74" s="177"/>
      <c r="Q74" s="177"/>
      <c r="R74" s="177"/>
      <c r="S74" s="911"/>
      <c r="T74" s="911"/>
      <c r="U74" s="911"/>
      <c r="V74" s="911"/>
      <c r="W74" s="911"/>
      <c r="X74" s="911"/>
      <c r="Y74" s="911"/>
      <c r="Z74" s="177"/>
      <c r="AA74" s="911"/>
      <c r="AB74" s="911"/>
      <c r="AC74" s="911"/>
      <c r="AD74" s="911"/>
      <c r="AE74" s="911"/>
      <c r="AF74" s="911"/>
      <c r="AG74" s="911"/>
      <c r="AH74" s="911"/>
      <c r="AI74" s="911"/>
      <c r="AJ74" s="911"/>
      <c r="AK74" s="911"/>
      <c r="AL74" s="911"/>
      <c r="AM74" s="911"/>
      <c r="AN74" s="911"/>
    </row>
    <row r="75" spans="1:40" ht="15.75" thickBot="1" x14ac:dyDescent="0.3">
      <c r="A75" s="177"/>
      <c r="B75" s="177"/>
      <c r="C75" s="177"/>
      <c r="D75" s="911"/>
      <c r="E75" s="568">
        <v>10</v>
      </c>
      <c r="F75" s="917">
        <f>Paramètres!H15</f>
        <v>0</v>
      </c>
      <c r="G75" s="914">
        <v>0</v>
      </c>
      <c r="H75" s="539">
        <f>VALUE_Barrack[[#This Row],[Valeur]]*VALUE_Barrack[[#This Row],[Rang]]</f>
        <v>0</v>
      </c>
      <c r="I75" s="177"/>
      <c r="J75" s="177"/>
      <c r="K75" s="177"/>
      <c r="L75" s="177"/>
      <c r="M75" s="177"/>
      <c r="N75" s="177"/>
      <c r="O75" s="177"/>
      <c r="P75" s="177"/>
      <c r="Q75" s="177"/>
      <c r="R75" s="177"/>
      <c r="S75" s="911"/>
      <c r="T75" s="911"/>
      <c r="U75" s="911"/>
      <c r="V75" s="911"/>
      <c r="W75" s="911"/>
      <c r="X75" s="911"/>
      <c r="Y75" s="911"/>
      <c r="Z75" s="177"/>
      <c r="AA75" s="911"/>
      <c r="AB75" s="911"/>
      <c r="AC75" s="911"/>
      <c r="AD75" s="911"/>
      <c r="AE75" s="911"/>
      <c r="AF75" s="911"/>
      <c r="AG75" s="911"/>
      <c r="AH75" s="911"/>
      <c r="AI75" s="911"/>
      <c r="AJ75" s="911"/>
      <c r="AK75" s="911"/>
      <c r="AL75" s="911"/>
      <c r="AM75" s="911"/>
      <c r="AN75" s="911"/>
    </row>
    <row r="76" spans="1:40" x14ac:dyDescent="0.25">
      <c r="A76" s="162"/>
      <c r="B76" s="162"/>
      <c r="C76" s="162"/>
      <c r="D76" s="177"/>
      <c r="E76" s="177"/>
      <c r="F76" s="177"/>
      <c r="G76" s="177"/>
      <c r="H76" s="177"/>
      <c r="I76" s="162"/>
      <c r="J76" s="162"/>
      <c r="K76" s="162"/>
      <c r="L76" s="177"/>
      <c r="M76" s="177"/>
      <c r="N76" s="177"/>
      <c r="O76" s="177"/>
      <c r="P76" s="177"/>
      <c r="Q76" s="911"/>
      <c r="R76" s="911"/>
      <c r="S76" s="911"/>
      <c r="T76" s="911"/>
      <c r="U76" s="911"/>
      <c r="V76" s="911"/>
      <c r="W76" s="911"/>
      <c r="X76" s="911"/>
      <c r="Y76" s="177"/>
      <c r="Z76" s="177"/>
      <c r="AA76" s="177"/>
      <c r="AB76" s="177"/>
      <c r="AC76" s="177"/>
      <c r="AD76" s="177"/>
      <c r="AE76" s="911"/>
      <c r="AF76" s="911"/>
      <c r="AG76" s="911"/>
      <c r="AH76" s="911"/>
      <c r="AI76" s="911"/>
      <c r="AJ76" s="911"/>
      <c r="AK76" s="911"/>
      <c r="AL76" s="911"/>
      <c r="AM76" s="911"/>
      <c r="AN76" s="911"/>
    </row>
    <row r="77" spans="1:40" ht="15.75" thickBot="1" x14ac:dyDescent="0.3">
      <c r="A77" s="162"/>
      <c r="B77" s="162"/>
      <c r="C77" s="162"/>
      <c r="D77" s="177"/>
      <c r="E77" s="177"/>
      <c r="F77" s="177"/>
      <c r="G77" s="177"/>
      <c r="H77" s="177"/>
      <c r="I77" s="162"/>
      <c r="J77" s="162"/>
      <c r="K77" s="162"/>
      <c r="L77" s="177"/>
      <c r="M77" s="177"/>
      <c r="N77" s="177"/>
      <c r="O77" s="177"/>
      <c r="P77" s="177"/>
      <c r="Q77" s="177"/>
      <c r="R77" s="177"/>
      <c r="S77" s="177"/>
      <c r="T77" s="177"/>
      <c r="U77" s="177"/>
      <c r="V77" s="177"/>
      <c r="W77" s="177"/>
      <c r="X77" s="177"/>
      <c r="Y77" s="177"/>
      <c r="Z77" s="177"/>
      <c r="AA77" s="177"/>
      <c r="AB77" s="177"/>
      <c r="AC77" s="177"/>
      <c r="AD77" s="177"/>
      <c r="AE77" s="911"/>
      <c r="AF77" s="911"/>
      <c r="AG77" s="911"/>
      <c r="AH77" s="911"/>
      <c r="AI77" s="911"/>
      <c r="AJ77" s="911"/>
      <c r="AK77" s="911"/>
      <c r="AL77" s="911"/>
      <c r="AM77" s="911"/>
      <c r="AN77" s="911"/>
    </row>
    <row r="78" spans="1:40" ht="19.5" customHeight="1" thickBot="1" x14ac:dyDescent="0.3">
      <c r="A78" s="1022" t="s">
        <v>686</v>
      </c>
      <c r="B78" s="1023"/>
      <c r="C78" s="1023"/>
      <c r="D78" s="1023"/>
      <c r="E78" s="1023"/>
      <c r="F78" s="1023"/>
      <c r="G78" s="1023"/>
      <c r="H78" s="1023"/>
      <c r="I78" s="1023"/>
      <c r="J78" s="1023"/>
      <c r="K78" s="1023"/>
      <c r="L78" s="1023"/>
      <c r="M78" s="1023"/>
      <c r="N78" s="1023"/>
      <c r="O78" s="1023"/>
      <c r="P78" s="1023"/>
      <c r="Q78" s="1023"/>
      <c r="R78" s="1023"/>
      <c r="S78" s="1023"/>
      <c r="T78" s="1023"/>
      <c r="U78" s="1023"/>
      <c r="V78" s="1023"/>
      <c r="W78" s="1023"/>
      <c r="X78" s="1023"/>
      <c r="Y78" s="1023"/>
      <c r="Z78" s="1023"/>
      <c r="AA78" s="1023"/>
      <c r="AB78" s="1023"/>
      <c r="AC78" s="1023"/>
      <c r="AD78" s="1023"/>
      <c r="AE78" s="1023"/>
      <c r="AF78" s="1023"/>
      <c r="AG78" s="1023"/>
      <c r="AH78" s="1023"/>
      <c r="AI78" s="1023"/>
      <c r="AJ78" s="1023"/>
      <c r="AK78" s="1023"/>
      <c r="AL78" s="1023"/>
      <c r="AM78" s="1023"/>
      <c r="AN78" s="1024"/>
    </row>
    <row r="79" spans="1:40" ht="15.75" customHeight="1" thickBot="1" x14ac:dyDescent="0.3">
      <c r="A79" s="1306" t="s">
        <v>206</v>
      </c>
      <c r="B79" s="1307"/>
      <c r="C79" s="1307"/>
      <c r="D79" s="1308"/>
      <c r="E79" s="1306" t="s">
        <v>205</v>
      </c>
      <c r="F79" s="1307"/>
      <c r="G79" s="1307"/>
      <c r="H79" s="1308"/>
      <c r="I79" s="1306" t="s">
        <v>204</v>
      </c>
      <c r="J79" s="1307"/>
      <c r="K79" s="1307"/>
      <c r="L79" s="1308"/>
      <c r="M79" s="1306" t="s">
        <v>203</v>
      </c>
      <c r="N79" s="1307"/>
      <c r="O79" s="1307"/>
      <c r="P79" s="1308"/>
      <c r="Q79" s="1306" t="s">
        <v>202</v>
      </c>
      <c r="R79" s="1307"/>
      <c r="S79" s="1307"/>
      <c r="T79" s="1308"/>
      <c r="U79" s="1306" t="s">
        <v>455</v>
      </c>
      <c r="V79" s="1307"/>
      <c r="W79" s="1307"/>
      <c r="X79" s="1308"/>
      <c r="Y79" s="1306" t="s">
        <v>647</v>
      </c>
      <c r="Z79" s="1307"/>
      <c r="AA79" s="1307"/>
      <c r="AB79" s="1308"/>
      <c r="AC79" s="1306" t="s">
        <v>201</v>
      </c>
      <c r="AD79" s="1307"/>
      <c r="AE79" s="1307"/>
      <c r="AF79" s="1308"/>
      <c r="AG79" s="1306" t="s">
        <v>200</v>
      </c>
      <c r="AH79" s="1307"/>
      <c r="AI79" s="1307"/>
      <c r="AJ79" s="1308"/>
      <c r="AK79" s="1306" t="s">
        <v>199</v>
      </c>
      <c r="AL79" s="1307"/>
      <c r="AM79" s="1307"/>
      <c r="AN79" s="1308"/>
    </row>
    <row r="80" spans="1:40" ht="15.75" thickBot="1" x14ac:dyDescent="0.3">
      <c r="A80" s="207" t="s">
        <v>17</v>
      </c>
      <c r="B80" s="469" t="s">
        <v>702</v>
      </c>
      <c r="C80" s="190" t="s">
        <v>683</v>
      </c>
      <c r="D80" s="208" t="s">
        <v>31</v>
      </c>
      <c r="E80" s="910" t="s">
        <v>17</v>
      </c>
      <c r="F80" s="918" t="s">
        <v>702</v>
      </c>
      <c r="G80" s="190" t="s">
        <v>683</v>
      </c>
      <c r="H80" s="208" t="s">
        <v>31</v>
      </c>
      <c r="I80" s="207" t="s">
        <v>17</v>
      </c>
      <c r="J80" s="469" t="s">
        <v>702</v>
      </c>
      <c r="K80" s="190" t="s">
        <v>683</v>
      </c>
      <c r="L80" s="208" t="s">
        <v>31</v>
      </c>
      <c r="M80" s="189" t="s">
        <v>17</v>
      </c>
      <c r="N80" s="469" t="s">
        <v>702</v>
      </c>
      <c r="O80" s="190" t="s">
        <v>683</v>
      </c>
      <c r="P80" s="191" t="s">
        <v>31</v>
      </c>
      <c r="Q80" s="189" t="s">
        <v>17</v>
      </c>
      <c r="R80" s="469" t="s">
        <v>702</v>
      </c>
      <c r="S80" s="190" t="s">
        <v>683</v>
      </c>
      <c r="T80" s="208" t="s">
        <v>31</v>
      </c>
      <c r="U80" s="189" t="s">
        <v>17</v>
      </c>
      <c r="V80" s="469" t="s">
        <v>702</v>
      </c>
      <c r="W80" s="190" t="s">
        <v>683</v>
      </c>
      <c r="X80" s="191" t="s">
        <v>31</v>
      </c>
      <c r="Y80" s="207" t="s">
        <v>17</v>
      </c>
      <c r="Z80" s="469" t="s">
        <v>702</v>
      </c>
      <c r="AA80" s="190" t="s">
        <v>683</v>
      </c>
      <c r="AB80" s="208" t="s">
        <v>31</v>
      </c>
      <c r="AC80" s="207" t="s">
        <v>17</v>
      </c>
      <c r="AD80" s="469" t="s">
        <v>702</v>
      </c>
      <c r="AE80" s="190" t="s">
        <v>683</v>
      </c>
      <c r="AF80" s="208" t="s">
        <v>31</v>
      </c>
      <c r="AG80" s="207" t="s">
        <v>17</v>
      </c>
      <c r="AH80" s="469" t="s">
        <v>702</v>
      </c>
      <c r="AI80" s="190" t="s">
        <v>683</v>
      </c>
      <c r="AJ80" s="208" t="s">
        <v>31</v>
      </c>
      <c r="AK80" s="207" t="s">
        <v>17</v>
      </c>
      <c r="AL80" s="469" t="s">
        <v>702</v>
      </c>
      <c r="AM80" s="190" t="s">
        <v>683</v>
      </c>
      <c r="AN80" s="191" t="s">
        <v>31</v>
      </c>
    </row>
    <row r="81" spans="1:40" x14ac:dyDescent="0.25">
      <c r="A81" s="905">
        <v>1</v>
      </c>
      <c r="B81" s="915">
        <f>Paramètres!N6</f>
        <v>0</v>
      </c>
      <c r="C81" s="913">
        <v>4.2</v>
      </c>
      <c r="D81" s="199">
        <f>VALUE_Wall[[#This Row],[Valeur]]*VALUE_Wall[[#This Row],[Rang]]</f>
        <v>0</v>
      </c>
      <c r="E81" s="905">
        <v>1</v>
      </c>
      <c r="F81" s="915">
        <f>Paramètres!O6</f>
        <v>0</v>
      </c>
      <c r="G81" s="933">
        <v>100</v>
      </c>
      <c r="H81" s="936">
        <f>VALUE_Cannon[[#This Row],[Valeur]]*VALUE_Cannon[[#This Row],[Rang]]</f>
        <v>0</v>
      </c>
      <c r="I81" s="906">
        <v>1</v>
      </c>
      <c r="J81" s="915">
        <f>Paramètres!P6</f>
        <v>0</v>
      </c>
      <c r="K81" s="913">
        <v>100</v>
      </c>
      <c r="L81" s="199">
        <f>VALUE_Archer_Tower[[#This Row],[Valeur]]*VALUE_Archer_Tower[[#This Row],[Rang]]</f>
        <v>0</v>
      </c>
      <c r="M81" s="905">
        <v>1</v>
      </c>
      <c r="N81" s="915">
        <f>Paramètres!Q6</f>
        <v>0</v>
      </c>
      <c r="O81" s="913">
        <v>500</v>
      </c>
      <c r="P81" s="199">
        <f>VALUE_Mortar[[#This Row],[Valeur]]*VALUE_Mortar[[#This Row],[Rang]]</f>
        <v>0</v>
      </c>
      <c r="Q81" s="905">
        <v>1</v>
      </c>
      <c r="R81" s="915">
        <f>Paramètres!R6</f>
        <v>0</v>
      </c>
      <c r="S81" s="913">
        <v>40</v>
      </c>
      <c r="T81" s="199">
        <f>VALUE_Air_Defense[[#This Row],[Valeur]]*VALUE_Air_Defense[[#This Row],[Rang]]</f>
        <v>0</v>
      </c>
      <c r="U81" s="905">
        <v>1</v>
      </c>
      <c r="V81" s="915">
        <f>Paramètres!S6</f>
        <v>0</v>
      </c>
      <c r="W81" s="913">
        <v>500</v>
      </c>
      <c r="X81" s="199">
        <f>VALUE_Wizard_Tower[[#This Row],[Valeur]]*VALUE_Wizard_Tower[[#This Row],[Rang]]</f>
        <v>0</v>
      </c>
      <c r="Y81" s="905">
        <v>1</v>
      </c>
      <c r="Z81" s="915">
        <f>Paramètres!T6</f>
        <v>0</v>
      </c>
      <c r="AA81" s="913">
        <v>10</v>
      </c>
      <c r="AB81" s="199">
        <f>VALUE_Air_Sweeper[[#This Row],[Valeur]]*VALUE_Air_Sweeper[[#This Row],[Rang]]</f>
        <v>0</v>
      </c>
      <c r="AC81" s="905">
        <v>1</v>
      </c>
      <c r="AD81" s="915">
        <f>Paramètres!U6</f>
        <v>0</v>
      </c>
      <c r="AE81" s="913">
        <v>100</v>
      </c>
      <c r="AF81" s="199">
        <f>VALUE_Hidden_Tesla[[#This Row],[Valeur]]*VALUE_Hidden_Tesla[[#This Row],[Rang]]</f>
        <v>0</v>
      </c>
      <c r="AG81" s="905">
        <v>1</v>
      </c>
      <c r="AH81" s="915">
        <f>Paramètres!V6</f>
        <v>0</v>
      </c>
      <c r="AI81" s="913">
        <v>400</v>
      </c>
      <c r="AJ81" s="199">
        <f>VALUE_XBow[[#This Row],[Valeur]]*VALUE_XBow[[#This Row],[Rang]]</f>
        <v>0</v>
      </c>
      <c r="AK81" s="905">
        <v>1</v>
      </c>
      <c r="AL81" s="915">
        <f>Paramètres!AK6</f>
        <v>0</v>
      </c>
      <c r="AM81" s="913">
        <v>1000</v>
      </c>
      <c r="AN81" s="199">
        <f>VALUE_Inferno_Tower[[#This Row],[Valeur]]*VALUE_Inferno_Tower[[#This Row],[Rang]]</f>
        <v>0</v>
      </c>
    </row>
    <row r="82" spans="1:40" x14ac:dyDescent="0.25">
      <c r="A82" s="561">
        <v>2</v>
      </c>
      <c r="B82" s="916">
        <f>Paramètres!N7</f>
        <v>0</v>
      </c>
      <c r="C82" s="912">
        <v>8.4</v>
      </c>
      <c r="D82" s="200">
        <f>VALUE_Wall[[#This Row],[Valeur]]*VALUE_Wall[[#This Row],[Rang]]</f>
        <v>0</v>
      </c>
      <c r="E82" s="561">
        <v>2</v>
      </c>
      <c r="F82" s="916">
        <f>Paramètres!O7</f>
        <v>0</v>
      </c>
      <c r="G82" s="934">
        <f>100+G81-F81</f>
        <v>200</v>
      </c>
      <c r="H82" s="937">
        <f>VALUE_Cannon[[#This Row],[Valeur]]*VALUE_Cannon[[#This Row],[Rang]]</f>
        <v>0</v>
      </c>
      <c r="I82" s="938">
        <v>2</v>
      </c>
      <c r="J82" s="916">
        <f>Paramètres!P7</f>
        <v>0</v>
      </c>
      <c r="K82" s="912">
        <v>199</v>
      </c>
      <c r="L82" s="200">
        <f>VALUE_Archer_Tower[[#This Row],[Valeur]]*VALUE_Archer_Tower[[#This Row],[Rang]]</f>
        <v>0</v>
      </c>
      <c r="M82" s="561">
        <v>2</v>
      </c>
      <c r="N82" s="916">
        <f>Paramètres!Q7</f>
        <v>0</v>
      </c>
      <c r="O82" s="912">
        <f>500+O81-10*N81</f>
        <v>1000</v>
      </c>
      <c r="P82" s="200">
        <f>VALUE_Mortar[[#This Row],[Valeur]]*VALUE_Mortar[[#This Row],[Rang]]</f>
        <v>0</v>
      </c>
      <c r="Q82" s="561">
        <v>2</v>
      </c>
      <c r="R82" s="916">
        <f>Paramètres!R7</f>
        <v>0</v>
      </c>
      <c r="S82" s="912">
        <v>80</v>
      </c>
      <c r="T82" s="200">
        <f>VALUE_Air_Defense[[#This Row],[Valeur]]*VALUE_Air_Defense[[#This Row],[Rang]]</f>
        <v>0</v>
      </c>
      <c r="U82" s="561">
        <v>2</v>
      </c>
      <c r="V82" s="916">
        <f>Paramètres!S7</f>
        <v>0</v>
      </c>
      <c r="W82" s="912">
        <f>500+W81-30*V81</f>
        <v>1000</v>
      </c>
      <c r="X82" s="200">
        <f>VALUE_Wizard_Tower[[#This Row],[Valeur]]*VALUE_Wizard_Tower[[#This Row],[Rang]]</f>
        <v>0</v>
      </c>
      <c r="Y82" s="561">
        <v>2</v>
      </c>
      <c r="Z82" s="916">
        <f>Paramètres!T7</f>
        <v>0</v>
      </c>
      <c r="AA82" s="912">
        <v>20</v>
      </c>
      <c r="AB82" s="200">
        <f>VALUE_Air_Sweeper[[#This Row],[Valeur]]*VALUE_Air_Sweeper[[#This Row],[Rang]]</f>
        <v>0</v>
      </c>
      <c r="AC82" s="561">
        <v>2</v>
      </c>
      <c r="AD82" s="916">
        <f>Paramètres!U7</f>
        <v>0</v>
      </c>
      <c r="AE82" s="912">
        <v>200</v>
      </c>
      <c r="AF82" s="200">
        <f>VALUE_Hidden_Tesla[[#This Row],[Valeur]]*VALUE_Hidden_Tesla[[#This Row],[Rang]]</f>
        <v>0</v>
      </c>
      <c r="AG82" s="561">
        <v>2</v>
      </c>
      <c r="AH82" s="916">
        <f>Paramètres!V7</f>
        <v>0</v>
      </c>
      <c r="AI82" s="912">
        <v>800</v>
      </c>
      <c r="AJ82" s="200">
        <f>VALUE_XBow[[#This Row],[Valeur]]*VALUE_XBow[[#This Row],[Rang]]</f>
        <v>0</v>
      </c>
      <c r="AK82" s="561">
        <v>2</v>
      </c>
      <c r="AL82" s="916">
        <f>Paramètres!AK7</f>
        <v>0</v>
      </c>
      <c r="AM82" s="912">
        <v>2000</v>
      </c>
      <c r="AN82" s="200">
        <f>VALUE_Inferno_Tower[[#This Row],[Valeur]]*VALUE_Inferno_Tower[[#This Row],[Rang]]</f>
        <v>0</v>
      </c>
    </row>
    <row r="83" spans="1:40" ht="15.75" thickBot="1" x14ac:dyDescent="0.3">
      <c r="A83" s="561">
        <v>3</v>
      </c>
      <c r="B83" s="916">
        <f>Paramètres!N8</f>
        <v>0</v>
      </c>
      <c r="C83" s="912">
        <v>12.6</v>
      </c>
      <c r="D83" s="200">
        <f>VALUE_Wall[[#This Row],[Valeur]]*VALUE_Wall[[#This Row],[Rang]]</f>
        <v>0</v>
      </c>
      <c r="E83" s="561">
        <v>3</v>
      </c>
      <c r="F83" s="916">
        <f>Paramètres!O8</f>
        <v>0</v>
      </c>
      <c r="G83" s="934">
        <f t="shared" ref="G83:G93" si="0">100+G82-F82</f>
        <v>300</v>
      </c>
      <c r="H83" s="937">
        <f>VALUE_Cannon[[#This Row],[Valeur]]*VALUE_Cannon[[#This Row],[Rang]]</f>
        <v>0</v>
      </c>
      <c r="I83" s="938">
        <v>3</v>
      </c>
      <c r="J83" s="916">
        <f>Paramètres!P8</f>
        <v>0</v>
      </c>
      <c r="K83" s="912">
        <v>297</v>
      </c>
      <c r="L83" s="200">
        <f>VALUE_Archer_Tower[[#This Row],[Valeur]]*VALUE_Archer_Tower[[#This Row],[Rang]]</f>
        <v>0</v>
      </c>
      <c r="M83" s="561">
        <v>3</v>
      </c>
      <c r="N83" s="916">
        <f>Paramètres!Q8</f>
        <v>0</v>
      </c>
      <c r="O83" s="912">
        <f t="shared" ref="O83:O88" si="1">500+O82-10*N82</f>
        <v>1500</v>
      </c>
      <c r="P83" s="200">
        <f>VALUE_Mortar[[#This Row],[Valeur]]*VALUE_Mortar[[#This Row],[Rang]]</f>
        <v>0</v>
      </c>
      <c r="Q83" s="561">
        <v>3</v>
      </c>
      <c r="R83" s="916">
        <f>Paramètres!R8</f>
        <v>0</v>
      </c>
      <c r="S83" s="912">
        <v>120</v>
      </c>
      <c r="T83" s="200">
        <f>VALUE_Air_Defense[[#This Row],[Valeur]]*VALUE_Air_Defense[[#This Row],[Rang]]</f>
        <v>0</v>
      </c>
      <c r="U83" s="561">
        <v>3</v>
      </c>
      <c r="V83" s="916">
        <f>Paramètres!S8</f>
        <v>0</v>
      </c>
      <c r="W83" s="912">
        <f t="shared" ref="W83:W88" si="2">500+W82-30*V82</f>
        <v>1500</v>
      </c>
      <c r="X83" s="200">
        <f>VALUE_Wizard_Tower[[#This Row],[Valeur]]*VALUE_Wizard_Tower[[#This Row],[Rang]]</f>
        <v>0</v>
      </c>
      <c r="Y83" s="561">
        <v>3</v>
      </c>
      <c r="Z83" s="916">
        <f>Paramètres!T8</f>
        <v>0</v>
      </c>
      <c r="AA83" s="912">
        <v>30</v>
      </c>
      <c r="AB83" s="200">
        <f>VALUE_Air_Sweeper[[#This Row],[Valeur]]*VALUE_Air_Sweeper[[#This Row],[Rang]]</f>
        <v>0</v>
      </c>
      <c r="AC83" s="561">
        <v>3</v>
      </c>
      <c r="AD83" s="916">
        <f>Paramètres!U8</f>
        <v>0</v>
      </c>
      <c r="AE83" s="912">
        <v>300</v>
      </c>
      <c r="AF83" s="200">
        <f>VALUE_Hidden_Tesla[[#This Row],[Valeur]]*VALUE_Hidden_Tesla[[#This Row],[Rang]]</f>
        <v>0</v>
      </c>
      <c r="AG83" s="561">
        <v>3</v>
      </c>
      <c r="AH83" s="916">
        <f>Paramètres!V8</f>
        <v>0</v>
      </c>
      <c r="AI83" s="912">
        <v>1200</v>
      </c>
      <c r="AJ83" s="200">
        <f>VALUE_XBow[[#This Row],[Valeur]]*VALUE_XBow[[#This Row],[Rang]]</f>
        <v>0</v>
      </c>
      <c r="AK83" s="568">
        <v>3</v>
      </c>
      <c r="AL83" s="917">
        <f>Paramètres!AK8</f>
        <v>0</v>
      </c>
      <c r="AM83" s="914">
        <v>3000</v>
      </c>
      <c r="AN83" s="539">
        <f>VALUE_Inferno_Tower[[#This Row],[Valeur]]*VALUE_Inferno_Tower[[#This Row],[Rang]]</f>
        <v>0</v>
      </c>
    </row>
    <row r="84" spans="1:40" ht="15.75" thickBot="1" x14ac:dyDescent="0.3">
      <c r="A84" s="561">
        <v>4</v>
      </c>
      <c r="B84" s="916">
        <f>Paramètres!N9</f>
        <v>0</v>
      </c>
      <c r="C84" s="912">
        <v>16.8</v>
      </c>
      <c r="D84" s="200">
        <f>VALUE_Wall[[#This Row],[Valeur]]*VALUE_Wall[[#This Row],[Rang]]</f>
        <v>0</v>
      </c>
      <c r="E84" s="561">
        <v>4</v>
      </c>
      <c r="F84" s="916">
        <f>Paramètres!O9</f>
        <v>0</v>
      </c>
      <c r="G84" s="934">
        <f t="shared" si="0"/>
        <v>400</v>
      </c>
      <c r="H84" s="937">
        <f>VALUE_Cannon[[#This Row],[Valeur]]*VALUE_Cannon[[#This Row],[Rang]]</f>
        <v>0</v>
      </c>
      <c r="I84" s="938">
        <v>4</v>
      </c>
      <c r="J84" s="916">
        <f>Paramètres!P9</f>
        <v>0</v>
      </c>
      <c r="K84" s="912">
        <v>394</v>
      </c>
      <c r="L84" s="200">
        <f>VALUE_Archer_Tower[[#This Row],[Valeur]]*VALUE_Archer_Tower[[#This Row],[Rang]]</f>
        <v>0</v>
      </c>
      <c r="M84" s="561">
        <v>4</v>
      </c>
      <c r="N84" s="916">
        <f>Paramètres!Q9</f>
        <v>0</v>
      </c>
      <c r="O84" s="912">
        <f t="shared" si="1"/>
        <v>2000</v>
      </c>
      <c r="P84" s="200">
        <f>VALUE_Mortar[[#This Row],[Valeur]]*VALUE_Mortar[[#This Row],[Rang]]</f>
        <v>0</v>
      </c>
      <c r="Q84" s="561">
        <v>4</v>
      </c>
      <c r="R84" s="916">
        <f>Paramètres!R9</f>
        <v>0</v>
      </c>
      <c r="S84" s="912">
        <v>160</v>
      </c>
      <c r="T84" s="200">
        <f>VALUE_Air_Defense[[#This Row],[Valeur]]*VALUE_Air_Defense[[#This Row],[Rang]]</f>
        <v>0</v>
      </c>
      <c r="U84" s="561">
        <v>4</v>
      </c>
      <c r="V84" s="916">
        <f>Paramètres!S9</f>
        <v>0</v>
      </c>
      <c r="W84" s="912">
        <f t="shared" si="2"/>
        <v>2000</v>
      </c>
      <c r="X84" s="200">
        <f>VALUE_Wizard_Tower[[#This Row],[Valeur]]*VALUE_Wizard_Tower[[#This Row],[Rang]]</f>
        <v>0</v>
      </c>
      <c r="Y84" s="561">
        <v>4</v>
      </c>
      <c r="Z84" s="916">
        <f>Paramètres!T9</f>
        <v>0</v>
      </c>
      <c r="AA84" s="912">
        <v>40</v>
      </c>
      <c r="AB84" s="200">
        <f>VALUE_Air_Sweeper[[#This Row],[Valeur]]*VALUE_Air_Sweeper[[#This Row],[Rang]]</f>
        <v>0</v>
      </c>
      <c r="AC84" s="561">
        <v>4</v>
      </c>
      <c r="AD84" s="916">
        <f>Paramètres!U9</f>
        <v>0</v>
      </c>
      <c r="AE84" s="912">
        <v>400</v>
      </c>
      <c r="AF84" s="200">
        <f>VALUE_Hidden_Tesla[[#This Row],[Valeur]]*VALUE_Hidden_Tesla[[#This Row],[Rang]]</f>
        <v>0</v>
      </c>
      <c r="AG84" s="568">
        <v>4</v>
      </c>
      <c r="AH84" s="917">
        <f>Paramètres!V9</f>
        <v>0</v>
      </c>
      <c r="AI84" s="914">
        <v>1600</v>
      </c>
      <c r="AJ84" s="539">
        <f>VALUE_XBow[[#This Row],[Valeur]]*VALUE_XBow[[#This Row],[Rang]]</f>
        <v>0</v>
      </c>
      <c r="AK84" s="162"/>
      <c r="AL84" s="162"/>
      <c r="AM84" s="162"/>
      <c r="AN84" s="911"/>
    </row>
    <row r="85" spans="1:40" x14ac:dyDescent="0.25">
      <c r="A85" s="561">
        <v>5</v>
      </c>
      <c r="B85" s="916">
        <f>Paramètres!N10</f>
        <v>0</v>
      </c>
      <c r="C85" s="912">
        <v>21</v>
      </c>
      <c r="D85" s="200">
        <f>VALUE_Wall[[#This Row],[Valeur]]*VALUE_Wall[[#This Row],[Rang]]</f>
        <v>0</v>
      </c>
      <c r="E85" s="561">
        <v>5</v>
      </c>
      <c r="F85" s="916">
        <f>Paramètres!O10</f>
        <v>0</v>
      </c>
      <c r="G85" s="934">
        <f t="shared" si="0"/>
        <v>500</v>
      </c>
      <c r="H85" s="937">
        <f>VALUE_Cannon[[#This Row],[Valeur]]*VALUE_Cannon[[#This Row],[Rang]]</f>
        <v>0</v>
      </c>
      <c r="I85" s="938">
        <v>5</v>
      </c>
      <c r="J85" s="916">
        <f>Paramètres!P10</f>
        <v>0</v>
      </c>
      <c r="K85" s="912">
        <v>490</v>
      </c>
      <c r="L85" s="200">
        <f>VALUE_Archer_Tower[[#This Row],[Valeur]]*VALUE_Archer_Tower[[#This Row],[Rang]]</f>
        <v>0</v>
      </c>
      <c r="M85" s="561">
        <v>5</v>
      </c>
      <c r="N85" s="916">
        <f>Paramètres!Q10</f>
        <v>0</v>
      </c>
      <c r="O85" s="912">
        <f t="shared" si="1"/>
        <v>2500</v>
      </c>
      <c r="P85" s="200">
        <f>VALUE_Mortar[[#This Row],[Valeur]]*VALUE_Mortar[[#This Row],[Rang]]</f>
        <v>0</v>
      </c>
      <c r="Q85" s="561">
        <v>5</v>
      </c>
      <c r="R85" s="916">
        <f>Paramètres!R10</f>
        <v>0</v>
      </c>
      <c r="S85" s="912">
        <v>200</v>
      </c>
      <c r="T85" s="200">
        <f>VALUE_Air_Defense[[#This Row],[Valeur]]*VALUE_Air_Defense[[#This Row],[Rang]]</f>
        <v>0</v>
      </c>
      <c r="U85" s="561">
        <v>5</v>
      </c>
      <c r="V85" s="916">
        <f>Paramètres!S10</f>
        <v>0</v>
      </c>
      <c r="W85" s="912">
        <f t="shared" si="2"/>
        <v>2500</v>
      </c>
      <c r="X85" s="200">
        <f>VALUE_Wizard_Tower[[#This Row],[Valeur]]*VALUE_Wizard_Tower[[#This Row],[Rang]]</f>
        <v>0</v>
      </c>
      <c r="Y85" s="561">
        <v>5</v>
      </c>
      <c r="Z85" s="916">
        <f>Paramètres!T10</f>
        <v>0</v>
      </c>
      <c r="AA85" s="912">
        <v>50</v>
      </c>
      <c r="AB85" s="200">
        <f>VALUE_Air_Sweeper[[#This Row],[Valeur]]*VALUE_Air_Sweeper[[#This Row],[Rang]]</f>
        <v>0</v>
      </c>
      <c r="AC85" s="561">
        <v>5</v>
      </c>
      <c r="AD85" s="916">
        <f>Paramètres!U10</f>
        <v>0</v>
      </c>
      <c r="AE85" s="912">
        <v>500</v>
      </c>
      <c r="AF85" s="200">
        <f>VALUE_Hidden_Tesla[[#This Row],[Valeur]]*VALUE_Hidden_Tesla[[#This Row],[Rang]]</f>
        <v>0</v>
      </c>
      <c r="AG85" s="177"/>
      <c r="AH85" s="177"/>
      <c r="AI85" s="177"/>
      <c r="AJ85" s="177"/>
      <c r="AK85" s="177"/>
      <c r="AL85" s="177"/>
      <c r="AM85" s="911"/>
      <c r="AN85" s="911"/>
    </row>
    <row r="86" spans="1:40" ht="15.75" thickBot="1" x14ac:dyDescent="0.3">
      <c r="A86" s="561">
        <v>6</v>
      </c>
      <c r="B86" s="916">
        <f>Paramètres!N11</f>
        <v>0</v>
      </c>
      <c r="C86" s="912">
        <v>25.2</v>
      </c>
      <c r="D86" s="200">
        <f>VALUE_Wall[[#This Row],[Valeur]]*VALUE_Wall[[#This Row],[Rang]]</f>
        <v>0</v>
      </c>
      <c r="E86" s="561">
        <v>6</v>
      </c>
      <c r="F86" s="916">
        <f>Paramètres!O11</f>
        <v>0</v>
      </c>
      <c r="G86" s="934">
        <f t="shared" si="0"/>
        <v>600</v>
      </c>
      <c r="H86" s="937">
        <f>VALUE_Cannon[[#This Row],[Valeur]]*VALUE_Cannon[[#This Row],[Rang]]</f>
        <v>0</v>
      </c>
      <c r="I86" s="938">
        <v>6</v>
      </c>
      <c r="J86" s="916">
        <f>Paramètres!P11</f>
        <v>0</v>
      </c>
      <c r="K86" s="912">
        <v>585</v>
      </c>
      <c r="L86" s="200">
        <f>VALUE_Archer_Tower[[#This Row],[Valeur]]*VALUE_Archer_Tower[[#This Row],[Rang]]</f>
        <v>0</v>
      </c>
      <c r="M86" s="561">
        <v>6</v>
      </c>
      <c r="N86" s="916">
        <f>Paramètres!Q11</f>
        <v>0</v>
      </c>
      <c r="O86" s="912">
        <f t="shared" si="1"/>
        <v>3000</v>
      </c>
      <c r="P86" s="200">
        <f>VALUE_Mortar[[#This Row],[Valeur]]*VALUE_Mortar[[#This Row],[Rang]]</f>
        <v>0</v>
      </c>
      <c r="Q86" s="561">
        <v>6</v>
      </c>
      <c r="R86" s="916">
        <f>Paramètres!R11</f>
        <v>0</v>
      </c>
      <c r="S86" s="912">
        <v>240</v>
      </c>
      <c r="T86" s="200">
        <f>VALUE_Air_Defense[[#This Row],[Valeur]]*VALUE_Air_Defense[[#This Row],[Rang]]</f>
        <v>0</v>
      </c>
      <c r="U86" s="561">
        <v>6</v>
      </c>
      <c r="V86" s="916">
        <f>Paramètres!S11</f>
        <v>0</v>
      </c>
      <c r="W86" s="912">
        <f t="shared" si="2"/>
        <v>3000</v>
      </c>
      <c r="X86" s="200">
        <f>VALUE_Wizard_Tower[[#This Row],[Valeur]]*VALUE_Wizard_Tower[[#This Row],[Rang]]</f>
        <v>0</v>
      </c>
      <c r="Y86" s="568">
        <v>6</v>
      </c>
      <c r="Z86" s="917">
        <f>Paramètres!T11</f>
        <v>0</v>
      </c>
      <c r="AA86" s="914">
        <v>60</v>
      </c>
      <c r="AB86" s="539">
        <f>VALUE_Air_Sweeper[[#This Row],[Valeur]]*VALUE_Air_Sweeper[[#This Row],[Rang]]</f>
        <v>0</v>
      </c>
      <c r="AC86" s="561">
        <v>6</v>
      </c>
      <c r="AD86" s="916">
        <f>Paramètres!U11</f>
        <v>0</v>
      </c>
      <c r="AE86" s="912">
        <v>600</v>
      </c>
      <c r="AF86" s="200">
        <f>VALUE_Hidden_Tesla[[#This Row],[Valeur]]*VALUE_Hidden_Tesla[[#This Row],[Rang]]</f>
        <v>0</v>
      </c>
      <c r="AG86" s="177"/>
      <c r="AH86" s="177"/>
      <c r="AI86" s="177"/>
      <c r="AJ86" s="177"/>
      <c r="AK86" s="177"/>
      <c r="AL86" s="177"/>
      <c r="AM86" s="911"/>
      <c r="AN86" s="911"/>
    </row>
    <row r="87" spans="1:40" x14ac:dyDescent="0.25">
      <c r="A87" s="561">
        <v>7</v>
      </c>
      <c r="B87" s="916">
        <f>Paramètres!N12</f>
        <v>0</v>
      </c>
      <c r="C87" s="912">
        <v>29.4</v>
      </c>
      <c r="D87" s="200">
        <f>VALUE_Wall[[#This Row],[Valeur]]*VALUE_Wall[[#This Row],[Rang]]</f>
        <v>0</v>
      </c>
      <c r="E87" s="561">
        <v>7</v>
      </c>
      <c r="F87" s="916">
        <f>Paramètres!O12</f>
        <v>0</v>
      </c>
      <c r="G87" s="934">
        <f t="shared" si="0"/>
        <v>700</v>
      </c>
      <c r="H87" s="937">
        <f>VALUE_Cannon[[#This Row],[Valeur]]*VALUE_Cannon[[#This Row],[Rang]]</f>
        <v>0</v>
      </c>
      <c r="I87" s="938">
        <v>7</v>
      </c>
      <c r="J87" s="916">
        <f>Paramètres!P12</f>
        <v>0</v>
      </c>
      <c r="K87" s="912">
        <v>679</v>
      </c>
      <c r="L87" s="200">
        <f>VALUE_Archer_Tower[[#This Row],[Valeur]]*VALUE_Archer_Tower[[#This Row],[Rang]]</f>
        <v>0</v>
      </c>
      <c r="M87" s="561">
        <v>7</v>
      </c>
      <c r="N87" s="916">
        <f>Paramètres!Q12</f>
        <v>0</v>
      </c>
      <c r="O87" s="912">
        <f t="shared" si="1"/>
        <v>3500</v>
      </c>
      <c r="P87" s="200">
        <f>VALUE_Mortar[[#This Row],[Valeur]]*VALUE_Mortar[[#This Row],[Rang]]</f>
        <v>0</v>
      </c>
      <c r="Q87" s="561">
        <v>7</v>
      </c>
      <c r="R87" s="916">
        <f>Paramètres!R12</f>
        <v>0</v>
      </c>
      <c r="S87" s="912">
        <v>280</v>
      </c>
      <c r="T87" s="200">
        <f>VALUE_Air_Defense[[#This Row],[Valeur]]*VALUE_Air_Defense[[#This Row],[Rang]]</f>
        <v>0</v>
      </c>
      <c r="U87" s="561">
        <v>7</v>
      </c>
      <c r="V87" s="916">
        <f>Paramètres!S12</f>
        <v>0</v>
      </c>
      <c r="W87" s="912">
        <f t="shared" si="2"/>
        <v>3500</v>
      </c>
      <c r="X87" s="200">
        <f>VALUE_Wizard_Tower[[#This Row],[Valeur]]*VALUE_Wizard_Tower[[#This Row],[Rang]]</f>
        <v>0</v>
      </c>
      <c r="Y87" s="177"/>
      <c r="Z87" s="177"/>
      <c r="AA87" s="177"/>
      <c r="AB87" s="911"/>
      <c r="AC87" s="561">
        <v>7</v>
      </c>
      <c r="AD87" s="916">
        <f>Paramètres!U12</f>
        <v>0</v>
      </c>
      <c r="AE87" s="912">
        <v>700</v>
      </c>
      <c r="AF87" s="200">
        <f>VALUE_Hidden_Tesla[[#This Row],[Valeur]]*VALUE_Hidden_Tesla[[#This Row],[Rang]]</f>
        <v>0</v>
      </c>
      <c r="AG87" s="177"/>
      <c r="AH87" s="177"/>
      <c r="AI87" s="177"/>
      <c r="AJ87" s="177"/>
      <c r="AK87" s="177"/>
      <c r="AL87" s="177"/>
      <c r="AM87" s="911"/>
      <c r="AN87" s="911"/>
    </row>
    <row r="88" spans="1:40" ht="15.75" thickBot="1" x14ac:dyDescent="0.3">
      <c r="A88" s="561">
        <v>8</v>
      </c>
      <c r="B88" s="916">
        <f>Paramètres!N13</f>
        <v>0</v>
      </c>
      <c r="C88" s="912">
        <v>33.6</v>
      </c>
      <c r="D88" s="200">
        <f>VALUE_Wall[[#This Row],[Valeur]]*VALUE_Wall[[#This Row],[Rang]]</f>
        <v>0</v>
      </c>
      <c r="E88" s="561">
        <v>8</v>
      </c>
      <c r="F88" s="916">
        <f>Paramètres!O13</f>
        <v>0</v>
      </c>
      <c r="G88" s="934">
        <f t="shared" si="0"/>
        <v>800</v>
      </c>
      <c r="H88" s="937">
        <f>VALUE_Cannon[[#This Row],[Valeur]]*VALUE_Cannon[[#This Row],[Rang]]</f>
        <v>0</v>
      </c>
      <c r="I88" s="938">
        <v>8</v>
      </c>
      <c r="J88" s="916">
        <f>Paramètres!P13</f>
        <v>0</v>
      </c>
      <c r="K88" s="912">
        <v>772</v>
      </c>
      <c r="L88" s="200">
        <f>VALUE_Archer_Tower[[#This Row],[Valeur]]*VALUE_Archer_Tower[[#This Row],[Rang]]</f>
        <v>0</v>
      </c>
      <c r="M88" s="568">
        <v>8</v>
      </c>
      <c r="N88" s="917">
        <f>Paramètres!Q13</f>
        <v>0</v>
      </c>
      <c r="O88" s="914">
        <f t="shared" si="1"/>
        <v>4000</v>
      </c>
      <c r="P88" s="539">
        <f>VALUE_Mortar[[#This Row],[Valeur]]*VALUE_Mortar[[#This Row],[Rang]]</f>
        <v>0</v>
      </c>
      <c r="Q88" s="568">
        <v>8</v>
      </c>
      <c r="R88" s="917">
        <f>Paramètres!R13</f>
        <v>0</v>
      </c>
      <c r="S88" s="914">
        <v>320</v>
      </c>
      <c r="T88" s="539">
        <f>VALUE_Air_Defense[[#This Row],[Valeur]]*VALUE_Air_Defense[[#This Row],[Rang]]</f>
        <v>0</v>
      </c>
      <c r="U88" s="568">
        <v>8</v>
      </c>
      <c r="V88" s="917">
        <f>Paramètres!S13</f>
        <v>0</v>
      </c>
      <c r="W88" s="914">
        <f t="shared" si="2"/>
        <v>4000</v>
      </c>
      <c r="X88" s="539">
        <f>VALUE_Wizard_Tower[[#This Row],[Valeur]]*VALUE_Wizard_Tower[[#This Row],[Rang]]</f>
        <v>0</v>
      </c>
      <c r="Y88" s="177"/>
      <c r="Z88" s="177"/>
      <c r="AA88" s="177"/>
      <c r="AB88" s="911"/>
      <c r="AC88" s="568">
        <v>8</v>
      </c>
      <c r="AD88" s="917">
        <f>Paramètres!U13</f>
        <v>0</v>
      </c>
      <c r="AE88" s="914">
        <v>800</v>
      </c>
      <c r="AF88" s="539">
        <f>VALUE_Hidden_Tesla[[#This Row],[Valeur]]*VALUE_Hidden_Tesla[[#This Row],[Rang]]</f>
        <v>0</v>
      </c>
      <c r="AG88" s="177"/>
      <c r="AH88" s="177"/>
      <c r="AI88" s="177"/>
      <c r="AJ88" s="162"/>
      <c r="AK88" s="162"/>
      <c r="AL88" s="162"/>
      <c r="AM88" s="911"/>
      <c r="AN88" s="911"/>
    </row>
    <row r="89" spans="1:40" x14ac:dyDescent="0.25">
      <c r="A89" s="561">
        <v>9</v>
      </c>
      <c r="B89" s="916">
        <f>Paramètres!N14</f>
        <v>0</v>
      </c>
      <c r="C89" s="912">
        <v>37.799999999999997</v>
      </c>
      <c r="D89" s="200">
        <f>VALUE_Wall[[#This Row],[Valeur]]*VALUE_Wall[[#This Row],[Rang]]</f>
        <v>0</v>
      </c>
      <c r="E89" s="561">
        <v>9</v>
      </c>
      <c r="F89" s="916">
        <f>Paramètres!O14</f>
        <v>0</v>
      </c>
      <c r="G89" s="934">
        <f t="shared" si="0"/>
        <v>900</v>
      </c>
      <c r="H89" s="937">
        <f>VALUE_Cannon[[#This Row],[Valeur]]*VALUE_Cannon[[#This Row],[Rang]]</f>
        <v>0</v>
      </c>
      <c r="I89" s="938">
        <v>9</v>
      </c>
      <c r="J89" s="916">
        <f>Paramètres!P14</f>
        <v>0</v>
      </c>
      <c r="K89" s="912">
        <v>864</v>
      </c>
      <c r="L89" s="200">
        <f>VALUE_Archer_Tower[[#This Row],[Valeur]]*VALUE_Archer_Tower[[#This Row],[Rang]]</f>
        <v>0</v>
      </c>
      <c r="M89" s="177"/>
      <c r="N89" s="177"/>
      <c r="O89" s="177"/>
      <c r="P89" s="177"/>
      <c r="Q89" s="177"/>
      <c r="R89" s="177"/>
      <c r="S89" s="177"/>
      <c r="T89" s="177"/>
      <c r="U89" s="177"/>
      <c r="V89" s="177"/>
      <c r="W89" s="177"/>
      <c r="X89" s="177"/>
      <c r="Y89" s="177"/>
      <c r="Z89" s="177"/>
      <c r="AA89" s="177"/>
      <c r="AB89" s="177"/>
      <c r="AC89" s="177"/>
      <c r="AD89" s="177"/>
      <c r="AE89" s="177"/>
      <c r="AF89" s="177"/>
      <c r="AG89" s="177"/>
      <c r="AH89" s="911"/>
      <c r="AI89" s="911"/>
      <c r="AJ89" s="911"/>
      <c r="AK89" s="911"/>
      <c r="AL89" s="911"/>
      <c r="AM89" s="911"/>
      <c r="AN89" s="911"/>
    </row>
    <row r="90" spans="1:40" x14ac:dyDescent="0.25">
      <c r="A90" s="561">
        <v>10</v>
      </c>
      <c r="B90" s="916">
        <f>Paramètres!N15</f>
        <v>0</v>
      </c>
      <c r="C90" s="912">
        <v>42</v>
      </c>
      <c r="D90" s="200">
        <f>VALUE_Wall[[#This Row],[Valeur]]*VALUE_Wall[[#This Row],[Rang]]</f>
        <v>0</v>
      </c>
      <c r="E90" s="561">
        <v>10</v>
      </c>
      <c r="F90" s="916">
        <f>Paramètres!O15</f>
        <v>0</v>
      </c>
      <c r="G90" s="934">
        <f t="shared" si="0"/>
        <v>1000</v>
      </c>
      <c r="H90" s="937">
        <f>VALUE_Cannon[[#This Row],[Valeur]]*VALUE_Cannon[[#This Row],[Rang]]</f>
        <v>0</v>
      </c>
      <c r="I90" s="938">
        <v>10</v>
      </c>
      <c r="J90" s="916">
        <f>Paramètres!P15</f>
        <v>0</v>
      </c>
      <c r="K90" s="912">
        <v>955</v>
      </c>
      <c r="L90" s="200">
        <f>VALUE_Archer_Tower[[#This Row],[Valeur]]*VALUE_Archer_Tower[[#This Row],[Rang]]</f>
        <v>0</v>
      </c>
      <c r="M90" s="177"/>
      <c r="N90" s="177"/>
      <c r="O90" s="609"/>
      <c r="P90" s="177"/>
      <c r="Q90" s="177"/>
      <c r="R90" s="177"/>
      <c r="S90" s="177"/>
      <c r="T90" s="177"/>
      <c r="U90" s="177"/>
      <c r="V90" s="177"/>
      <c r="W90" s="177"/>
      <c r="X90" s="177"/>
      <c r="Y90" s="177"/>
      <c r="Z90" s="177"/>
      <c r="AA90" s="177"/>
      <c r="AB90" s="177"/>
      <c r="AC90" s="177"/>
      <c r="AD90" s="177"/>
      <c r="AE90" s="177"/>
      <c r="AF90" s="177"/>
      <c r="AG90" s="177"/>
      <c r="AH90" s="911"/>
      <c r="AI90" s="911"/>
      <c r="AJ90" s="911"/>
      <c r="AK90" s="911"/>
      <c r="AL90" s="911"/>
      <c r="AM90" s="911"/>
      <c r="AN90" s="911"/>
    </row>
    <row r="91" spans="1:40" ht="15.75" thickBot="1" x14ac:dyDescent="0.3">
      <c r="A91" s="568">
        <v>11</v>
      </c>
      <c r="B91" s="917">
        <f>Paramètres!N16</f>
        <v>0</v>
      </c>
      <c r="C91" s="914">
        <v>46.2</v>
      </c>
      <c r="D91" s="539">
        <f>VALUE_Wall[[#This Row],[Valeur]]*VALUE_Wall[[#This Row],[Rang]]</f>
        <v>0</v>
      </c>
      <c r="E91" s="561">
        <v>11</v>
      </c>
      <c r="F91" s="916">
        <f>Paramètres!O16</f>
        <v>0</v>
      </c>
      <c r="G91" s="934">
        <f t="shared" si="0"/>
        <v>1100</v>
      </c>
      <c r="H91" s="937">
        <f>VALUE_Cannon[[#This Row],[Valeur]]*VALUE_Cannon[[#This Row],[Rang]]</f>
        <v>0</v>
      </c>
      <c r="I91" s="938">
        <v>11</v>
      </c>
      <c r="J91" s="916">
        <f>Paramètres!P16</f>
        <v>0</v>
      </c>
      <c r="K91" s="912">
        <v>1045</v>
      </c>
      <c r="L91" s="200">
        <f>VALUE_Archer_Tower[[#This Row],[Valeur]]*VALUE_Archer_Tower[[#This Row],[Rang]]</f>
        <v>0</v>
      </c>
      <c r="M91" s="177"/>
      <c r="N91" s="177"/>
      <c r="O91" s="609"/>
      <c r="P91" s="177"/>
      <c r="Q91" s="177"/>
      <c r="R91" s="177"/>
      <c r="S91" s="177"/>
      <c r="T91" s="177"/>
      <c r="U91" s="177"/>
      <c r="V91" s="177"/>
      <c r="W91" s="177"/>
      <c r="X91" s="177"/>
      <c r="Y91" s="177"/>
      <c r="Z91" s="177"/>
      <c r="AA91" s="177"/>
      <c r="AB91" s="177"/>
      <c r="AC91" s="911"/>
      <c r="AD91" s="911"/>
      <c r="AE91" s="911"/>
      <c r="AF91" s="911"/>
      <c r="AG91" s="911"/>
      <c r="AH91" s="911"/>
      <c r="AI91" s="911"/>
      <c r="AJ91" s="911"/>
      <c r="AK91" s="911"/>
      <c r="AL91" s="911"/>
      <c r="AM91" s="911"/>
      <c r="AN91" s="911"/>
    </row>
    <row r="92" spans="1:40" x14ac:dyDescent="0.25">
      <c r="A92" s="177"/>
      <c r="B92" s="177"/>
      <c r="C92" s="177"/>
      <c r="D92" s="911"/>
      <c r="E92" s="561">
        <v>12</v>
      </c>
      <c r="F92" s="916">
        <f>Paramètres!O17</f>
        <v>0</v>
      </c>
      <c r="G92" s="934">
        <f t="shared" si="0"/>
        <v>1200</v>
      </c>
      <c r="H92" s="937">
        <f>VALUE_Cannon[[#This Row],[Valeur]]*VALUE_Cannon[[#This Row],[Rang]]</f>
        <v>0</v>
      </c>
      <c r="I92" s="938">
        <v>12</v>
      </c>
      <c r="J92" s="916">
        <f>Paramètres!P17</f>
        <v>0</v>
      </c>
      <c r="K92" s="912">
        <v>1134</v>
      </c>
      <c r="L92" s="200">
        <f>VALUE_Archer_Tower[[#This Row],[Valeur]]*VALUE_Archer_Tower[[#This Row],[Rang]]</f>
        <v>0</v>
      </c>
      <c r="M92" s="177"/>
      <c r="N92" s="177"/>
      <c r="O92" s="177"/>
      <c r="P92" s="177"/>
      <c r="Q92" s="177"/>
      <c r="R92" s="177"/>
      <c r="S92" s="177"/>
      <c r="T92" s="177"/>
      <c r="U92" s="177"/>
      <c r="V92" s="177"/>
      <c r="W92" s="177"/>
      <c r="X92" s="177"/>
      <c r="Y92" s="177"/>
      <c r="Z92" s="177"/>
      <c r="AA92" s="177"/>
      <c r="AB92" s="177"/>
      <c r="AC92" s="177"/>
      <c r="AD92" s="177"/>
      <c r="AE92" s="177"/>
      <c r="AF92" s="177"/>
      <c r="AG92" s="177"/>
      <c r="AH92" s="911"/>
      <c r="AI92" s="911"/>
      <c r="AJ92" s="911"/>
      <c r="AK92" s="911"/>
      <c r="AL92" s="911"/>
      <c r="AM92" s="911"/>
      <c r="AN92" s="911"/>
    </row>
    <row r="93" spans="1:40" ht="15.75" thickBot="1" x14ac:dyDescent="0.3">
      <c r="A93" s="177"/>
      <c r="B93" s="177"/>
      <c r="C93" s="177"/>
      <c r="D93" s="911"/>
      <c r="E93" s="568">
        <v>13</v>
      </c>
      <c r="F93" s="917">
        <f>Paramètres!O18</f>
        <v>0</v>
      </c>
      <c r="G93" s="935">
        <f t="shared" si="0"/>
        <v>1300</v>
      </c>
      <c r="H93" s="939">
        <f>VALUE_Cannon[[#This Row],[Valeur]]*VALUE_Cannon[[#This Row],[Rang]]</f>
        <v>0</v>
      </c>
      <c r="I93" s="940">
        <v>13</v>
      </c>
      <c r="J93" s="917">
        <f>Paramètres!P18</f>
        <v>0</v>
      </c>
      <c r="K93" s="914">
        <v>1222</v>
      </c>
      <c r="L93" s="539">
        <f>VALUE_Archer_Tower[[#This Row],[Valeur]]*VALUE_Archer_Tower[[#This Row],[Rang]]</f>
        <v>0</v>
      </c>
      <c r="M93" s="177"/>
      <c r="N93" s="177"/>
      <c r="O93" s="177"/>
      <c r="P93" s="177"/>
      <c r="Q93" s="177"/>
      <c r="R93" s="177"/>
      <c r="S93" s="177"/>
      <c r="T93" s="177"/>
      <c r="U93" s="177"/>
      <c r="V93" s="177"/>
      <c r="W93" s="177"/>
      <c r="X93" s="177"/>
      <c r="Y93" s="177"/>
      <c r="Z93" s="177"/>
      <c r="AA93" s="177"/>
      <c r="AB93" s="177"/>
      <c r="AC93" s="177"/>
      <c r="AD93" s="177"/>
      <c r="AE93" s="177"/>
      <c r="AF93" s="177"/>
      <c r="AG93" s="177"/>
      <c r="AH93" s="911"/>
      <c r="AI93" s="911"/>
      <c r="AJ93" s="911"/>
      <c r="AK93" s="911"/>
      <c r="AL93" s="911"/>
      <c r="AM93" s="911"/>
      <c r="AN93" s="911"/>
    </row>
    <row r="94" spans="1:40" x14ac:dyDescent="0.25">
      <c r="A94" s="177"/>
      <c r="B94" s="177"/>
      <c r="C94" s="177"/>
      <c r="D94" s="911"/>
      <c r="E94" s="911"/>
      <c r="F94" s="911"/>
      <c r="G94" s="911"/>
      <c r="H94" s="911"/>
      <c r="I94" s="911"/>
      <c r="J94" s="911"/>
      <c r="K94" s="911"/>
      <c r="L94" s="911"/>
      <c r="M94" s="911"/>
      <c r="N94" s="911"/>
      <c r="O94" s="911"/>
      <c r="P94" s="911"/>
      <c r="Q94" s="911"/>
      <c r="R94" s="911"/>
      <c r="S94" s="911"/>
      <c r="T94" s="911"/>
      <c r="U94" s="911"/>
      <c r="V94" s="911"/>
      <c r="W94" s="911"/>
      <c r="X94" s="911"/>
      <c r="Y94" s="911"/>
      <c r="Z94" s="911"/>
      <c r="AA94" s="911"/>
      <c r="AB94" s="911"/>
      <c r="AC94" s="911"/>
      <c r="AD94" s="911"/>
      <c r="AE94" s="911"/>
      <c r="AF94" s="911"/>
      <c r="AG94" s="911"/>
      <c r="AH94" s="911"/>
      <c r="AI94" s="911"/>
      <c r="AJ94" s="911"/>
      <c r="AK94" s="911"/>
      <c r="AL94" s="911"/>
      <c r="AM94" s="911"/>
      <c r="AN94" s="911"/>
    </row>
    <row r="95" spans="1:40" ht="15.75" thickBot="1" x14ac:dyDescent="0.3">
      <c r="A95" s="177"/>
      <c r="B95" s="177"/>
      <c r="C95" s="177"/>
      <c r="D95" s="177"/>
      <c r="E95" s="177"/>
      <c r="F95" s="177"/>
      <c r="G95" s="177"/>
      <c r="H95" s="177"/>
      <c r="I95" s="177"/>
      <c r="J95" s="177"/>
      <c r="K95" s="177"/>
      <c r="L95" s="177"/>
      <c r="M95" s="177"/>
      <c r="N95" s="177"/>
      <c r="O95" s="177"/>
      <c r="P95" s="177"/>
      <c r="Q95" s="177"/>
      <c r="R95" s="177"/>
      <c r="S95" s="177"/>
      <c r="T95" s="177"/>
      <c r="U95" s="177"/>
      <c r="V95" s="177"/>
      <c r="W95" s="177"/>
      <c r="X95" s="177"/>
      <c r="Y95" s="911"/>
      <c r="Z95" s="911"/>
      <c r="AA95" s="911"/>
      <c r="AB95" s="911"/>
      <c r="AC95" s="911"/>
      <c r="AD95" s="911"/>
      <c r="AE95" s="911"/>
      <c r="AF95" s="911"/>
      <c r="AG95" s="911"/>
      <c r="AH95" s="911"/>
      <c r="AI95" s="911"/>
      <c r="AJ95" s="911"/>
      <c r="AK95" s="911"/>
      <c r="AL95" s="911"/>
      <c r="AM95" s="911"/>
      <c r="AN95" s="911"/>
    </row>
    <row r="96" spans="1:40" ht="19.5" customHeight="1" thickBot="1" x14ac:dyDescent="0.3">
      <c r="A96" s="1333" t="s">
        <v>687</v>
      </c>
      <c r="B96" s="1333"/>
      <c r="C96" s="1333"/>
      <c r="D96" s="1333"/>
      <c r="E96" s="1333"/>
      <c r="F96" s="1333"/>
      <c r="G96" s="1333"/>
      <c r="H96" s="1333"/>
      <c r="I96" s="1333"/>
      <c r="J96" s="1333"/>
      <c r="K96" s="1333"/>
      <c r="L96" s="1333"/>
      <c r="M96" s="1333"/>
      <c r="N96" s="1333"/>
      <c r="O96" s="1333"/>
      <c r="P96" s="1333"/>
      <c r="Q96" s="1333"/>
      <c r="R96" s="1333"/>
      <c r="S96" s="1333"/>
      <c r="T96" s="1333"/>
      <c r="U96" s="1333"/>
      <c r="V96" s="1333"/>
      <c r="W96" s="1333"/>
      <c r="X96" s="1333"/>
      <c r="Y96" s="911"/>
      <c r="Z96" s="911"/>
      <c r="AA96" s="911"/>
      <c r="AB96" s="911"/>
      <c r="AC96" s="911"/>
      <c r="AD96" s="911"/>
      <c r="AE96" s="911"/>
      <c r="AF96" s="911"/>
      <c r="AG96" s="911"/>
      <c r="AH96" s="911"/>
      <c r="AI96" s="911"/>
      <c r="AJ96" s="911"/>
      <c r="AK96" s="911"/>
      <c r="AL96" s="911"/>
      <c r="AM96" s="911"/>
      <c r="AN96" s="911"/>
    </row>
    <row r="97" spans="1:40" ht="15.75" customHeight="1" thickBot="1" x14ac:dyDescent="0.3">
      <c r="A97" s="1334" t="s">
        <v>564</v>
      </c>
      <c r="B97" s="1334"/>
      <c r="C97" s="1334"/>
      <c r="D97" s="1334"/>
      <c r="E97" s="1334" t="s">
        <v>562</v>
      </c>
      <c r="F97" s="1334"/>
      <c r="G97" s="1334"/>
      <c r="H97" s="1334"/>
      <c r="I97" s="1334" t="s">
        <v>561</v>
      </c>
      <c r="J97" s="1334"/>
      <c r="K97" s="1334"/>
      <c r="L97" s="1334"/>
      <c r="M97" s="1334" t="s">
        <v>563</v>
      </c>
      <c r="N97" s="1334"/>
      <c r="O97" s="1334"/>
      <c r="P97" s="1334"/>
      <c r="Q97" s="1334" t="s">
        <v>565</v>
      </c>
      <c r="R97" s="1334"/>
      <c r="S97" s="1334"/>
      <c r="T97" s="1334"/>
      <c r="U97" s="1334" t="s">
        <v>567</v>
      </c>
      <c r="V97" s="1334"/>
      <c r="W97" s="1334"/>
      <c r="X97" s="1334"/>
      <c r="Y97" s="911"/>
      <c r="Z97" s="911"/>
      <c r="AA97" s="911"/>
      <c r="AB97" s="911"/>
      <c r="AC97" s="911"/>
      <c r="AD97" s="911"/>
      <c r="AE97" s="911"/>
      <c r="AF97" s="911"/>
      <c r="AG97" s="911"/>
      <c r="AH97" s="911"/>
      <c r="AI97" s="911"/>
      <c r="AJ97" s="911"/>
      <c r="AK97" s="911"/>
      <c r="AL97" s="911"/>
      <c r="AM97" s="911"/>
      <c r="AN97" s="911"/>
    </row>
    <row r="98" spans="1:40" ht="15.75" thickBot="1" x14ac:dyDescent="0.3">
      <c r="A98" s="757" t="s">
        <v>17</v>
      </c>
      <c r="B98" s="304" t="s">
        <v>702</v>
      </c>
      <c r="C98" s="304" t="s">
        <v>683</v>
      </c>
      <c r="D98" s="188" t="s">
        <v>31</v>
      </c>
      <c r="E98" s="757" t="s">
        <v>17</v>
      </c>
      <c r="F98" s="304" t="s">
        <v>702</v>
      </c>
      <c r="G98" s="304" t="s">
        <v>683</v>
      </c>
      <c r="H98" s="188" t="s">
        <v>31</v>
      </c>
      <c r="I98" s="757" t="s">
        <v>17</v>
      </c>
      <c r="J98" s="304" t="s">
        <v>702</v>
      </c>
      <c r="K98" s="304" t="s">
        <v>683</v>
      </c>
      <c r="L98" s="188" t="s">
        <v>31</v>
      </c>
      <c r="M98" s="757" t="s">
        <v>17</v>
      </c>
      <c r="N98" s="304" t="s">
        <v>702</v>
      </c>
      <c r="O98" s="304" t="s">
        <v>683</v>
      </c>
      <c r="P98" s="188" t="s">
        <v>31</v>
      </c>
      <c r="Q98" s="757" t="s">
        <v>17</v>
      </c>
      <c r="R98" s="304" t="s">
        <v>702</v>
      </c>
      <c r="S98" s="304" t="s">
        <v>683</v>
      </c>
      <c r="T98" s="188" t="s">
        <v>31</v>
      </c>
      <c r="U98" s="757" t="s">
        <v>17</v>
      </c>
      <c r="V98" s="304" t="s">
        <v>702</v>
      </c>
      <c r="W98" s="304" t="s">
        <v>683</v>
      </c>
      <c r="X98" s="188" t="s">
        <v>31</v>
      </c>
      <c r="Y98" s="911"/>
      <c r="Z98" s="911"/>
      <c r="AA98" s="911"/>
      <c r="AB98" s="911"/>
      <c r="AC98" s="911"/>
      <c r="AD98" s="911"/>
      <c r="AE98" s="911"/>
      <c r="AF98" s="911"/>
      <c r="AG98" s="911"/>
      <c r="AH98" s="911"/>
      <c r="AI98" s="911"/>
      <c r="AJ98" s="911"/>
      <c r="AK98" s="911"/>
      <c r="AL98" s="911"/>
      <c r="AM98" s="911"/>
      <c r="AN98" s="911"/>
    </row>
    <row r="99" spans="1:40" ht="15.75" thickBot="1" x14ac:dyDescent="0.3">
      <c r="A99" s="905">
        <v>1</v>
      </c>
      <c r="B99" s="915">
        <f>Paramètres!X6</f>
        <v>0</v>
      </c>
      <c r="C99" s="913">
        <v>100</v>
      </c>
      <c r="D99" s="199">
        <f>VALUE_Bomb[[#This Row],[Valeur]]*VALUE_Bomb[[#This Row],[Rang]]</f>
        <v>0</v>
      </c>
      <c r="E99" s="904">
        <v>1</v>
      </c>
      <c r="F99" s="944">
        <f>Paramètres!Y6</f>
        <v>0</v>
      </c>
      <c r="G99" s="945">
        <v>20</v>
      </c>
      <c r="H99" s="946">
        <f>VALUE_Spring_Trap[Valeur]*VALUE_Spring_Trap[Rang]</f>
        <v>0</v>
      </c>
      <c r="I99" s="905">
        <v>1</v>
      </c>
      <c r="J99" s="915">
        <f>Paramètres!Z6</f>
        <v>0</v>
      </c>
      <c r="K99" s="913">
        <v>100</v>
      </c>
      <c r="L99" s="199">
        <f>VALUE_Giant_Bomb[[#This Row],[Valeur]]*VALUE_Giant_Bomb[[#This Row],[Rang]]</f>
        <v>0</v>
      </c>
      <c r="M99" s="905">
        <v>1</v>
      </c>
      <c r="N99" s="915">
        <f>Paramètres!AA6</f>
        <v>0</v>
      </c>
      <c r="O99" s="913">
        <v>50</v>
      </c>
      <c r="P99" s="199">
        <f>VALUE_Air_Bomb[[#This Row],[Valeur]]*VALUE_Air_Bomb[[#This Row],[Rang]]</f>
        <v>0</v>
      </c>
      <c r="Q99" s="905">
        <v>1</v>
      </c>
      <c r="R99" s="915">
        <f>Paramètres!AB6</f>
        <v>0</v>
      </c>
      <c r="S99" s="913">
        <v>20</v>
      </c>
      <c r="T99" s="199">
        <f>VALUE_Seeking_Air_Mine[[#This Row],[Valeur]]*VALUE_Seeking_Air_Mine[[#This Row],[Rang]]</f>
        <v>0</v>
      </c>
      <c r="U99" s="905">
        <v>1</v>
      </c>
      <c r="V99" s="915">
        <f>Paramètres!AC6</f>
        <v>0</v>
      </c>
      <c r="W99" s="913">
        <v>50</v>
      </c>
      <c r="X99" s="199">
        <f>VALUE_Skeleton_Trap[[#This Row],[Valeur]]*VALUE_Skeleton_Trap[[#This Row],[Rang]]</f>
        <v>0</v>
      </c>
      <c r="Y99" s="911"/>
      <c r="Z99" s="911"/>
      <c r="AA99" s="911"/>
      <c r="AB99" s="911"/>
      <c r="AC99" s="911"/>
      <c r="AD99" s="911"/>
      <c r="AE99" s="911"/>
      <c r="AF99" s="911"/>
      <c r="AG99" s="911"/>
      <c r="AH99" s="911"/>
      <c r="AI99" s="911"/>
      <c r="AJ99" s="911"/>
      <c r="AK99" s="911"/>
      <c r="AL99" s="911"/>
      <c r="AM99" s="911"/>
      <c r="AN99" s="911"/>
    </row>
    <row r="100" spans="1:40" x14ac:dyDescent="0.25">
      <c r="A100" s="561">
        <v>2</v>
      </c>
      <c r="B100" s="916">
        <f>Paramètres!X7</f>
        <v>0</v>
      </c>
      <c r="C100" s="912">
        <v>200</v>
      </c>
      <c r="D100" s="200">
        <f>VALUE_Bomb[[#This Row],[Valeur]]*VALUE_Bomb[[#This Row],[Rang]]</f>
        <v>0</v>
      </c>
      <c r="E100" s="609"/>
      <c r="F100" s="609"/>
      <c r="G100" s="609"/>
      <c r="H100" s="941"/>
      <c r="I100" s="561">
        <v>2</v>
      </c>
      <c r="J100" s="916">
        <f>Paramètres!Z7</f>
        <v>0</v>
      </c>
      <c r="K100" s="912">
        <v>200</v>
      </c>
      <c r="L100" s="200">
        <f>VALUE_Giant_Bomb[[#This Row],[Valeur]]*VALUE_Giant_Bomb[[#This Row],[Rang]]</f>
        <v>0</v>
      </c>
      <c r="M100" s="561">
        <v>2</v>
      </c>
      <c r="N100" s="916">
        <f>Paramètres!AA7</f>
        <v>0</v>
      </c>
      <c r="O100" s="912">
        <v>100</v>
      </c>
      <c r="P100" s="200">
        <f>VALUE_Air_Bomb[[#This Row],[Valeur]]*VALUE_Air_Bomb[[#This Row],[Rang]]</f>
        <v>0</v>
      </c>
      <c r="Q100" s="561">
        <v>2</v>
      </c>
      <c r="R100" s="916">
        <f>Paramètres!AB7</f>
        <v>0</v>
      </c>
      <c r="S100" s="912">
        <v>40</v>
      </c>
      <c r="T100" s="200">
        <f>VALUE_Seeking_Air_Mine[[#This Row],[Valeur]]*VALUE_Seeking_Air_Mine[[#This Row],[Rang]]</f>
        <v>0</v>
      </c>
      <c r="U100" s="561">
        <v>2</v>
      </c>
      <c r="V100" s="916">
        <f>Paramètres!AC7</f>
        <v>0</v>
      </c>
      <c r="W100" s="912">
        <v>100</v>
      </c>
      <c r="X100" s="200">
        <f>VALUE_Skeleton_Trap[[#This Row],[Valeur]]*VALUE_Skeleton_Trap[[#This Row],[Rang]]</f>
        <v>0</v>
      </c>
      <c r="Y100" s="911"/>
      <c r="Z100" s="911"/>
      <c r="AA100" s="911"/>
      <c r="AB100" s="911"/>
      <c r="AC100" s="911"/>
      <c r="AD100" s="911"/>
      <c r="AE100" s="911"/>
      <c r="AF100" s="911"/>
      <c r="AG100" s="911"/>
      <c r="AH100" s="911"/>
      <c r="AI100" s="911"/>
      <c r="AJ100" s="911"/>
      <c r="AK100" s="911"/>
      <c r="AL100" s="911"/>
      <c r="AM100" s="911"/>
      <c r="AN100" s="911"/>
    </row>
    <row r="101" spans="1:40" ht="15.75" thickBot="1" x14ac:dyDescent="0.3">
      <c r="A101" s="561">
        <v>3</v>
      </c>
      <c r="B101" s="916">
        <f>Paramètres!X8</f>
        <v>0</v>
      </c>
      <c r="C101" s="912">
        <v>300</v>
      </c>
      <c r="D101" s="200">
        <f>VALUE_Bomb[[#This Row],[Valeur]]*VALUE_Bomb[[#This Row],[Rang]]</f>
        <v>0</v>
      </c>
      <c r="E101" s="609"/>
      <c r="F101" s="609"/>
      <c r="G101" s="609"/>
      <c r="H101" s="941"/>
      <c r="I101" s="561">
        <v>3</v>
      </c>
      <c r="J101" s="916">
        <f>Paramètres!Z8</f>
        <v>0</v>
      </c>
      <c r="K101" s="912">
        <v>300</v>
      </c>
      <c r="L101" s="200">
        <f>VALUE_Giant_Bomb[[#This Row],[Valeur]]*VALUE_Giant_Bomb[[#This Row],[Rang]]</f>
        <v>0</v>
      </c>
      <c r="M101" s="561">
        <v>3</v>
      </c>
      <c r="N101" s="916">
        <f>Paramètres!AA8</f>
        <v>0</v>
      </c>
      <c r="O101" s="912">
        <v>150</v>
      </c>
      <c r="P101" s="200">
        <f>VALUE_Air_Bomb[[#This Row],[Valeur]]*VALUE_Air_Bomb[[#This Row],[Rang]]</f>
        <v>0</v>
      </c>
      <c r="Q101" s="568">
        <v>3</v>
      </c>
      <c r="R101" s="917">
        <f>Paramètres!AB8</f>
        <v>0</v>
      </c>
      <c r="S101" s="914">
        <v>60</v>
      </c>
      <c r="T101" s="539">
        <f>VALUE_Seeking_Air_Mine[[#This Row],[Valeur]]*VALUE_Seeking_Air_Mine[[#This Row],[Rang]]</f>
        <v>0</v>
      </c>
      <c r="U101" s="568">
        <v>3</v>
      </c>
      <c r="V101" s="917">
        <f>Paramètres!AC8</f>
        <v>0</v>
      </c>
      <c r="W101" s="914">
        <v>150</v>
      </c>
      <c r="X101" s="539">
        <f>VALUE_Skeleton_Trap[[#This Row],[Valeur]]*VALUE_Skeleton_Trap[[#This Row],[Rang]]</f>
        <v>0</v>
      </c>
      <c r="Y101" s="911"/>
      <c r="Z101" s="911"/>
      <c r="AA101" s="911"/>
      <c r="AB101" s="911"/>
      <c r="AC101" s="911"/>
      <c r="AD101" s="911"/>
      <c r="AE101" s="911"/>
      <c r="AF101" s="911"/>
      <c r="AG101" s="911"/>
      <c r="AH101" s="911"/>
      <c r="AI101" s="911"/>
      <c r="AJ101" s="911"/>
      <c r="AK101" s="911"/>
      <c r="AL101" s="911"/>
      <c r="AM101" s="911"/>
      <c r="AN101" s="911"/>
    </row>
    <row r="102" spans="1:40" ht="15.75" thickBot="1" x14ac:dyDescent="0.3">
      <c r="A102" s="561">
        <v>4</v>
      </c>
      <c r="B102" s="916">
        <f>Paramètres!X9</f>
        <v>0</v>
      </c>
      <c r="C102" s="912">
        <v>400</v>
      </c>
      <c r="D102" s="200">
        <f>VALUE_Bomb[[#This Row],[Valeur]]*VALUE_Bomb[[#This Row],[Rang]]</f>
        <v>0</v>
      </c>
      <c r="E102" s="609"/>
      <c r="F102" s="609"/>
      <c r="G102" s="609"/>
      <c r="H102" s="941"/>
      <c r="I102" s="568">
        <v>4</v>
      </c>
      <c r="J102" s="917">
        <f>Paramètres!Z9</f>
        <v>0</v>
      </c>
      <c r="K102" s="914">
        <v>400</v>
      </c>
      <c r="L102" s="539">
        <f>VALUE_Giant_Bomb[[#This Row],[Valeur]]*VALUE_Giant_Bomb[[#This Row],[Rang]]</f>
        <v>0</v>
      </c>
      <c r="M102" s="568">
        <v>4</v>
      </c>
      <c r="N102" s="917">
        <f>Paramètres!AA9</f>
        <v>0</v>
      </c>
      <c r="O102" s="914">
        <v>200</v>
      </c>
      <c r="P102" s="539">
        <f>VALUE_Air_Bomb[[#This Row],[Valeur]]*VALUE_Air_Bomb[[#This Row],[Rang]]</f>
        <v>0</v>
      </c>
      <c r="Q102" s="609"/>
      <c r="R102" s="609"/>
      <c r="S102" s="609"/>
      <c r="T102" s="609"/>
      <c r="U102" s="609"/>
      <c r="V102" s="609"/>
      <c r="W102" s="609"/>
      <c r="X102" s="942"/>
      <c r="Y102" s="911"/>
      <c r="Z102" s="911"/>
      <c r="AA102" s="911"/>
      <c r="AB102" s="911"/>
      <c r="AC102" s="911"/>
      <c r="AD102" s="911"/>
      <c r="AE102" s="911"/>
      <c r="AF102" s="911"/>
      <c r="AG102" s="911"/>
      <c r="AH102" s="911"/>
      <c r="AI102" s="911"/>
      <c r="AJ102" s="911"/>
      <c r="AK102" s="911"/>
      <c r="AL102" s="911"/>
      <c r="AM102" s="911"/>
      <c r="AN102" s="911"/>
    </row>
    <row r="103" spans="1:40" x14ac:dyDescent="0.25">
      <c r="A103" s="561">
        <v>5</v>
      </c>
      <c r="B103" s="916">
        <f>Paramètres!X10</f>
        <v>0</v>
      </c>
      <c r="C103" s="912">
        <v>500</v>
      </c>
      <c r="D103" s="200">
        <f>VALUE_Bomb[[#This Row],[Valeur]]*VALUE_Bomb[[#This Row],[Rang]]</f>
        <v>0</v>
      </c>
      <c r="E103" s="609"/>
      <c r="F103" s="609"/>
      <c r="G103" s="609"/>
      <c r="H103" s="942"/>
      <c r="I103" s="941"/>
      <c r="J103" s="941"/>
      <c r="K103" s="941"/>
      <c r="L103" s="941"/>
      <c r="M103" s="941"/>
      <c r="N103" s="941"/>
      <c r="O103" s="941"/>
      <c r="P103" s="941"/>
      <c r="Q103" s="941"/>
      <c r="R103" s="941"/>
      <c r="S103" s="941"/>
      <c r="T103" s="941"/>
      <c r="U103" s="941"/>
      <c r="V103" s="941"/>
      <c r="W103" s="941"/>
      <c r="X103" s="941"/>
      <c r="Y103" s="911"/>
      <c r="Z103" s="911"/>
      <c r="AA103" s="911"/>
      <c r="AB103" s="911"/>
      <c r="AC103" s="911"/>
      <c r="AD103" s="911"/>
      <c r="AE103" s="911"/>
      <c r="AF103" s="911"/>
      <c r="AG103" s="911"/>
      <c r="AH103" s="911"/>
      <c r="AI103" s="911"/>
      <c r="AJ103" s="911"/>
      <c r="AK103" s="911"/>
      <c r="AL103" s="911"/>
      <c r="AM103" s="911"/>
      <c r="AN103" s="911"/>
    </row>
    <row r="104" spans="1:40" ht="15.75" thickBot="1" x14ac:dyDescent="0.3">
      <c r="A104" s="568">
        <v>6</v>
      </c>
      <c r="B104" s="917">
        <f>Paramètres!X11</f>
        <v>0</v>
      </c>
      <c r="C104" s="914">
        <v>600</v>
      </c>
      <c r="D104" s="539">
        <f>VALUE_Bomb[[#This Row],[Valeur]]*VALUE_Bomb[[#This Row],[Rang]]</f>
        <v>0</v>
      </c>
      <c r="E104" s="609"/>
      <c r="F104" s="609"/>
      <c r="G104" s="609"/>
      <c r="H104" s="609"/>
      <c r="I104" s="941"/>
      <c r="J104" s="941"/>
      <c r="K104" s="941"/>
      <c r="L104" s="941"/>
      <c r="M104" s="941"/>
      <c r="N104" s="941"/>
      <c r="O104" s="941"/>
      <c r="P104" s="941"/>
      <c r="Q104" s="941"/>
      <c r="R104" s="941"/>
      <c r="S104" s="941"/>
      <c r="T104" s="941"/>
      <c r="U104" s="941"/>
      <c r="V104" s="941"/>
      <c r="W104" s="941"/>
      <c r="X104" s="941"/>
      <c r="Y104" s="911"/>
      <c r="Z104" s="911"/>
      <c r="AA104" s="911"/>
      <c r="AB104" s="911"/>
      <c r="AC104" s="911"/>
      <c r="AD104" s="911"/>
      <c r="AE104" s="911"/>
      <c r="AF104" s="911"/>
      <c r="AG104" s="911"/>
      <c r="AH104" s="911"/>
      <c r="AI104" s="911"/>
      <c r="AJ104" s="911"/>
      <c r="AK104" s="911"/>
      <c r="AL104" s="911"/>
      <c r="AM104" s="911"/>
      <c r="AN104" s="911"/>
    </row>
    <row r="105" spans="1:40" x14ac:dyDescent="0.25">
      <c r="A105" s="177"/>
      <c r="B105" s="177"/>
      <c r="C105" s="177"/>
      <c r="D105" s="177"/>
      <c r="E105" s="177"/>
      <c r="F105" s="177"/>
      <c r="G105" s="177"/>
      <c r="H105" s="177"/>
      <c r="I105" s="177"/>
      <c r="J105" s="177"/>
      <c r="K105" s="177"/>
      <c r="L105" s="177"/>
      <c r="M105" s="177"/>
      <c r="N105" s="177"/>
      <c r="O105" s="177"/>
      <c r="P105" s="177"/>
      <c r="Q105" s="177"/>
      <c r="R105" s="177"/>
      <c r="S105" s="177"/>
      <c r="T105" s="911"/>
      <c r="U105" s="911"/>
      <c r="V105" s="911"/>
      <c r="W105" s="911"/>
      <c r="X105" s="911"/>
      <c r="Y105" s="911"/>
      <c r="Z105" s="911"/>
      <c r="AA105" s="911"/>
      <c r="AB105" s="911"/>
      <c r="AC105" s="911"/>
      <c r="AD105" s="911"/>
      <c r="AE105" s="911"/>
      <c r="AF105" s="911"/>
      <c r="AG105" s="911"/>
      <c r="AH105" s="911"/>
      <c r="AI105" s="911"/>
      <c r="AJ105" s="911"/>
      <c r="AK105" s="911"/>
      <c r="AL105" s="911"/>
      <c r="AM105" s="911"/>
      <c r="AN105" s="911"/>
    </row>
    <row r="106" spans="1:40" ht="15.75" thickBot="1" x14ac:dyDescent="0.3">
      <c r="A106" s="177"/>
      <c r="B106" s="177"/>
      <c r="C106" s="177"/>
      <c r="D106" s="177"/>
      <c r="E106" s="177"/>
      <c r="F106" s="177"/>
      <c r="G106" s="177"/>
      <c r="H106" s="177"/>
      <c r="I106" s="177"/>
      <c r="J106" s="177"/>
      <c r="K106" s="177"/>
      <c r="L106" s="177"/>
      <c r="M106" s="177"/>
      <c r="N106" s="177"/>
      <c r="O106" s="177"/>
      <c r="P106" s="177"/>
      <c r="Q106" s="177"/>
      <c r="R106" s="177"/>
      <c r="S106" s="177"/>
      <c r="T106" s="911"/>
      <c r="U106" s="911"/>
      <c r="V106" s="911"/>
      <c r="W106" s="911"/>
      <c r="X106" s="911"/>
      <c r="Y106" s="911"/>
      <c r="Z106" s="911"/>
      <c r="AA106" s="911"/>
      <c r="AB106" s="911"/>
      <c r="AC106" s="911"/>
      <c r="AD106" s="911"/>
      <c r="AE106" s="911"/>
      <c r="AF106" s="911"/>
      <c r="AG106" s="911"/>
      <c r="AH106" s="911"/>
      <c r="AI106" s="911"/>
      <c r="AJ106" s="911"/>
      <c r="AK106" s="911"/>
      <c r="AL106" s="911"/>
      <c r="AM106" s="911"/>
      <c r="AN106" s="911"/>
    </row>
    <row r="107" spans="1:40" ht="19.5" customHeight="1" thickBot="1" x14ac:dyDescent="0.3">
      <c r="A107" s="1262" t="s">
        <v>689</v>
      </c>
      <c r="B107" s="1263"/>
      <c r="C107" s="1263"/>
      <c r="D107" s="1263"/>
      <c r="E107" s="1263"/>
      <c r="F107" s="1263"/>
      <c r="G107" s="1263"/>
      <c r="H107" s="1264"/>
      <c r="I107" s="177"/>
      <c r="J107" s="177"/>
      <c r="K107" s="911"/>
      <c r="L107" s="911"/>
      <c r="M107" s="911"/>
      <c r="N107" s="911"/>
      <c r="O107" s="911"/>
      <c r="P107" s="911"/>
      <c r="Q107" s="911"/>
      <c r="R107" s="911"/>
      <c r="S107" s="177"/>
      <c r="T107" s="911"/>
      <c r="U107" s="911"/>
      <c r="V107" s="911"/>
      <c r="W107" s="911"/>
      <c r="X107" s="911"/>
      <c r="Y107" s="911"/>
      <c r="Z107" s="911"/>
      <c r="AA107" s="911"/>
      <c r="AB107" s="911"/>
      <c r="AC107" s="911"/>
      <c r="AD107" s="911"/>
      <c r="AE107" s="911"/>
      <c r="AF107" s="911"/>
      <c r="AG107" s="911"/>
      <c r="AH107" s="911"/>
      <c r="AI107" s="911"/>
      <c r="AJ107" s="911"/>
      <c r="AK107" s="911"/>
      <c r="AL107" s="911"/>
      <c r="AM107" s="911"/>
      <c r="AN107" s="911"/>
    </row>
    <row r="108" spans="1:40" ht="15.75" customHeight="1" thickBot="1" x14ac:dyDescent="0.3">
      <c r="A108" s="1324" t="s">
        <v>196</v>
      </c>
      <c r="B108" s="1325"/>
      <c r="C108" s="1325"/>
      <c r="D108" s="1325"/>
      <c r="E108" s="1315" t="s">
        <v>182</v>
      </c>
      <c r="F108" s="1316"/>
      <c r="G108" s="1316"/>
      <c r="H108" s="1317"/>
      <c r="I108" s="177"/>
      <c r="J108" s="177"/>
      <c r="K108" s="911"/>
      <c r="L108" s="911"/>
      <c r="M108" s="911"/>
      <c r="N108" s="911"/>
      <c r="O108" s="911"/>
      <c r="P108" s="911"/>
      <c r="Q108" s="911"/>
      <c r="R108" s="911"/>
      <c r="S108" s="177"/>
      <c r="T108" s="911"/>
      <c r="U108" s="911"/>
      <c r="V108" s="911"/>
      <c r="W108" s="911"/>
      <c r="X108" s="911"/>
      <c r="Y108" s="911"/>
      <c r="Z108" s="911"/>
      <c r="AA108" s="911"/>
      <c r="AB108" s="911"/>
      <c r="AC108" s="911"/>
      <c r="AD108" s="911"/>
      <c r="AE108" s="911"/>
      <c r="AF108" s="911"/>
      <c r="AG108" s="911"/>
      <c r="AH108" s="911"/>
      <c r="AI108" s="911"/>
      <c r="AJ108" s="911"/>
      <c r="AK108" s="911"/>
      <c r="AL108" s="911"/>
      <c r="AM108" s="911"/>
      <c r="AN108" s="911"/>
    </row>
    <row r="109" spans="1:40" ht="15.75" thickBot="1" x14ac:dyDescent="0.3">
      <c r="A109" s="757" t="s">
        <v>17</v>
      </c>
      <c r="B109" s="304" t="s">
        <v>702</v>
      </c>
      <c r="C109" s="304" t="s">
        <v>683</v>
      </c>
      <c r="D109" s="949" t="s">
        <v>31</v>
      </c>
      <c r="E109" s="757" t="s">
        <v>17</v>
      </c>
      <c r="F109" s="304" t="s">
        <v>702</v>
      </c>
      <c r="G109" s="304" t="s">
        <v>683</v>
      </c>
      <c r="H109" s="188" t="s">
        <v>31</v>
      </c>
      <c r="I109" s="177"/>
      <c r="J109" s="177"/>
      <c r="K109" s="911"/>
      <c r="L109" s="911"/>
      <c r="M109" s="911"/>
      <c r="N109" s="911"/>
      <c r="O109" s="911"/>
      <c r="P109" s="911"/>
      <c r="Q109" s="911"/>
      <c r="R109" s="911"/>
      <c r="S109" s="177"/>
      <c r="T109" s="177"/>
      <c r="U109" s="911"/>
      <c r="V109" s="911"/>
      <c r="W109" s="911"/>
      <c r="X109" s="911"/>
      <c r="Y109" s="911"/>
      <c r="Z109" s="911"/>
      <c r="AA109" s="911"/>
      <c r="AB109" s="911"/>
      <c r="AC109" s="911"/>
      <c r="AD109" s="911"/>
      <c r="AE109" s="911"/>
      <c r="AF109" s="911"/>
      <c r="AG109" s="911"/>
      <c r="AH109" s="911"/>
      <c r="AI109" s="911"/>
      <c r="AJ109" s="911"/>
      <c r="AK109" s="911"/>
      <c r="AL109" s="911"/>
      <c r="AM109" s="911"/>
      <c r="AN109" s="911"/>
    </row>
    <row r="110" spans="1:40" x14ac:dyDescent="0.25">
      <c r="A110" s="565">
        <v>1</v>
      </c>
      <c r="B110" s="947">
        <f>Paramètres!BF6</f>
        <v>0</v>
      </c>
      <c r="C110" s="948">
        <v>15</v>
      </c>
      <c r="D110" s="192">
        <f>VALUE_Barbarian_King[[#This Row],[Valeur]]*VALUE_Barbarian_King[[#This Row],[Rang]]</f>
        <v>0</v>
      </c>
      <c r="E110" s="565">
        <v>1</v>
      </c>
      <c r="F110" s="947">
        <f>Paramètres!BG6</f>
        <v>0</v>
      </c>
      <c r="G110" s="948">
        <v>26</v>
      </c>
      <c r="H110" s="657">
        <f>VALUE_Archer_Queen[[#This Row],[Valeur]]*VALUE_Archer_Queen[[#This Row],[Rang]]</f>
        <v>0</v>
      </c>
      <c r="I110" s="177"/>
      <c r="J110" s="214"/>
      <c r="K110" s="911"/>
      <c r="L110" s="911"/>
      <c r="M110" s="911"/>
      <c r="N110" s="911"/>
      <c r="O110" s="911"/>
      <c r="P110" s="911"/>
      <c r="Q110" s="911"/>
      <c r="R110" s="911"/>
      <c r="S110" s="177"/>
      <c r="T110" s="177"/>
      <c r="U110" s="911"/>
      <c r="V110" s="911"/>
      <c r="W110" s="911"/>
      <c r="X110" s="911"/>
      <c r="Y110" s="911"/>
      <c r="Z110" s="911"/>
      <c r="AA110" s="911"/>
      <c r="AB110" s="911"/>
      <c r="AC110" s="911"/>
      <c r="AD110" s="911"/>
      <c r="AE110" s="911"/>
      <c r="AF110" s="911"/>
      <c r="AG110" s="911"/>
      <c r="AH110" s="911"/>
      <c r="AI110" s="911"/>
      <c r="AJ110" s="911"/>
      <c r="AK110" s="911"/>
      <c r="AL110" s="911"/>
      <c r="AM110" s="911"/>
      <c r="AN110" s="911"/>
    </row>
    <row r="111" spans="1:40" ht="19.5" customHeight="1" x14ac:dyDescent="0.25">
      <c r="A111" s="561">
        <v>2</v>
      </c>
      <c r="B111" s="916">
        <f>Paramètres!BF7</f>
        <v>0</v>
      </c>
      <c r="C111" s="912">
        <f>15+C110</f>
        <v>30</v>
      </c>
      <c r="D111" s="194">
        <f>VALUE_Barbarian_King[[#This Row],[Valeur]]*VALUE_Barbarian_King[[#This Row],[Rang]]</f>
        <v>0</v>
      </c>
      <c r="E111" s="561">
        <v>2</v>
      </c>
      <c r="F111" s="916">
        <f>Paramètres!BG7</f>
        <v>0</v>
      </c>
      <c r="G111" s="912">
        <f>G110+26</f>
        <v>52</v>
      </c>
      <c r="H111" s="200">
        <f>VALUE_Archer_Queen[[#This Row],[Valeur]]*VALUE_Archer_Queen[[#This Row],[Rang]]</f>
        <v>0</v>
      </c>
      <c r="I111" s="177"/>
      <c r="J111" s="214"/>
      <c r="K111" s="911"/>
      <c r="L111" s="911"/>
      <c r="M111" s="911"/>
      <c r="N111" s="911"/>
      <c r="O111" s="911"/>
      <c r="P111" s="911"/>
      <c r="Q111" s="911"/>
      <c r="R111" s="911"/>
      <c r="S111" s="177"/>
      <c r="T111" s="177"/>
      <c r="U111" s="911"/>
      <c r="V111" s="911"/>
      <c r="W111" s="911"/>
      <c r="X111" s="911"/>
      <c r="Y111" s="911"/>
      <c r="Z111" s="911"/>
      <c r="AA111" s="911"/>
      <c r="AB111" s="911"/>
      <c r="AC111" s="911"/>
      <c r="AD111" s="911"/>
      <c r="AE111" s="911"/>
      <c r="AF111" s="911"/>
      <c r="AG111" s="911"/>
      <c r="AH111" s="911"/>
      <c r="AI111" s="911"/>
      <c r="AJ111" s="911"/>
      <c r="AK111" s="911"/>
      <c r="AL111" s="911"/>
      <c r="AM111" s="911"/>
      <c r="AN111" s="911"/>
    </row>
    <row r="112" spans="1:40" ht="15.75" customHeight="1" x14ac:dyDescent="0.25">
      <c r="A112" s="561">
        <v>3</v>
      </c>
      <c r="B112" s="916">
        <f>Paramètres!BF8</f>
        <v>0</v>
      </c>
      <c r="C112" s="912">
        <f t="shared" ref="C112:C113" si="3">15+C111</f>
        <v>45</v>
      </c>
      <c r="D112" s="194">
        <f>VALUE_Barbarian_King[[#This Row],[Valeur]]*VALUE_Barbarian_King[[#This Row],[Rang]]</f>
        <v>0</v>
      </c>
      <c r="E112" s="561">
        <v>3</v>
      </c>
      <c r="F112" s="916">
        <f>Paramètres!BG8</f>
        <v>0</v>
      </c>
      <c r="G112" s="912">
        <f t="shared" ref="G112:G113" si="4">G111+26</f>
        <v>78</v>
      </c>
      <c r="H112" s="200">
        <f>VALUE_Archer_Queen[[#This Row],[Valeur]]*VALUE_Archer_Queen[[#This Row],[Rang]]</f>
        <v>0</v>
      </c>
      <c r="I112" s="177"/>
      <c r="J112" s="214"/>
      <c r="K112" s="911"/>
      <c r="L112" s="911"/>
      <c r="M112" s="911"/>
      <c r="N112" s="911"/>
      <c r="O112" s="911"/>
      <c r="P112" s="911"/>
      <c r="Q112" s="911"/>
      <c r="R112" s="911"/>
      <c r="S112" s="177"/>
      <c r="T112" s="177"/>
      <c r="U112" s="911"/>
      <c r="V112" s="911"/>
      <c r="W112" s="911"/>
      <c r="X112" s="911"/>
      <c r="Y112" s="911"/>
      <c r="Z112" s="911"/>
      <c r="AA112" s="911"/>
      <c r="AB112" s="911"/>
      <c r="AC112" s="911"/>
      <c r="AD112" s="911"/>
      <c r="AE112" s="911"/>
      <c r="AF112" s="911"/>
      <c r="AG112" s="911"/>
      <c r="AH112" s="911"/>
      <c r="AI112" s="911"/>
      <c r="AJ112" s="911"/>
      <c r="AK112" s="911"/>
      <c r="AL112" s="911"/>
      <c r="AM112" s="911"/>
      <c r="AN112" s="911"/>
    </row>
    <row r="113" spans="1:40" x14ac:dyDescent="0.25">
      <c r="A113" s="561">
        <v>4</v>
      </c>
      <c r="B113" s="916">
        <f>Paramètres!BF9</f>
        <v>0</v>
      </c>
      <c r="C113" s="912">
        <f t="shared" si="3"/>
        <v>60</v>
      </c>
      <c r="D113" s="194">
        <f>VALUE_Barbarian_King[[#This Row],[Valeur]]*VALUE_Barbarian_King[[#This Row],[Rang]]</f>
        <v>0</v>
      </c>
      <c r="E113" s="561">
        <v>4</v>
      </c>
      <c r="F113" s="916">
        <f>Paramètres!BG9</f>
        <v>0</v>
      </c>
      <c r="G113" s="912">
        <f t="shared" si="4"/>
        <v>104</v>
      </c>
      <c r="H113" s="200">
        <f>VALUE_Archer_Queen[[#This Row],[Valeur]]*VALUE_Archer_Queen[[#This Row],[Rang]]</f>
        <v>0</v>
      </c>
      <c r="I113" s="177"/>
      <c r="J113" s="214"/>
      <c r="K113" s="911"/>
      <c r="L113" s="911"/>
      <c r="M113" s="911"/>
      <c r="N113" s="911"/>
      <c r="O113" s="911"/>
      <c r="P113" s="911"/>
      <c r="Q113" s="911"/>
      <c r="R113" s="911"/>
      <c r="S113" s="177"/>
      <c r="T113" s="177"/>
      <c r="U113" s="911"/>
      <c r="V113" s="911"/>
      <c r="W113" s="911"/>
      <c r="X113" s="911"/>
      <c r="Y113" s="911"/>
      <c r="Z113" s="911"/>
      <c r="AA113" s="911"/>
      <c r="AB113" s="911"/>
      <c r="AC113" s="911"/>
      <c r="AD113" s="911"/>
      <c r="AE113" s="911"/>
      <c r="AF113" s="911"/>
      <c r="AG113" s="911"/>
      <c r="AH113" s="911"/>
      <c r="AI113" s="911"/>
      <c r="AJ113" s="911"/>
      <c r="AK113" s="911"/>
      <c r="AL113" s="911"/>
      <c r="AM113" s="911"/>
      <c r="AN113" s="911"/>
    </row>
    <row r="114" spans="1:40" x14ac:dyDescent="0.25">
      <c r="A114" s="561">
        <v>5</v>
      </c>
      <c r="B114" s="916">
        <f>Paramètres!BF10</f>
        <v>0</v>
      </c>
      <c r="C114" s="912">
        <f>16+C113</f>
        <v>76</v>
      </c>
      <c r="D114" s="194">
        <f>VALUE_Barbarian_King[[#This Row],[Valeur]]*VALUE_Barbarian_King[[#This Row],[Rang]]</f>
        <v>0</v>
      </c>
      <c r="E114" s="561">
        <v>5</v>
      </c>
      <c r="F114" s="916">
        <f>Paramètres!BG10</f>
        <v>0</v>
      </c>
      <c r="G114" s="912">
        <f>G113+27</f>
        <v>131</v>
      </c>
      <c r="H114" s="200">
        <f>VALUE_Archer_Queen[[#This Row],[Valeur]]*VALUE_Archer_Queen[[#This Row],[Rang]]</f>
        <v>0</v>
      </c>
      <c r="I114" s="177"/>
      <c r="J114" s="214"/>
      <c r="K114" s="911"/>
      <c r="L114" s="911"/>
      <c r="M114" s="911"/>
      <c r="N114" s="911"/>
      <c r="O114" s="911"/>
      <c r="P114" s="911"/>
      <c r="Q114" s="911"/>
      <c r="R114" s="911"/>
      <c r="S114" s="911"/>
      <c r="T114" s="177"/>
      <c r="U114" s="911"/>
      <c r="V114" s="911"/>
      <c r="W114" s="911"/>
      <c r="X114" s="911"/>
      <c r="Y114" s="911"/>
      <c r="Z114" s="911"/>
      <c r="AA114" s="911"/>
      <c r="AB114" s="911"/>
      <c r="AC114" s="911"/>
      <c r="AD114" s="911"/>
      <c r="AE114" s="911"/>
      <c r="AF114" s="911"/>
      <c r="AG114" s="911"/>
      <c r="AH114" s="911"/>
      <c r="AI114" s="911"/>
      <c r="AJ114" s="911"/>
      <c r="AK114" s="911"/>
      <c r="AL114" s="911"/>
      <c r="AM114" s="911"/>
      <c r="AN114" s="911"/>
    </row>
    <row r="115" spans="1:40" x14ac:dyDescent="0.25">
      <c r="A115" s="561">
        <v>6</v>
      </c>
      <c r="B115" s="916">
        <f>Paramètres!BF11</f>
        <v>0</v>
      </c>
      <c r="C115" s="912">
        <f t="shared" ref="C115:C118" si="5">16+C114</f>
        <v>92</v>
      </c>
      <c r="D115" s="194">
        <f>VALUE_Barbarian_King[[#This Row],[Valeur]]*VALUE_Barbarian_King[[#This Row],[Rang]]</f>
        <v>0</v>
      </c>
      <c r="E115" s="561">
        <v>6</v>
      </c>
      <c r="F115" s="916">
        <f>Paramètres!BG11</f>
        <v>0</v>
      </c>
      <c r="G115" s="912">
        <f t="shared" ref="G115:G118" si="6">G114+27</f>
        <v>158</v>
      </c>
      <c r="H115" s="200">
        <f>VALUE_Archer_Queen[[#This Row],[Valeur]]*VALUE_Archer_Queen[[#This Row],[Rang]]</f>
        <v>0</v>
      </c>
      <c r="I115" s="177"/>
      <c r="J115" s="214"/>
      <c r="K115" s="911"/>
      <c r="L115" s="911"/>
      <c r="M115" s="911"/>
      <c r="N115" s="911"/>
      <c r="O115" s="911"/>
      <c r="P115" s="911"/>
      <c r="Q115" s="911"/>
      <c r="R115" s="911"/>
      <c r="S115" s="911"/>
      <c r="T115" s="177"/>
      <c r="U115" s="911"/>
      <c r="V115" s="911"/>
      <c r="W115" s="911"/>
      <c r="X115" s="911"/>
      <c r="Y115" s="911"/>
      <c r="Z115" s="911"/>
      <c r="AA115" s="911"/>
      <c r="AB115" s="911"/>
      <c r="AC115" s="911"/>
      <c r="AD115" s="911"/>
      <c r="AE115" s="911"/>
      <c r="AF115" s="911"/>
      <c r="AG115" s="911"/>
      <c r="AH115" s="911"/>
      <c r="AI115" s="911"/>
      <c r="AJ115" s="911"/>
      <c r="AK115" s="911"/>
      <c r="AL115" s="911"/>
      <c r="AM115" s="911"/>
      <c r="AN115" s="911"/>
    </row>
    <row r="116" spans="1:40" x14ac:dyDescent="0.25">
      <c r="A116" s="561">
        <v>7</v>
      </c>
      <c r="B116" s="916">
        <f>Paramètres!BF12</f>
        <v>0</v>
      </c>
      <c r="C116" s="912">
        <f t="shared" si="5"/>
        <v>108</v>
      </c>
      <c r="D116" s="194">
        <f>VALUE_Barbarian_King[[#This Row],[Valeur]]*VALUE_Barbarian_King[[#This Row],[Rang]]</f>
        <v>0</v>
      </c>
      <c r="E116" s="561">
        <v>7</v>
      </c>
      <c r="F116" s="916">
        <f>Paramètres!BG12</f>
        <v>0</v>
      </c>
      <c r="G116" s="912">
        <f t="shared" si="6"/>
        <v>185</v>
      </c>
      <c r="H116" s="200">
        <f>VALUE_Archer_Queen[[#This Row],[Valeur]]*VALUE_Archer_Queen[[#This Row],[Rang]]</f>
        <v>0</v>
      </c>
      <c r="I116" s="177"/>
      <c r="J116" s="214"/>
      <c r="K116" s="911"/>
      <c r="L116" s="911"/>
      <c r="M116" s="911"/>
      <c r="N116" s="911"/>
      <c r="O116" s="911"/>
      <c r="P116" s="911"/>
      <c r="Q116" s="911"/>
      <c r="R116" s="911"/>
      <c r="S116" s="911"/>
      <c r="T116" s="177"/>
      <c r="U116" s="911"/>
      <c r="V116" s="911"/>
      <c r="W116" s="911"/>
      <c r="X116" s="911"/>
      <c r="Y116" s="911"/>
      <c r="Z116" s="911"/>
      <c r="AA116" s="911"/>
      <c r="AB116" s="911"/>
      <c r="AC116" s="911"/>
      <c r="AD116" s="911"/>
      <c r="AE116" s="911"/>
      <c r="AF116" s="911"/>
      <c r="AG116" s="911"/>
      <c r="AH116" s="911"/>
      <c r="AI116" s="911"/>
      <c r="AJ116" s="911"/>
      <c r="AK116" s="911"/>
      <c r="AL116" s="911"/>
      <c r="AM116" s="911"/>
      <c r="AN116" s="911"/>
    </row>
    <row r="117" spans="1:40" x14ac:dyDescent="0.25">
      <c r="A117" s="561">
        <v>8</v>
      </c>
      <c r="B117" s="916">
        <f>Paramètres!BF13</f>
        <v>0</v>
      </c>
      <c r="C117" s="912">
        <f t="shared" si="5"/>
        <v>124</v>
      </c>
      <c r="D117" s="194">
        <f>VALUE_Barbarian_King[[#This Row],[Valeur]]*VALUE_Barbarian_King[[#This Row],[Rang]]</f>
        <v>0</v>
      </c>
      <c r="E117" s="561">
        <v>8</v>
      </c>
      <c r="F117" s="916">
        <f>Paramètres!BG13</f>
        <v>0</v>
      </c>
      <c r="G117" s="912">
        <f t="shared" si="6"/>
        <v>212</v>
      </c>
      <c r="H117" s="200">
        <f>VALUE_Archer_Queen[[#This Row],[Valeur]]*VALUE_Archer_Queen[[#This Row],[Rang]]</f>
        <v>0</v>
      </c>
      <c r="I117" s="177"/>
      <c r="J117" s="214"/>
      <c r="K117" s="911"/>
      <c r="L117" s="911"/>
      <c r="M117" s="911"/>
      <c r="N117" s="911"/>
      <c r="O117" s="911"/>
      <c r="P117" s="911"/>
      <c r="Q117" s="911"/>
      <c r="R117" s="911"/>
      <c r="S117" s="911"/>
      <c r="T117" s="177"/>
      <c r="U117" s="911"/>
      <c r="V117" s="911"/>
      <c r="W117" s="911"/>
      <c r="X117" s="911"/>
      <c r="Y117" s="911"/>
      <c r="Z117" s="911"/>
      <c r="AA117" s="911"/>
      <c r="AB117" s="911"/>
      <c r="AC117" s="911"/>
      <c r="AD117" s="911"/>
      <c r="AE117" s="911"/>
      <c r="AF117" s="911"/>
      <c r="AG117" s="911"/>
      <c r="AH117" s="911"/>
      <c r="AI117" s="911"/>
      <c r="AJ117" s="911"/>
      <c r="AK117" s="911"/>
      <c r="AL117" s="911"/>
      <c r="AM117" s="911"/>
      <c r="AN117" s="911"/>
    </row>
    <row r="118" spans="1:40" x14ac:dyDescent="0.25">
      <c r="A118" s="561">
        <v>9</v>
      </c>
      <c r="B118" s="916">
        <f>Paramètres!BF14</f>
        <v>0</v>
      </c>
      <c r="C118" s="912">
        <f t="shared" si="5"/>
        <v>140</v>
      </c>
      <c r="D118" s="194">
        <f>VALUE_Barbarian_King[[#This Row],[Valeur]]*VALUE_Barbarian_King[[#This Row],[Rang]]</f>
        <v>0</v>
      </c>
      <c r="E118" s="561">
        <v>9</v>
      </c>
      <c r="F118" s="916">
        <f>Paramètres!BG14</f>
        <v>0</v>
      </c>
      <c r="G118" s="912">
        <f t="shared" si="6"/>
        <v>239</v>
      </c>
      <c r="H118" s="200">
        <f>VALUE_Archer_Queen[[#This Row],[Valeur]]*VALUE_Archer_Queen[[#This Row],[Rang]]</f>
        <v>0</v>
      </c>
      <c r="I118" s="177"/>
      <c r="J118" s="214"/>
      <c r="K118" s="911"/>
      <c r="L118" s="911"/>
      <c r="M118" s="911"/>
      <c r="N118" s="911"/>
      <c r="O118" s="911"/>
      <c r="P118" s="911"/>
      <c r="Q118" s="911"/>
      <c r="R118" s="911"/>
      <c r="S118" s="911"/>
      <c r="T118" s="911"/>
      <c r="U118" s="911"/>
      <c r="V118" s="911"/>
      <c r="W118" s="911"/>
      <c r="X118" s="911"/>
      <c r="Y118" s="911"/>
      <c r="Z118" s="911"/>
      <c r="AA118" s="911"/>
      <c r="AB118" s="911"/>
      <c r="AC118" s="911"/>
      <c r="AD118" s="911"/>
      <c r="AE118" s="911"/>
      <c r="AF118" s="911"/>
      <c r="AG118" s="911"/>
      <c r="AH118" s="911"/>
      <c r="AI118" s="911"/>
      <c r="AJ118" s="911"/>
      <c r="AK118" s="911"/>
      <c r="AL118" s="911"/>
      <c r="AM118" s="911"/>
      <c r="AN118" s="911"/>
    </row>
    <row r="119" spans="1:40" x14ac:dyDescent="0.25">
      <c r="A119" s="561">
        <v>10</v>
      </c>
      <c r="B119" s="916">
        <f>Paramètres!BF15</f>
        <v>0</v>
      </c>
      <c r="C119" s="912">
        <f>17+C118</f>
        <v>157</v>
      </c>
      <c r="D119" s="194">
        <f>VALUE_Barbarian_King[[#This Row],[Valeur]]*VALUE_Barbarian_King[[#This Row],[Rang]]</f>
        <v>0</v>
      </c>
      <c r="E119" s="561">
        <v>10</v>
      </c>
      <c r="F119" s="916">
        <f>Paramètres!BG15</f>
        <v>0</v>
      </c>
      <c r="G119" s="912">
        <f>G118+28</f>
        <v>267</v>
      </c>
      <c r="H119" s="200">
        <f>VALUE_Archer_Queen[[#This Row],[Valeur]]*VALUE_Archer_Queen[[#This Row],[Rang]]</f>
        <v>0</v>
      </c>
      <c r="I119" s="177"/>
      <c r="J119" s="214"/>
      <c r="K119" s="911"/>
      <c r="L119" s="911"/>
      <c r="M119" s="911"/>
      <c r="N119" s="911"/>
      <c r="O119" s="911"/>
      <c r="P119" s="911"/>
      <c r="Q119" s="911"/>
      <c r="R119" s="911"/>
      <c r="S119" s="911"/>
      <c r="T119" s="911"/>
      <c r="U119" s="911"/>
      <c r="V119" s="911"/>
      <c r="W119" s="911"/>
      <c r="X119" s="911"/>
      <c r="Y119" s="911"/>
      <c r="Z119" s="911"/>
      <c r="AA119" s="911"/>
      <c r="AB119" s="911"/>
      <c r="AC119" s="911"/>
      <c r="AD119" s="911"/>
      <c r="AE119" s="911"/>
      <c r="AF119" s="911"/>
      <c r="AG119" s="911"/>
      <c r="AH119" s="911"/>
      <c r="AI119" s="911"/>
      <c r="AJ119" s="911"/>
      <c r="AK119" s="911"/>
      <c r="AL119" s="911"/>
      <c r="AM119" s="911"/>
      <c r="AN119" s="911"/>
    </row>
    <row r="120" spans="1:40" x14ac:dyDescent="0.25">
      <c r="A120" s="561">
        <v>11</v>
      </c>
      <c r="B120" s="916">
        <f>Paramètres!BF16</f>
        <v>0</v>
      </c>
      <c r="C120" s="912">
        <f t="shared" ref="C120:C123" si="7">17+C119</f>
        <v>174</v>
      </c>
      <c r="D120" s="194">
        <f>VALUE_Barbarian_King[[#This Row],[Valeur]]*VALUE_Barbarian_King[[#This Row],[Rang]]</f>
        <v>0</v>
      </c>
      <c r="E120" s="561">
        <v>11</v>
      </c>
      <c r="F120" s="916">
        <f>Paramètres!BG16</f>
        <v>0</v>
      </c>
      <c r="G120" s="912">
        <f t="shared" ref="G120:G123" si="8">G119+28</f>
        <v>295</v>
      </c>
      <c r="H120" s="200">
        <f>VALUE_Archer_Queen[[#This Row],[Valeur]]*VALUE_Archer_Queen[[#This Row],[Rang]]</f>
        <v>0</v>
      </c>
      <c r="I120" s="177"/>
      <c r="J120" s="214"/>
      <c r="K120" s="177"/>
      <c r="L120" s="177"/>
      <c r="M120" s="177"/>
      <c r="N120" s="911"/>
      <c r="O120" s="911"/>
      <c r="P120" s="911"/>
      <c r="Q120" s="911"/>
      <c r="R120" s="911"/>
      <c r="S120" s="911"/>
      <c r="T120" s="911"/>
      <c r="U120" s="911"/>
      <c r="V120" s="911"/>
      <c r="W120" s="911"/>
      <c r="X120" s="911"/>
      <c r="Y120" s="911"/>
      <c r="Z120" s="911"/>
      <c r="AA120" s="911"/>
      <c r="AB120" s="911"/>
      <c r="AC120" s="911"/>
      <c r="AD120" s="911"/>
      <c r="AE120" s="911"/>
      <c r="AF120" s="911"/>
      <c r="AG120" s="911"/>
      <c r="AH120" s="911"/>
      <c r="AI120" s="911"/>
      <c r="AJ120" s="911"/>
      <c r="AK120" s="911"/>
      <c r="AL120" s="911"/>
      <c r="AM120" s="911"/>
      <c r="AN120" s="911"/>
    </row>
    <row r="121" spans="1:40" x14ac:dyDescent="0.25">
      <c r="A121" s="561">
        <v>12</v>
      </c>
      <c r="B121" s="916">
        <f>Paramètres!BF17</f>
        <v>0</v>
      </c>
      <c r="C121" s="912">
        <f t="shared" si="7"/>
        <v>191</v>
      </c>
      <c r="D121" s="194">
        <f>VALUE_Barbarian_King[[#This Row],[Valeur]]*VALUE_Barbarian_King[[#This Row],[Rang]]</f>
        <v>0</v>
      </c>
      <c r="E121" s="561">
        <v>12</v>
      </c>
      <c r="F121" s="916">
        <f>Paramètres!BG17</f>
        <v>0</v>
      </c>
      <c r="G121" s="912">
        <f t="shared" si="8"/>
        <v>323</v>
      </c>
      <c r="H121" s="200">
        <f>VALUE_Archer_Queen[[#This Row],[Valeur]]*VALUE_Archer_Queen[[#This Row],[Rang]]</f>
        <v>0</v>
      </c>
      <c r="I121" s="177"/>
      <c r="J121" s="214"/>
      <c r="K121" s="177"/>
      <c r="L121" s="177"/>
      <c r="M121" s="177"/>
      <c r="N121" s="911"/>
      <c r="O121" s="911"/>
      <c r="P121" s="911"/>
      <c r="Q121" s="911"/>
      <c r="R121" s="911"/>
      <c r="S121" s="911"/>
      <c r="T121" s="911"/>
      <c r="U121" s="911"/>
      <c r="V121" s="911"/>
      <c r="W121" s="911"/>
      <c r="X121" s="911"/>
      <c r="Y121" s="911"/>
      <c r="Z121" s="911"/>
      <c r="AA121" s="911"/>
      <c r="AB121" s="911"/>
      <c r="AC121" s="911"/>
      <c r="AD121" s="911"/>
      <c r="AE121" s="911"/>
      <c r="AF121" s="911"/>
      <c r="AG121" s="911"/>
      <c r="AH121" s="911"/>
      <c r="AI121" s="911"/>
      <c r="AJ121" s="911"/>
      <c r="AK121" s="911"/>
      <c r="AL121" s="911"/>
      <c r="AM121" s="911"/>
      <c r="AN121" s="911"/>
    </row>
    <row r="122" spans="1:40" x14ac:dyDescent="0.25">
      <c r="A122" s="561">
        <v>13</v>
      </c>
      <c r="B122" s="916">
        <f>Paramètres!BF18</f>
        <v>0</v>
      </c>
      <c r="C122" s="912">
        <f t="shared" si="7"/>
        <v>208</v>
      </c>
      <c r="D122" s="194">
        <f>VALUE_Barbarian_King[[#This Row],[Valeur]]*VALUE_Barbarian_King[[#This Row],[Rang]]</f>
        <v>0</v>
      </c>
      <c r="E122" s="561">
        <v>13</v>
      </c>
      <c r="F122" s="916">
        <f>Paramètres!BG18</f>
        <v>0</v>
      </c>
      <c r="G122" s="912">
        <f t="shared" si="8"/>
        <v>351</v>
      </c>
      <c r="H122" s="200">
        <f>VALUE_Archer_Queen[[#This Row],[Valeur]]*VALUE_Archer_Queen[[#This Row],[Rang]]</f>
        <v>0</v>
      </c>
      <c r="I122" s="177"/>
      <c r="J122" s="214"/>
      <c r="K122" s="177"/>
      <c r="L122" s="177"/>
      <c r="M122" s="177"/>
      <c r="N122" s="911"/>
      <c r="O122" s="911"/>
      <c r="P122" s="911"/>
      <c r="Q122" s="911"/>
      <c r="R122" s="911"/>
      <c r="S122" s="911"/>
      <c r="T122" s="911"/>
      <c r="U122" s="177"/>
      <c r="V122" s="177"/>
      <c r="W122" s="177"/>
      <c r="X122" s="177"/>
      <c r="Y122" s="177"/>
      <c r="Z122" s="177"/>
      <c r="AA122" s="177"/>
      <c r="AB122" s="177"/>
      <c r="AC122" s="177"/>
      <c r="AD122" s="177"/>
      <c r="AE122" s="177"/>
      <c r="AF122" s="177"/>
      <c r="AG122" s="177"/>
      <c r="AH122" s="177"/>
      <c r="AI122" s="177"/>
      <c r="AJ122" s="177"/>
      <c r="AK122" s="177"/>
      <c r="AL122" s="177"/>
      <c r="AM122" s="177"/>
      <c r="AN122" s="177"/>
    </row>
    <row r="123" spans="1:40" x14ac:dyDescent="0.25">
      <c r="A123" s="561">
        <v>14</v>
      </c>
      <c r="B123" s="916">
        <f>Paramètres!BF19</f>
        <v>0</v>
      </c>
      <c r="C123" s="912">
        <f t="shared" si="7"/>
        <v>225</v>
      </c>
      <c r="D123" s="194">
        <f>VALUE_Barbarian_King[[#This Row],[Valeur]]*VALUE_Barbarian_King[[#This Row],[Rang]]</f>
        <v>0</v>
      </c>
      <c r="E123" s="561">
        <v>14</v>
      </c>
      <c r="F123" s="916">
        <f>Paramètres!BG19</f>
        <v>0</v>
      </c>
      <c r="G123" s="912">
        <f t="shared" si="8"/>
        <v>379</v>
      </c>
      <c r="H123" s="200">
        <f>VALUE_Archer_Queen[[#This Row],[Valeur]]*VALUE_Archer_Queen[[#This Row],[Rang]]</f>
        <v>0</v>
      </c>
      <c r="I123" s="177"/>
      <c r="J123" s="214"/>
      <c r="K123" s="177"/>
      <c r="L123" s="177"/>
      <c r="M123" s="177"/>
      <c r="N123" s="911"/>
      <c r="O123" s="911"/>
      <c r="P123" s="911"/>
      <c r="Q123" s="911"/>
      <c r="R123" s="911"/>
      <c r="S123" s="911"/>
      <c r="T123" s="911"/>
      <c r="U123" s="911"/>
      <c r="V123" s="177"/>
      <c r="W123" s="177"/>
      <c r="X123" s="177"/>
      <c r="Y123" s="177"/>
      <c r="Z123" s="177"/>
      <c r="AA123" s="177"/>
      <c r="AB123" s="177"/>
      <c r="AC123" s="177"/>
      <c r="AD123" s="177"/>
      <c r="AE123" s="177"/>
      <c r="AF123" s="177"/>
      <c r="AG123" s="911"/>
      <c r="AH123" s="911"/>
      <c r="AI123" s="911"/>
      <c r="AJ123" s="911"/>
      <c r="AK123" s="911"/>
      <c r="AL123" s="911"/>
      <c r="AM123" s="911"/>
      <c r="AN123" s="911"/>
    </row>
    <row r="124" spans="1:40" x14ac:dyDescent="0.25">
      <c r="A124" s="561">
        <v>15</v>
      </c>
      <c r="B124" s="916">
        <f>Paramètres!BF20</f>
        <v>0</v>
      </c>
      <c r="C124" s="912">
        <f>18+C123</f>
        <v>243</v>
      </c>
      <c r="D124" s="194">
        <f>VALUE_Barbarian_King[[#This Row],[Valeur]]*VALUE_Barbarian_King[[#This Row],[Rang]]</f>
        <v>0</v>
      </c>
      <c r="E124" s="561">
        <v>15</v>
      </c>
      <c r="F124" s="916">
        <f>Paramètres!BG20</f>
        <v>0</v>
      </c>
      <c r="G124" s="912">
        <f>G123+29</f>
        <v>408</v>
      </c>
      <c r="H124" s="200">
        <f>VALUE_Archer_Queen[[#This Row],[Valeur]]*VALUE_Archer_Queen[[#This Row],[Rang]]</f>
        <v>0</v>
      </c>
      <c r="I124" s="177"/>
      <c r="J124" s="214"/>
      <c r="K124" s="177"/>
      <c r="L124" s="177"/>
      <c r="M124" s="177"/>
      <c r="N124" s="911"/>
      <c r="O124" s="911"/>
      <c r="P124" s="911"/>
      <c r="Q124" s="911"/>
      <c r="R124" s="911"/>
      <c r="S124" s="911"/>
      <c r="T124" s="911"/>
      <c r="U124" s="911"/>
      <c r="V124" s="177"/>
      <c r="W124" s="177"/>
      <c r="X124" s="177"/>
      <c r="Y124" s="177"/>
      <c r="Z124" s="177"/>
      <c r="AA124" s="177"/>
      <c r="AB124" s="177"/>
      <c r="AC124" s="177"/>
      <c r="AD124" s="177"/>
      <c r="AE124" s="177"/>
      <c r="AF124" s="177"/>
      <c r="AG124" s="911"/>
      <c r="AH124" s="911"/>
      <c r="AI124" s="911"/>
      <c r="AJ124" s="911"/>
      <c r="AK124" s="911"/>
      <c r="AL124" s="911"/>
      <c r="AM124" s="911"/>
      <c r="AN124" s="911"/>
    </row>
    <row r="125" spans="1:40" x14ac:dyDescent="0.25">
      <c r="A125" s="561">
        <v>16</v>
      </c>
      <c r="B125" s="916">
        <f>Paramètres!BF21</f>
        <v>0</v>
      </c>
      <c r="C125" s="912">
        <f t="shared" ref="C125:C128" si="9">18+C124</f>
        <v>261</v>
      </c>
      <c r="D125" s="194">
        <f>VALUE_Barbarian_King[[#This Row],[Valeur]]*VALUE_Barbarian_King[[#This Row],[Rang]]</f>
        <v>0</v>
      </c>
      <c r="E125" s="561">
        <v>16</v>
      </c>
      <c r="F125" s="916">
        <f>Paramètres!BG21</f>
        <v>0</v>
      </c>
      <c r="G125" s="912">
        <f t="shared" ref="G125:G128" si="10">G124+29</f>
        <v>437</v>
      </c>
      <c r="H125" s="200">
        <f>VALUE_Archer_Queen[[#This Row],[Valeur]]*VALUE_Archer_Queen[[#This Row],[Rang]]</f>
        <v>0</v>
      </c>
      <c r="I125" s="177"/>
      <c r="J125" s="214"/>
      <c r="K125" s="177"/>
      <c r="L125" s="177"/>
      <c r="M125" s="177"/>
      <c r="N125" s="911"/>
      <c r="O125" s="911"/>
      <c r="P125" s="911"/>
      <c r="Q125" s="911"/>
      <c r="R125" s="911"/>
      <c r="S125" s="911"/>
      <c r="T125" s="911"/>
      <c r="U125" s="911"/>
      <c r="V125" s="177"/>
      <c r="W125" s="177"/>
      <c r="X125" s="177"/>
      <c r="Y125" s="177"/>
      <c r="Z125" s="177"/>
      <c r="AA125" s="177"/>
      <c r="AB125" s="177"/>
      <c r="AC125" s="177"/>
      <c r="AD125" s="177"/>
      <c r="AE125" s="177"/>
      <c r="AF125" s="177"/>
      <c r="AG125" s="911"/>
      <c r="AH125" s="911"/>
      <c r="AI125" s="911"/>
      <c r="AJ125" s="911"/>
      <c r="AK125" s="911"/>
      <c r="AL125" s="911"/>
      <c r="AM125" s="911"/>
      <c r="AN125" s="911"/>
    </row>
    <row r="126" spans="1:40" x14ac:dyDescent="0.25">
      <c r="A126" s="561">
        <v>17</v>
      </c>
      <c r="B126" s="916">
        <f>Paramètres!BF22</f>
        <v>0</v>
      </c>
      <c r="C126" s="912">
        <f t="shared" si="9"/>
        <v>279</v>
      </c>
      <c r="D126" s="194">
        <f>VALUE_Barbarian_King[[#This Row],[Valeur]]*VALUE_Barbarian_King[[#This Row],[Rang]]</f>
        <v>0</v>
      </c>
      <c r="E126" s="561">
        <v>17</v>
      </c>
      <c r="F126" s="916">
        <f>Paramètres!BG22</f>
        <v>0</v>
      </c>
      <c r="G126" s="912">
        <f t="shared" si="10"/>
        <v>466</v>
      </c>
      <c r="H126" s="200">
        <f>VALUE_Archer_Queen[[#This Row],[Valeur]]*VALUE_Archer_Queen[[#This Row],[Rang]]</f>
        <v>0</v>
      </c>
      <c r="I126" s="177"/>
      <c r="J126" s="214"/>
      <c r="K126" s="177"/>
      <c r="L126" s="177"/>
      <c r="M126" s="177"/>
      <c r="N126" s="911"/>
      <c r="O126" s="911"/>
      <c r="P126" s="911"/>
      <c r="Q126" s="911"/>
      <c r="R126" s="911"/>
      <c r="S126" s="911"/>
      <c r="T126" s="911"/>
      <c r="U126" s="911"/>
      <c r="V126" s="177"/>
      <c r="W126" s="177"/>
      <c r="X126" s="177"/>
      <c r="Y126" s="177"/>
      <c r="Z126" s="177"/>
      <c r="AA126" s="177"/>
      <c r="AB126" s="177"/>
      <c r="AC126" s="177"/>
      <c r="AD126" s="177"/>
      <c r="AE126" s="177"/>
      <c r="AF126" s="177"/>
      <c r="AG126" s="911"/>
      <c r="AH126" s="911"/>
      <c r="AI126" s="911"/>
      <c r="AJ126" s="911"/>
      <c r="AK126" s="911"/>
      <c r="AL126" s="911"/>
      <c r="AM126" s="911"/>
      <c r="AN126" s="911"/>
    </row>
    <row r="127" spans="1:40" x14ac:dyDescent="0.25">
      <c r="A127" s="561">
        <v>18</v>
      </c>
      <c r="B127" s="916">
        <f>Paramètres!BF23</f>
        <v>0</v>
      </c>
      <c r="C127" s="912">
        <f t="shared" si="9"/>
        <v>297</v>
      </c>
      <c r="D127" s="194">
        <f>VALUE_Barbarian_King[[#This Row],[Valeur]]*VALUE_Barbarian_King[[#This Row],[Rang]]</f>
        <v>0</v>
      </c>
      <c r="E127" s="561">
        <v>18</v>
      </c>
      <c r="F127" s="916">
        <f>Paramètres!BG23</f>
        <v>0</v>
      </c>
      <c r="G127" s="912">
        <f t="shared" si="10"/>
        <v>495</v>
      </c>
      <c r="H127" s="200">
        <f>VALUE_Archer_Queen[[#This Row],[Valeur]]*VALUE_Archer_Queen[[#This Row],[Rang]]</f>
        <v>0</v>
      </c>
      <c r="I127" s="177"/>
      <c r="J127" s="214"/>
      <c r="K127" s="177"/>
      <c r="L127" s="177"/>
      <c r="M127" s="177"/>
      <c r="N127" s="911"/>
      <c r="O127" s="911"/>
      <c r="P127" s="911"/>
      <c r="Q127" s="911"/>
      <c r="R127" s="911"/>
      <c r="S127" s="911"/>
      <c r="T127" s="911"/>
      <c r="U127" s="911"/>
      <c r="V127" s="177"/>
      <c r="W127" s="177"/>
      <c r="X127" s="177"/>
      <c r="Y127" s="177"/>
      <c r="Z127" s="177"/>
      <c r="AA127" s="177"/>
      <c r="AB127" s="177"/>
      <c r="AC127" s="177"/>
      <c r="AD127" s="177"/>
      <c r="AE127" s="177"/>
      <c r="AF127" s="177"/>
      <c r="AG127" s="911"/>
      <c r="AH127" s="911"/>
      <c r="AI127" s="911"/>
      <c r="AJ127" s="911"/>
      <c r="AK127" s="911"/>
      <c r="AL127" s="911"/>
      <c r="AM127" s="911"/>
      <c r="AN127" s="911"/>
    </row>
    <row r="128" spans="1:40" x14ac:dyDescent="0.25">
      <c r="A128" s="561">
        <v>19</v>
      </c>
      <c r="B128" s="916">
        <f>Paramètres!BF24</f>
        <v>0</v>
      </c>
      <c r="C128" s="912">
        <f t="shared" si="9"/>
        <v>315</v>
      </c>
      <c r="D128" s="194">
        <f>VALUE_Barbarian_King[[#This Row],[Valeur]]*VALUE_Barbarian_King[[#This Row],[Rang]]</f>
        <v>0</v>
      </c>
      <c r="E128" s="561">
        <v>19</v>
      </c>
      <c r="F128" s="916">
        <f>Paramètres!BG24</f>
        <v>0</v>
      </c>
      <c r="G128" s="912">
        <f t="shared" si="10"/>
        <v>524</v>
      </c>
      <c r="H128" s="200">
        <f>VALUE_Archer_Queen[[#This Row],[Valeur]]*VALUE_Archer_Queen[[#This Row],[Rang]]</f>
        <v>0</v>
      </c>
      <c r="I128" s="177"/>
      <c r="J128" s="214"/>
      <c r="K128" s="177"/>
      <c r="L128" s="177"/>
      <c r="M128" s="177"/>
      <c r="N128" s="911"/>
      <c r="O128" s="911"/>
      <c r="P128" s="911"/>
      <c r="Q128" s="911"/>
      <c r="R128" s="911"/>
      <c r="S128" s="911"/>
      <c r="T128" s="911"/>
      <c r="U128" s="911"/>
      <c r="V128" s="177"/>
      <c r="W128" s="177"/>
      <c r="X128" s="177"/>
      <c r="Y128" s="177"/>
      <c r="Z128" s="177"/>
      <c r="AA128" s="177"/>
      <c r="AB128" s="177"/>
      <c r="AC128" s="177"/>
      <c r="AD128" s="177"/>
      <c r="AE128" s="177"/>
      <c r="AF128" s="177"/>
      <c r="AG128" s="911"/>
      <c r="AH128" s="911"/>
      <c r="AI128" s="911"/>
      <c r="AJ128" s="911"/>
      <c r="AK128" s="911"/>
      <c r="AL128" s="911"/>
      <c r="AM128" s="911"/>
      <c r="AN128" s="911"/>
    </row>
    <row r="129" spans="1:40" x14ac:dyDescent="0.25">
      <c r="A129" s="561">
        <v>20</v>
      </c>
      <c r="B129" s="916">
        <f>Paramètres!BF25</f>
        <v>0</v>
      </c>
      <c r="C129" s="912">
        <f>19+C128</f>
        <v>334</v>
      </c>
      <c r="D129" s="194">
        <f>VALUE_Barbarian_King[[#This Row],[Valeur]]*VALUE_Barbarian_King[[#This Row],[Rang]]</f>
        <v>0</v>
      </c>
      <c r="E129" s="561">
        <v>20</v>
      </c>
      <c r="F129" s="916">
        <f>Paramètres!BG25</f>
        <v>0</v>
      </c>
      <c r="G129" s="912">
        <f>G128+30</f>
        <v>554</v>
      </c>
      <c r="H129" s="200">
        <f>VALUE_Archer_Queen[[#This Row],[Valeur]]*VALUE_Archer_Queen[[#This Row],[Rang]]</f>
        <v>0</v>
      </c>
      <c r="I129" s="177"/>
      <c r="J129" s="214"/>
      <c r="K129" s="177"/>
      <c r="L129" s="177"/>
      <c r="M129" s="177"/>
      <c r="N129" s="911"/>
      <c r="O129" s="911"/>
      <c r="P129" s="911"/>
      <c r="Q129" s="911"/>
      <c r="R129" s="911"/>
      <c r="S129" s="911"/>
      <c r="T129" s="911"/>
      <c r="U129" s="911"/>
      <c r="V129" s="177"/>
      <c r="W129" s="177"/>
      <c r="X129" s="177"/>
      <c r="Y129" s="177"/>
      <c r="Z129" s="177"/>
      <c r="AA129" s="177"/>
      <c r="AB129" s="177"/>
      <c r="AC129" s="177"/>
      <c r="AD129" s="177"/>
      <c r="AE129" s="177"/>
      <c r="AF129" s="177"/>
      <c r="AG129" s="911"/>
      <c r="AH129" s="911"/>
      <c r="AI129" s="911"/>
      <c r="AJ129" s="911"/>
      <c r="AK129" s="911"/>
      <c r="AL129" s="911"/>
      <c r="AM129" s="911"/>
      <c r="AN129" s="911"/>
    </row>
    <row r="130" spans="1:40" x14ac:dyDescent="0.25">
      <c r="A130" s="561">
        <v>21</v>
      </c>
      <c r="B130" s="916">
        <f>Paramètres!BF26</f>
        <v>0</v>
      </c>
      <c r="C130" s="912">
        <f t="shared" ref="C130:C133" si="11">19+C129</f>
        <v>353</v>
      </c>
      <c r="D130" s="194">
        <f>VALUE_Barbarian_King[[#This Row],[Valeur]]*VALUE_Barbarian_King[[#This Row],[Rang]]</f>
        <v>0</v>
      </c>
      <c r="E130" s="561">
        <v>21</v>
      </c>
      <c r="F130" s="916">
        <f>Paramètres!BG26</f>
        <v>0</v>
      </c>
      <c r="G130" s="912">
        <f t="shared" ref="G130:G133" si="12">G129+30</f>
        <v>584</v>
      </c>
      <c r="H130" s="200">
        <f>VALUE_Archer_Queen[[#This Row],[Valeur]]*VALUE_Archer_Queen[[#This Row],[Rang]]</f>
        <v>0</v>
      </c>
      <c r="I130" s="177"/>
      <c r="J130" s="214"/>
      <c r="K130" s="177"/>
      <c r="L130" s="177"/>
      <c r="M130" s="177"/>
      <c r="N130" s="911"/>
      <c r="O130" s="911"/>
      <c r="P130" s="911"/>
      <c r="Q130" s="911"/>
      <c r="R130" s="911"/>
      <c r="S130" s="911"/>
      <c r="T130" s="911"/>
      <c r="U130" s="911"/>
      <c r="V130" s="177"/>
      <c r="W130" s="177"/>
      <c r="X130" s="177"/>
      <c r="Y130" s="177"/>
      <c r="Z130" s="177"/>
      <c r="AA130" s="177"/>
      <c r="AB130" s="177"/>
      <c r="AC130" s="177"/>
      <c r="AD130" s="177"/>
      <c r="AE130" s="177"/>
      <c r="AF130" s="177"/>
      <c r="AG130" s="911"/>
      <c r="AH130" s="911"/>
      <c r="AI130" s="911"/>
      <c r="AJ130" s="911"/>
      <c r="AK130" s="911"/>
      <c r="AL130" s="911"/>
      <c r="AM130" s="911"/>
      <c r="AN130" s="911"/>
    </row>
    <row r="131" spans="1:40" x14ac:dyDescent="0.25">
      <c r="A131" s="561">
        <v>22</v>
      </c>
      <c r="B131" s="916">
        <f>Paramètres!BF27</f>
        <v>0</v>
      </c>
      <c r="C131" s="912">
        <f t="shared" si="11"/>
        <v>372</v>
      </c>
      <c r="D131" s="194">
        <f>VALUE_Barbarian_King[[#This Row],[Valeur]]*VALUE_Barbarian_King[[#This Row],[Rang]]</f>
        <v>0</v>
      </c>
      <c r="E131" s="561">
        <v>22</v>
      </c>
      <c r="F131" s="916">
        <f>Paramètres!BG27</f>
        <v>0</v>
      </c>
      <c r="G131" s="912">
        <f t="shared" si="12"/>
        <v>614</v>
      </c>
      <c r="H131" s="200">
        <f>VALUE_Archer_Queen[[#This Row],[Valeur]]*VALUE_Archer_Queen[[#This Row],[Rang]]</f>
        <v>0</v>
      </c>
      <c r="I131" s="177"/>
      <c r="J131" s="214"/>
      <c r="K131" s="177"/>
      <c r="L131" s="177"/>
      <c r="M131" s="177"/>
      <c r="N131" s="911"/>
      <c r="O131" s="911"/>
      <c r="P131" s="911"/>
      <c r="Q131" s="911"/>
      <c r="R131" s="911"/>
      <c r="S131" s="911"/>
      <c r="T131" s="911"/>
      <c r="U131" s="911"/>
      <c r="V131" s="177"/>
      <c r="W131" s="177"/>
      <c r="X131" s="177"/>
      <c r="Y131" s="177"/>
      <c r="Z131" s="177"/>
      <c r="AA131" s="177"/>
      <c r="AB131" s="177"/>
      <c r="AC131" s="177"/>
      <c r="AD131" s="177"/>
      <c r="AE131" s="177"/>
      <c r="AF131" s="177"/>
      <c r="AG131" s="911"/>
      <c r="AH131" s="911"/>
      <c r="AI131" s="911"/>
      <c r="AJ131" s="911"/>
      <c r="AK131" s="911"/>
      <c r="AL131" s="911"/>
      <c r="AM131" s="911"/>
      <c r="AN131" s="911"/>
    </row>
    <row r="132" spans="1:40" x14ac:dyDescent="0.25">
      <c r="A132" s="561">
        <v>23</v>
      </c>
      <c r="B132" s="916">
        <f>Paramètres!BF28</f>
        <v>0</v>
      </c>
      <c r="C132" s="912">
        <f t="shared" si="11"/>
        <v>391</v>
      </c>
      <c r="D132" s="194">
        <f>VALUE_Barbarian_King[[#This Row],[Valeur]]*VALUE_Barbarian_King[[#This Row],[Rang]]</f>
        <v>0</v>
      </c>
      <c r="E132" s="561">
        <v>23</v>
      </c>
      <c r="F132" s="916">
        <f>Paramètres!BG28</f>
        <v>0</v>
      </c>
      <c r="G132" s="912">
        <f t="shared" si="12"/>
        <v>644</v>
      </c>
      <c r="H132" s="200">
        <f>VALUE_Archer_Queen[[#This Row],[Valeur]]*VALUE_Archer_Queen[[#This Row],[Rang]]</f>
        <v>0</v>
      </c>
      <c r="I132" s="177"/>
      <c r="J132" s="214"/>
      <c r="K132" s="177"/>
      <c r="L132" s="177"/>
      <c r="M132" s="177"/>
      <c r="N132" s="911"/>
      <c r="O132" s="911"/>
      <c r="P132" s="911"/>
      <c r="Q132" s="911"/>
      <c r="R132" s="911"/>
      <c r="S132" s="911"/>
      <c r="T132" s="911"/>
      <c r="U132" s="911"/>
      <c r="V132" s="177"/>
      <c r="W132" s="177"/>
      <c r="X132" s="177"/>
      <c r="Y132" s="177"/>
      <c r="Z132" s="177"/>
      <c r="AA132" s="177"/>
      <c r="AB132" s="177"/>
      <c r="AC132" s="177"/>
      <c r="AD132" s="177"/>
      <c r="AE132" s="177"/>
      <c r="AF132" s="177"/>
      <c r="AG132" s="911"/>
      <c r="AH132" s="911"/>
      <c r="AI132" s="911"/>
      <c r="AJ132" s="911"/>
      <c r="AK132" s="911"/>
      <c r="AL132" s="911"/>
      <c r="AM132" s="911"/>
      <c r="AN132" s="911"/>
    </row>
    <row r="133" spans="1:40" x14ac:dyDescent="0.25">
      <c r="A133" s="561">
        <v>24</v>
      </c>
      <c r="B133" s="916">
        <f>Paramètres!BF29</f>
        <v>0</v>
      </c>
      <c r="C133" s="912">
        <f t="shared" si="11"/>
        <v>410</v>
      </c>
      <c r="D133" s="194">
        <f>VALUE_Barbarian_King[[#This Row],[Valeur]]*VALUE_Barbarian_King[[#This Row],[Rang]]</f>
        <v>0</v>
      </c>
      <c r="E133" s="561">
        <v>24</v>
      </c>
      <c r="F133" s="916">
        <f>Paramètres!BG29</f>
        <v>0</v>
      </c>
      <c r="G133" s="912">
        <f t="shared" si="12"/>
        <v>674</v>
      </c>
      <c r="H133" s="200">
        <f>VALUE_Archer_Queen[[#This Row],[Valeur]]*VALUE_Archer_Queen[[#This Row],[Rang]]</f>
        <v>0</v>
      </c>
      <c r="I133" s="177"/>
      <c r="J133" s="214"/>
      <c r="K133" s="177"/>
      <c r="L133" s="177"/>
      <c r="M133" s="177"/>
      <c r="N133" s="911"/>
      <c r="O133" s="911"/>
      <c r="P133" s="911"/>
      <c r="Q133" s="911"/>
      <c r="R133" s="911"/>
      <c r="S133" s="911"/>
      <c r="T133" s="911"/>
      <c r="U133" s="911"/>
      <c r="V133" s="177"/>
      <c r="W133" s="177"/>
      <c r="X133" s="177"/>
      <c r="Y133" s="177"/>
      <c r="Z133" s="177"/>
      <c r="AA133" s="177"/>
      <c r="AB133" s="177"/>
      <c r="AC133" s="177"/>
      <c r="AD133" s="177"/>
      <c r="AE133" s="177"/>
      <c r="AF133" s="177"/>
      <c r="AG133" s="911"/>
      <c r="AH133" s="911"/>
      <c r="AI133" s="911"/>
      <c r="AJ133" s="911"/>
      <c r="AK133" s="911"/>
      <c r="AL133" s="911"/>
      <c r="AM133" s="911"/>
      <c r="AN133" s="911"/>
    </row>
    <row r="134" spans="1:40" x14ac:dyDescent="0.25">
      <c r="A134" s="561">
        <v>25</v>
      </c>
      <c r="B134" s="916">
        <f>Paramètres!BF30</f>
        <v>0</v>
      </c>
      <c r="C134" s="912">
        <f>20+C133</f>
        <v>430</v>
      </c>
      <c r="D134" s="194">
        <f>VALUE_Barbarian_King[[#This Row],[Valeur]]*VALUE_Barbarian_King[[#This Row],[Rang]]</f>
        <v>0</v>
      </c>
      <c r="E134" s="561">
        <v>25</v>
      </c>
      <c r="F134" s="916">
        <f>Paramètres!BG30</f>
        <v>0</v>
      </c>
      <c r="G134" s="912">
        <f>G133+31</f>
        <v>705</v>
      </c>
      <c r="H134" s="200">
        <f>VALUE_Archer_Queen[[#This Row],[Valeur]]*VALUE_Archer_Queen[[#This Row],[Rang]]</f>
        <v>0</v>
      </c>
      <c r="I134" s="177"/>
      <c r="J134" s="214"/>
      <c r="K134" s="177"/>
      <c r="L134" s="177"/>
      <c r="M134" s="177"/>
      <c r="N134" s="911"/>
      <c r="O134" s="911"/>
      <c r="P134" s="911"/>
      <c r="Q134" s="911"/>
      <c r="R134" s="911"/>
      <c r="S134" s="911"/>
      <c r="T134" s="911"/>
      <c r="U134" s="911"/>
      <c r="V134" s="177"/>
      <c r="W134" s="177"/>
      <c r="X134" s="177"/>
      <c r="Y134" s="177"/>
      <c r="Z134" s="177"/>
      <c r="AA134" s="177"/>
      <c r="AB134" s="177"/>
      <c r="AC134" s="177"/>
      <c r="AD134" s="177"/>
      <c r="AE134" s="177"/>
      <c r="AF134" s="177"/>
      <c r="AG134" s="911"/>
      <c r="AH134" s="911"/>
      <c r="AI134" s="911"/>
      <c r="AJ134" s="911"/>
      <c r="AK134" s="911"/>
      <c r="AL134" s="911"/>
      <c r="AM134" s="911"/>
      <c r="AN134" s="911"/>
    </row>
    <row r="135" spans="1:40" x14ac:dyDescent="0.25">
      <c r="A135" s="561">
        <v>26</v>
      </c>
      <c r="B135" s="916">
        <f>Paramètres!BF31</f>
        <v>0</v>
      </c>
      <c r="C135" s="912">
        <f t="shared" ref="C135:C138" si="13">20+C134</f>
        <v>450</v>
      </c>
      <c r="D135" s="194">
        <f>VALUE_Barbarian_King[[#This Row],[Valeur]]*VALUE_Barbarian_King[[#This Row],[Rang]]</f>
        <v>0</v>
      </c>
      <c r="E135" s="561">
        <v>26</v>
      </c>
      <c r="F135" s="916">
        <f>Paramètres!BG31</f>
        <v>0</v>
      </c>
      <c r="G135" s="912">
        <f t="shared" ref="G135:G138" si="14">G134+31</f>
        <v>736</v>
      </c>
      <c r="H135" s="200">
        <f>VALUE_Archer_Queen[[#This Row],[Valeur]]*VALUE_Archer_Queen[[#This Row],[Rang]]</f>
        <v>0</v>
      </c>
      <c r="I135" s="177"/>
      <c r="J135" s="214"/>
      <c r="K135" s="177"/>
      <c r="L135" s="177"/>
      <c r="M135" s="177"/>
      <c r="N135" s="911"/>
      <c r="O135" s="911"/>
      <c r="P135" s="911"/>
      <c r="Q135" s="911"/>
      <c r="R135" s="911"/>
      <c r="S135" s="911"/>
      <c r="T135" s="911"/>
      <c r="U135" s="911"/>
      <c r="V135" s="177"/>
      <c r="W135" s="177"/>
      <c r="X135" s="177"/>
      <c r="Y135" s="177"/>
      <c r="Z135" s="177"/>
      <c r="AA135" s="177"/>
      <c r="AB135" s="177"/>
      <c r="AC135" s="177"/>
      <c r="AD135" s="177"/>
      <c r="AE135" s="177"/>
      <c r="AF135" s="177"/>
      <c r="AG135" s="911"/>
      <c r="AH135" s="911"/>
      <c r="AI135" s="911"/>
      <c r="AJ135" s="911"/>
      <c r="AK135" s="911"/>
      <c r="AL135" s="911"/>
      <c r="AM135" s="911"/>
      <c r="AN135" s="911"/>
    </row>
    <row r="136" spans="1:40" x14ac:dyDescent="0.25">
      <c r="A136" s="561">
        <v>27</v>
      </c>
      <c r="B136" s="916">
        <f>Paramètres!BF32</f>
        <v>0</v>
      </c>
      <c r="C136" s="912">
        <f t="shared" si="13"/>
        <v>470</v>
      </c>
      <c r="D136" s="194">
        <f>VALUE_Barbarian_King[[#This Row],[Valeur]]*VALUE_Barbarian_King[[#This Row],[Rang]]</f>
        <v>0</v>
      </c>
      <c r="E136" s="561">
        <v>27</v>
      </c>
      <c r="F136" s="916">
        <f>Paramètres!BG32</f>
        <v>0</v>
      </c>
      <c r="G136" s="912">
        <f t="shared" si="14"/>
        <v>767</v>
      </c>
      <c r="H136" s="200">
        <f>VALUE_Archer_Queen[[#This Row],[Valeur]]*VALUE_Archer_Queen[[#This Row],[Rang]]</f>
        <v>0</v>
      </c>
      <c r="I136" s="177"/>
      <c r="J136" s="214"/>
      <c r="K136" s="177"/>
      <c r="L136" s="177"/>
      <c r="M136" s="177"/>
      <c r="N136" s="911"/>
      <c r="O136" s="911"/>
      <c r="P136" s="911"/>
      <c r="Q136" s="911"/>
      <c r="R136" s="911"/>
      <c r="S136" s="911"/>
      <c r="T136" s="911"/>
      <c r="U136" s="911"/>
      <c r="V136" s="177"/>
      <c r="W136" s="177"/>
      <c r="X136" s="177"/>
      <c r="Y136" s="177"/>
      <c r="Z136" s="177"/>
      <c r="AA136" s="177"/>
      <c r="AB136" s="177"/>
      <c r="AC136" s="177"/>
      <c r="AD136" s="177"/>
      <c r="AE136" s="177"/>
      <c r="AF136" s="177"/>
      <c r="AG136" s="911"/>
      <c r="AH136" s="911"/>
      <c r="AI136" s="911"/>
      <c r="AJ136" s="911"/>
      <c r="AK136" s="911"/>
      <c r="AL136" s="911"/>
      <c r="AM136" s="911"/>
      <c r="AN136" s="911"/>
    </row>
    <row r="137" spans="1:40" x14ac:dyDescent="0.25">
      <c r="A137" s="561">
        <v>28</v>
      </c>
      <c r="B137" s="916">
        <f>Paramètres!BF33</f>
        <v>0</v>
      </c>
      <c r="C137" s="912">
        <f t="shared" si="13"/>
        <v>490</v>
      </c>
      <c r="D137" s="194">
        <f>VALUE_Barbarian_King[[#This Row],[Valeur]]*VALUE_Barbarian_King[[#This Row],[Rang]]</f>
        <v>0</v>
      </c>
      <c r="E137" s="561">
        <v>28</v>
      </c>
      <c r="F137" s="916">
        <f>Paramètres!BG33</f>
        <v>0</v>
      </c>
      <c r="G137" s="912">
        <f t="shared" si="14"/>
        <v>798</v>
      </c>
      <c r="H137" s="200">
        <f>VALUE_Archer_Queen[[#This Row],[Valeur]]*VALUE_Archer_Queen[[#This Row],[Rang]]</f>
        <v>0</v>
      </c>
      <c r="I137" s="177"/>
      <c r="J137" s="214"/>
      <c r="K137" s="177"/>
      <c r="L137" s="177"/>
      <c r="M137" s="177"/>
      <c r="N137" s="911"/>
      <c r="O137" s="911"/>
      <c r="P137" s="911"/>
      <c r="Q137" s="911"/>
      <c r="R137" s="911"/>
      <c r="S137" s="911"/>
      <c r="T137" s="911"/>
      <c r="U137" s="911"/>
      <c r="V137" s="177"/>
      <c r="W137" s="177"/>
      <c r="X137" s="177"/>
      <c r="Y137" s="177"/>
      <c r="Z137" s="177"/>
      <c r="AA137" s="177"/>
      <c r="AB137" s="177"/>
      <c r="AC137" s="177"/>
      <c r="AD137" s="177"/>
      <c r="AE137" s="177"/>
      <c r="AF137" s="177"/>
      <c r="AG137" s="911"/>
      <c r="AH137" s="911"/>
      <c r="AI137" s="911"/>
      <c r="AJ137" s="911"/>
      <c r="AK137" s="911"/>
      <c r="AL137" s="911"/>
      <c r="AM137" s="911"/>
      <c r="AN137" s="911"/>
    </row>
    <row r="138" spans="1:40" x14ac:dyDescent="0.25">
      <c r="A138" s="561">
        <v>29</v>
      </c>
      <c r="B138" s="916">
        <f>Paramètres!BF34</f>
        <v>0</v>
      </c>
      <c r="C138" s="912">
        <f t="shared" si="13"/>
        <v>510</v>
      </c>
      <c r="D138" s="194">
        <f>VALUE_Barbarian_King[[#This Row],[Valeur]]*VALUE_Barbarian_King[[#This Row],[Rang]]</f>
        <v>0</v>
      </c>
      <c r="E138" s="561">
        <v>29</v>
      </c>
      <c r="F138" s="916">
        <f>Paramètres!BG34</f>
        <v>0</v>
      </c>
      <c r="G138" s="912">
        <f t="shared" si="14"/>
        <v>829</v>
      </c>
      <c r="H138" s="200">
        <f>VALUE_Archer_Queen[[#This Row],[Valeur]]*VALUE_Archer_Queen[[#This Row],[Rang]]</f>
        <v>0</v>
      </c>
      <c r="I138" s="177"/>
      <c r="J138" s="214"/>
      <c r="K138" s="177"/>
      <c r="L138" s="177"/>
      <c r="M138" s="177"/>
      <c r="N138" s="911"/>
      <c r="O138" s="911"/>
      <c r="P138" s="911"/>
      <c r="Q138" s="911"/>
      <c r="R138" s="911"/>
      <c r="S138" s="911"/>
      <c r="T138" s="911"/>
      <c r="U138" s="911"/>
      <c r="V138" s="177"/>
      <c r="W138" s="177"/>
      <c r="X138" s="177"/>
      <c r="Y138" s="177"/>
      <c r="Z138" s="177"/>
      <c r="AA138" s="177"/>
      <c r="AB138" s="177"/>
      <c r="AC138" s="177"/>
      <c r="AD138" s="177"/>
      <c r="AE138" s="177"/>
      <c r="AF138" s="177"/>
      <c r="AG138" s="911"/>
      <c r="AH138" s="911"/>
      <c r="AI138" s="911"/>
      <c r="AJ138" s="911"/>
      <c r="AK138" s="911"/>
      <c r="AL138" s="911"/>
      <c r="AM138" s="911"/>
      <c r="AN138" s="911"/>
    </row>
    <row r="139" spans="1:40" x14ac:dyDescent="0.25">
      <c r="A139" s="561">
        <v>30</v>
      </c>
      <c r="B139" s="916">
        <f>Paramètres!BF35</f>
        <v>0</v>
      </c>
      <c r="C139" s="912">
        <f>21+C138</f>
        <v>531</v>
      </c>
      <c r="D139" s="194">
        <f>VALUE_Barbarian_King[[#This Row],[Valeur]]*VALUE_Barbarian_King[[#This Row],[Rang]]</f>
        <v>0</v>
      </c>
      <c r="E139" s="561">
        <v>30</v>
      </c>
      <c r="F139" s="916">
        <f>Paramètres!BG35</f>
        <v>0</v>
      </c>
      <c r="G139" s="912">
        <f>G138+32</f>
        <v>861</v>
      </c>
      <c r="H139" s="200">
        <f>VALUE_Archer_Queen[[#This Row],[Valeur]]*VALUE_Archer_Queen[[#This Row],[Rang]]</f>
        <v>0</v>
      </c>
      <c r="I139" s="177"/>
      <c r="J139" s="214"/>
      <c r="K139" s="177"/>
      <c r="L139" s="177"/>
      <c r="M139" s="177"/>
      <c r="N139" s="911"/>
      <c r="O139" s="911"/>
      <c r="P139" s="911"/>
      <c r="Q139" s="911"/>
      <c r="R139" s="911"/>
      <c r="S139" s="911"/>
      <c r="T139" s="911"/>
      <c r="U139" s="911"/>
      <c r="V139" s="177"/>
      <c r="W139" s="177"/>
      <c r="X139" s="177"/>
      <c r="Y139" s="177"/>
      <c r="Z139" s="177"/>
      <c r="AA139" s="177"/>
      <c r="AB139" s="177"/>
      <c r="AC139" s="177"/>
      <c r="AD139" s="177"/>
      <c r="AE139" s="177"/>
      <c r="AF139" s="177"/>
      <c r="AG139" s="911"/>
      <c r="AH139" s="911"/>
      <c r="AI139" s="911"/>
      <c r="AJ139" s="911"/>
      <c r="AK139" s="911"/>
      <c r="AL139" s="911"/>
      <c r="AM139" s="911"/>
      <c r="AN139" s="911"/>
    </row>
    <row r="140" spans="1:40" x14ac:dyDescent="0.25">
      <c r="A140" s="561">
        <v>31</v>
      </c>
      <c r="B140" s="916">
        <f>Paramètres!BF36</f>
        <v>0</v>
      </c>
      <c r="C140" s="912">
        <f t="shared" ref="C140:C143" si="15">21+C139</f>
        <v>552</v>
      </c>
      <c r="D140" s="194">
        <f>VALUE_Barbarian_King[[#This Row],[Valeur]]*VALUE_Barbarian_King[[#This Row],[Rang]]</f>
        <v>0</v>
      </c>
      <c r="E140" s="561">
        <v>31</v>
      </c>
      <c r="F140" s="916">
        <f>Paramètres!BG36</f>
        <v>0</v>
      </c>
      <c r="G140" s="912">
        <f t="shared" ref="G140:G143" si="16">G139+32</f>
        <v>893</v>
      </c>
      <c r="H140" s="200">
        <f>VALUE_Archer_Queen[[#This Row],[Valeur]]*VALUE_Archer_Queen[[#This Row],[Rang]]</f>
        <v>0</v>
      </c>
      <c r="I140" s="177"/>
      <c r="J140" s="214"/>
      <c r="K140" s="177"/>
      <c r="L140" s="177"/>
      <c r="M140" s="177"/>
      <c r="N140" s="911"/>
      <c r="O140" s="911"/>
      <c r="P140" s="911"/>
      <c r="Q140" s="911"/>
      <c r="R140" s="911"/>
      <c r="S140" s="911"/>
      <c r="T140" s="911"/>
      <c r="U140" s="911"/>
      <c r="V140" s="177"/>
      <c r="W140" s="177"/>
      <c r="X140" s="177"/>
      <c r="Y140" s="177"/>
      <c r="Z140" s="177"/>
      <c r="AA140" s="177"/>
      <c r="AB140" s="177"/>
      <c r="AC140" s="177"/>
      <c r="AD140" s="177"/>
      <c r="AE140" s="177"/>
      <c r="AF140" s="177"/>
      <c r="AG140" s="911"/>
      <c r="AH140" s="911"/>
      <c r="AI140" s="911"/>
      <c r="AJ140" s="911"/>
      <c r="AK140" s="911"/>
      <c r="AL140" s="911"/>
      <c r="AM140" s="911"/>
      <c r="AN140" s="911"/>
    </row>
    <row r="141" spans="1:40" x14ac:dyDescent="0.25">
      <c r="A141" s="561">
        <v>32</v>
      </c>
      <c r="B141" s="916">
        <f>Paramètres!BF37</f>
        <v>0</v>
      </c>
      <c r="C141" s="912">
        <f t="shared" si="15"/>
        <v>573</v>
      </c>
      <c r="D141" s="194">
        <f>VALUE_Barbarian_King[[#This Row],[Valeur]]*VALUE_Barbarian_King[[#This Row],[Rang]]</f>
        <v>0</v>
      </c>
      <c r="E141" s="561">
        <v>32</v>
      </c>
      <c r="F141" s="916">
        <f>Paramètres!BG37</f>
        <v>0</v>
      </c>
      <c r="G141" s="912">
        <f t="shared" si="16"/>
        <v>925</v>
      </c>
      <c r="H141" s="200">
        <f>VALUE_Archer_Queen[[#This Row],[Valeur]]*VALUE_Archer_Queen[[#This Row],[Rang]]</f>
        <v>0</v>
      </c>
      <c r="I141" s="177"/>
      <c r="J141" s="214"/>
      <c r="K141" s="177"/>
      <c r="L141" s="177"/>
      <c r="M141" s="177"/>
      <c r="N141" s="911"/>
      <c r="O141" s="911"/>
      <c r="P141" s="911"/>
      <c r="Q141" s="911"/>
      <c r="R141" s="911"/>
      <c r="S141" s="911"/>
      <c r="T141" s="911"/>
      <c r="U141" s="911"/>
      <c r="V141" s="177"/>
      <c r="W141" s="177"/>
      <c r="X141" s="177"/>
      <c r="Y141" s="177"/>
      <c r="Z141" s="177"/>
      <c r="AA141" s="177"/>
      <c r="AB141" s="177"/>
      <c r="AC141" s="177"/>
      <c r="AD141" s="177"/>
      <c r="AE141" s="177"/>
      <c r="AF141" s="177"/>
      <c r="AG141" s="911"/>
      <c r="AH141" s="911"/>
      <c r="AI141" s="911"/>
      <c r="AJ141" s="911"/>
      <c r="AK141" s="911"/>
      <c r="AL141" s="911"/>
      <c r="AM141" s="911"/>
      <c r="AN141" s="911"/>
    </row>
    <row r="142" spans="1:40" x14ac:dyDescent="0.25">
      <c r="A142" s="561">
        <v>33</v>
      </c>
      <c r="B142" s="916">
        <f>Paramètres!BF38</f>
        <v>0</v>
      </c>
      <c r="C142" s="912">
        <f t="shared" si="15"/>
        <v>594</v>
      </c>
      <c r="D142" s="194">
        <f>VALUE_Barbarian_King[[#This Row],[Valeur]]*VALUE_Barbarian_King[[#This Row],[Rang]]</f>
        <v>0</v>
      </c>
      <c r="E142" s="561">
        <v>33</v>
      </c>
      <c r="F142" s="916">
        <f>Paramètres!BG38</f>
        <v>0</v>
      </c>
      <c r="G142" s="912">
        <f t="shared" si="16"/>
        <v>957</v>
      </c>
      <c r="H142" s="200">
        <f>VALUE_Archer_Queen[[#This Row],[Valeur]]*VALUE_Archer_Queen[[#This Row],[Rang]]</f>
        <v>0</v>
      </c>
      <c r="I142" s="177"/>
      <c r="J142" s="214"/>
      <c r="K142" s="177"/>
      <c r="L142" s="177"/>
      <c r="M142" s="177"/>
      <c r="N142" s="911"/>
      <c r="O142" s="911"/>
      <c r="P142" s="911"/>
      <c r="Q142" s="911"/>
      <c r="R142" s="911"/>
      <c r="S142" s="911"/>
      <c r="T142" s="911"/>
      <c r="U142" s="911"/>
      <c r="V142" s="177"/>
      <c r="W142" s="177"/>
      <c r="X142" s="177"/>
      <c r="Y142" s="177"/>
      <c r="Z142" s="177"/>
      <c r="AA142" s="177"/>
      <c r="AB142" s="177"/>
      <c r="AC142" s="177"/>
      <c r="AD142" s="177"/>
      <c r="AE142" s="177"/>
      <c r="AF142" s="177"/>
      <c r="AG142" s="911"/>
      <c r="AH142" s="911"/>
      <c r="AI142" s="911"/>
      <c r="AJ142" s="911"/>
      <c r="AK142" s="911"/>
      <c r="AL142" s="911"/>
      <c r="AM142" s="911"/>
      <c r="AN142" s="911"/>
    </row>
    <row r="143" spans="1:40" x14ac:dyDescent="0.25">
      <c r="A143" s="561">
        <v>34</v>
      </c>
      <c r="B143" s="916">
        <f>Paramètres!BF39</f>
        <v>0</v>
      </c>
      <c r="C143" s="912">
        <f t="shared" si="15"/>
        <v>615</v>
      </c>
      <c r="D143" s="194">
        <f>VALUE_Barbarian_King[[#This Row],[Valeur]]*VALUE_Barbarian_King[[#This Row],[Rang]]</f>
        <v>0</v>
      </c>
      <c r="E143" s="561">
        <v>34</v>
      </c>
      <c r="F143" s="916">
        <f>Paramètres!BG39</f>
        <v>0</v>
      </c>
      <c r="G143" s="912">
        <f t="shared" si="16"/>
        <v>989</v>
      </c>
      <c r="H143" s="200">
        <f>VALUE_Archer_Queen[[#This Row],[Valeur]]*VALUE_Archer_Queen[[#This Row],[Rang]]</f>
        <v>0</v>
      </c>
      <c r="I143" s="177"/>
      <c r="J143" s="214"/>
      <c r="K143" s="177"/>
      <c r="L143" s="177"/>
      <c r="M143" s="177"/>
      <c r="N143" s="911"/>
      <c r="O143" s="911"/>
      <c r="P143" s="911"/>
      <c r="Q143" s="911"/>
      <c r="R143" s="911"/>
      <c r="S143" s="911"/>
      <c r="T143" s="911"/>
      <c r="U143" s="911"/>
      <c r="V143" s="177"/>
      <c r="W143" s="177"/>
      <c r="X143" s="177"/>
      <c r="Y143" s="177"/>
      <c r="Z143" s="177"/>
      <c r="AA143" s="177"/>
      <c r="AB143" s="177"/>
      <c r="AC143" s="177"/>
      <c r="AD143" s="177"/>
      <c r="AE143" s="177"/>
      <c r="AF143" s="177"/>
      <c r="AG143" s="911"/>
      <c r="AH143" s="911"/>
      <c r="AI143" s="911"/>
      <c r="AJ143" s="911"/>
      <c r="AK143" s="911"/>
      <c r="AL143" s="911"/>
      <c r="AM143" s="911"/>
      <c r="AN143" s="911"/>
    </row>
    <row r="144" spans="1:40" x14ac:dyDescent="0.25">
      <c r="A144" s="561">
        <v>35</v>
      </c>
      <c r="B144" s="916">
        <f>Paramètres!BF40</f>
        <v>0</v>
      </c>
      <c r="C144" s="912">
        <f>22+C143</f>
        <v>637</v>
      </c>
      <c r="D144" s="194">
        <f>VALUE_Barbarian_King[[#This Row],[Valeur]]*VALUE_Barbarian_King[[#This Row],[Rang]]</f>
        <v>0</v>
      </c>
      <c r="E144" s="561">
        <v>35</v>
      </c>
      <c r="F144" s="916">
        <f>Paramètres!BG40</f>
        <v>0</v>
      </c>
      <c r="G144" s="912">
        <f>G143+33</f>
        <v>1022</v>
      </c>
      <c r="H144" s="200">
        <f>VALUE_Archer_Queen[[#This Row],[Valeur]]*VALUE_Archer_Queen[[#This Row],[Rang]]</f>
        <v>0</v>
      </c>
      <c r="I144" s="177"/>
      <c r="J144" s="214"/>
      <c r="K144" s="177"/>
      <c r="L144" s="177"/>
      <c r="M144" s="177"/>
      <c r="N144" s="911"/>
      <c r="O144" s="911"/>
      <c r="P144" s="911"/>
      <c r="Q144" s="911"/>
      <c r="R144" s="911"/>
      <c r="S144" s="911"/>
      <c r="T144" s="911"/>
      <c r="U144" s="911"/>
      <c r="V144" s="177"/>
      <c r="W144" s="177"/>
      <c r="X144" s="177"/>
      <c r="Y144" s="177"/>
      <c r="Z144" s="177"/>
      <c r="AA144" s="177"/>
      <c r="AB144" s="177"/>
      <c r="AC144" s="177"/>
      <c r="AD144" s="177"/>
      <c r="AE144" s="177"/>
      <c r="AF144" s="177"/>
      <c r="AG144" s="911"/>
      <c r="AH144" s="911"/>
      <c r="AI144" s="911"/>
      <c r="AJ144" s="911"/>
      <c r="AK144" s="911"/>
      <c r="AL144" s="911"/>
      <c r="AM144" s="911"/>
      <c r="AN144" s="911"/>
    </row>
    <row r="145" spans="1:40" x14ac:dyDescent="0.25">
      <c r="A145" s="561">
        <v>36</v>
      </c>
      <c r="B145" s="916">
        <f>Paramètres!BF41</f>
        <v>0</v>
      </c>
      <c r="C145" s="912">
        <f t="shared" ref="C145:C149" si="17">22+C144</f>
        <v>659</v>
      </c>
      <c r="D145" s="194">
        <f>VALUE_Barbarian_King[[#This Row],[Valeur]]*VALUE_Barbarian_King[[#This Row],[Rang]]</f>
        <v>0</v>
      </c>
      <c r="E145" s="561">
        <v>36</v>
      </c>
      <c r="F145" s="916">
        <f>Paramètres!BG41</f>
        <v>0</v>
      </c>
      <c r="G145" s="912">
        <f t="shared" ref="G145:G149" si="18">G144+33</f>
        <v>1055</v>
      </c>
      <c r="H145" s="200">
        <f>VALUE_Archer_Queen[[#This Row],[Valeur]]*VALUE_Archer_Queen[[#This Row],[Rang]]</f>
        <v>0</v>
      </c>
      <c r="I145" s="177"/>
      <c r="J145" s="214"/>
      <c r="K145" s="177"/>
      <c r="L145" s="177"/>
      <c r="M145" s="177"/>
      <c r="N145" s="911"/>
      <c r="O145" s="911"/>
      <c r="P145" s="911"/>
      <c r="Q145" s="911"/>
      <c r="R145" s="911"/>
      <c r="S145" s="911"/>
      <c r="T145" s="911"/>
      <c r="U145" s="911"/>
      <c r="V145" s="177"/>
      <c r="W145" s="177"/>
      <c r="X145" s="177"/>
      <c r="Y145" s="177"/>
      <c r="Z145" s="177"/>
      <c r="AA145" s="177"/>
      <c r="AB145" s="177"/>
      <c r="AC145" s="177"/>
      <c r="AD145" s="177"/>
      <c r="AE145" s="177"/>
      <c r="AF145" s="177"/>
      <c r="AG145" s="911"/>
      <c r="AH145" s="911"/>
      <c r="AI145" s="911"/>
      <c r="AJ145" s="911"/>
      <c r="AK145" s="911"/>
      <c r="AL145" s="911"/>
      <c r="AM145" s="911"/>
      <c r="AN145" s="911"/>
    </row>
    <row r="146" spans="1:40" x14ac:dyDescent="0.25">
      <c r="A146" s="561">
        <v>37</v>
      </c>
      <c r="B146" s="916">
        <f>Paramètres!BF42</f>
        <v>0</v>
      </c>
      <c r="C146" s="912">
        <f t="shared" si="17"/>
        <v>681</v>
      </c>
      <c r="D146" s="194">
        <f>VALUE_Barbarian_King[[#This Row],[Valeur]]*VALUE_Barbarian_King[[#This Row],[Rang]]</f>
        <v>0</v>
      </c>
      <c r="E146" s="561">
        <v>37</v>
      </c>
      <c r="F146" s="916">
        <f>Paramètres!BG42</f>
        <v>0</v>
      </c>
      <c r="G146" s="912">
        <f t="shared" si="18"/>
        <v>1088</v>
      </c>
      <c r="H146" s="200">
        <f>VALUE_Archer_Queen[[#This Row],[Valeur]]*VALUE_Archer_Queen[[#This Row],[Rang]]</f>
        <v>0</v>
      </c>
      <c r="I146" s="177"/>
      <c r="J146" s="911"/>
      <c r="K146" s="911"/>
      <c r="L146" s="911"/>
      <c r="M146" s="911"/>
      <c r="N146" s="911"/>
      <c r="O146" s="911"/>
      <c r="P146" s="911"/>
      <c r="Q146" s="911"/>
      <c r="R146" s="911"/>
      <c r="S146" s="911"/>
      <c r="T146" s="911"/>
      <c r="U146" s="911"/>
      <c r="V146" s="177"/>
      <c r="W146" s="177"/>
      <c r="X146" s="177"/>
      <c r="Y146" s="177"/>
      <c r="Z146" s="177"/>
      <c r="AA146" s="177"/>
      <c r="AB146" s="177"/>
      <c r="AC146" s="177"/>
      <c r="AD146" s="177"/>
      <c r="AE146" s="177"/>
      <c r="AF146" s="177"/>
      <c r="AG146" s="911"/>
      <c r="AH146" s="911"/>
      <c r="AI146" s="911"/>
      <c r="AJ146" s="911"/>
      <c r="AK146" s="911"/>
      <c r="AL146" s="911"/>
      <c r="AM146" s="911"/>
      <c r="AN146" s="911"/>
    </row>
    <row r="147" spans="1:40" x14ac:dyDescent="0.25">
      <c r="A147" s="561">
        <v>38</v>
      </c>
      <c r="B147" s="916">
        <f>Paramètres!BF43</f>
        <v>0</v>
      </c>
      <c r="C147" s="912">
        <f t="shared" si="17"/>
        <v>703</v>
      </c>
      <c r="D147" s="194">
        <f>VALUE_Barbarian_King[[#This Row],[Valeur]]*VALUE_Barbarian_King[[#This Row],[Rang]]</f>
        <v>0</v>
      </c>
      <c r="E147" s="561">
        <v>38</v>
      </c>
      <c r="F147" s="916">
        <f>Paramètres!BG43</f>
        <v>0</v>
      </c>
      <c r="G147" s="912">
        <f t="shared" si="18"/>
        <v>1121</v>
      </c>
      <c r="H147" s="200">
        <f>VALUE_Archer_Queen[[#This Row],[Valeur]]*VALUE_Archer_Queen[[#This Row],[Rang]]</f>
        <v>0</v>
      </c>
      <c r="I147" s="177"/>
      <c r="J147" s="911"/>
      <c r="K147" s="911"/>
      <c r="L147" s="911"/>
      <c r="M147" s="911"/>
      <c r="N147" s="911"/>
      <c r="O147" s="911"/>
      <c r="P147" s="911"/>
      <c r="Q147" s="911"/>
      <c r="R147" s="911"/>
      <c r="S147" s="911"/>
      <c r="T147" s="911"/>
      <c r="U147" s="911"/>
      <c r="V147" s="177"/>
      <c r="W147" s="177"/>
      <c r="X147" s="177"/>
      <c r="Y147" s="177"/>
      <c r="Z147" s="177"/>
      <c r="AA147" s="177"/>
      <c r="AB147" s="177"/>
      <c r="AC147" s="177"/>
      <c r="AD147" s="177"/>
      <c r="AE147" s="177"/>
      <c r="AF147" s="177"/>
      <c r="AG147" s="911"/>
      <c r="AH147" s="911"/>
      <c r="AI147" s="911"/>
      <c r="AJ147" s="911"/>
      <c r="AK147" s="911"/>
      <c r="AL147" s="911"/>
      <c r="AM147" s="911"/>
      <c r="AN147" s="911"/>
    </row>
    <row r="148" spans="1:40" x14ac:dyDescent="0.25">
      <c r="A148" s="561">
        <v>39</v>
      </c>
      <c r="B148" s="916">
        <f>Paramètres!BF44</f>
        <v>0</v>
      </c>
      <c r="C148" s="912">
        <f t="shared" si="17"/>
        <v>725</v>
      </c>
      <c r="D148" s="194">
        <f>VALUE_Barbarian_King[[#This Row],[Valeur]]*VALUE_Barbarian_King[[#This Row],[Rang]]</f>
        <v>0</v>
      </c>
      <c r="E148" s="561">
        <v>39</v>
      </c>
      <c r="F148" s="916">
        <f>Paramètres!BG44</f>
        <v>0</v>
      </c>
      <c r="G148" s="912">
        <f t="shared" si="18"/>
        <v>1154</v>
      </c>
      <c r="H148" s="200">
        <f>VALUE_Archer_Queen[[#This Row],[Valeur]]*VALUE_Archer_Queen[[#This Row],[Rang]]</f>
        <v>0</v>
      </c>
      <c r="I148" s="177"/>
      <c r="J148" s="911"/>
      <c r="K148" s="911"/>
      <c r="L148" s="911"/>
      <c r="M148" s="911"/>
      <c r="N148" s="911"/>
      <c r="O148" s="911"/>
      <c r="P148" s="911"/>
      <c r="Q148" s="911"/>
      <c r="R148" s="911"/>
      <c r="S148" s="911"/>
      <c r="T148" s="911"/>
      <c r="U148" s="911"/>
      <c r="V148" s="177"/>
      <c r="W148" s="177"/>
      <c r="X148" s="177"/>
      <c r="Y148" s="177"/>
      <c r="Z148" s="177"/>
      <c r="AA148" s="177"/>
      <c r="AB148" s="177"/>
      <c r="AC148" s="177"/>
      <c r="AD148" s="177"/>
      <c r="AE148" s="177"/>
      <c r="AF148" s="177"/>
      <c r="AG148" s="911"/>
      <c r="AH148" s="911"/>
      <c r="AI148" s="911"/>
      <c r="AJ148" s="911"/>
      <c r="AK148" s="911"/>
      <c r="AL148" s="911"/>
      <c r="AM148" s="911"/>
      <c r="AN148" s="911"/>
    </row>
    <row r="149" spans="1:40" ht="15.75" thickBot="1" x14ac:dyDescent="0.3">
      <c r="A149" s="568">
        <v>40</v>
      </c>
      <c r="B149" s="917">
        <f>Paramètres!BF45</f>
        <v>0</v>
      </c>
      <c r="C149" s="914">
        <f t="shared" si="17"/>
        <v>747</v>
      </c>
      <c r="D149" s="779">
        <f>VALUE_Barbarian_King[[#This Row],[Valeur]]*VALUE_Barbarian_King[[#This Row],[Rang]]</f>
        <v>0</v>
      </c>
      <c r="E149" s="568">
        <v>40</v>
      </c>
      <c r="F149" s="917">
        <f>Paramètres!BG45</f>
        <v>0</v>
      </c>
      <c r="G149" s="914">
        <f t="shared" si="18"/>
        <v>1187</v>
      </c>
      <c r="H149" s="539">
        <f>VALUE_Archer_Queen[[#This Row],[Valeur]]*VALUE_Archer_Queen[[#This Row],[Rang]]</f>
        <v>0</v>
      </c>
      <c r="I149" s="177"/>
      <c r="J149" s="911"/>
      <c r="K149" s="911"/>
      <c r="L149" s="911"/>
      <c r="M149" s="911"/>
      <c r="N149" s="911"/>
      <c r="O149" s="911"/>
      <c r="P149" s="911"/>
      <c r="Q149" s="911"/>
      <c r="R149" s="911"/>
      <c r="S149" s="911"/>
      <c r="T149" s="911"/>
      <c r="U149" s="911"/>
      <c r="V149" s="177"/>
      <c r="W149" s="177"/>
      <c r="X149" s="177"/>
      <c r="Y149" s="177"/>
      <c r="Z149" s="177"/>
      <c r="AA149" s="177"/>
      <c r="AB149" s="177"/>
      <c r="AC149" s="177"/>
      <c r="AD149" s="177"/>
      <c r="AE149" s="177"/>
      <c r="AF149" s="177"/>
      <c r="AG149" s="911"/>
      <c r="AH149" s="911"/>
      <c r="AI149" s="911"/>
      <c r="AJ149" s="911"/>
      <c r="AK149" s="911"/>
      <c r="AL149" s="911"/>
      <c r="AM149" s="911"/>
      <c r="AN149" s="911"/>
    </row>
  </sheetData>
  <sheetProtection selectLockedCells="1"/>
  <mergeCells count="72">
    <mergeCell ref="D7:H7"/>
    <mergeCell ref="D8:H8"/>
    <mergeCell ref="D9:H9"/>
    <mergeCell ref="D10:H10"/>
    <mergeCell ref="D2:H2"/>
    <mergeCell ref="D3:H3"/>
    <mergeCell ref="K4:L4"/>
    <mergeCell ref="K5:L5"/>
    <mergeCell ref="D4:H4"/>
    <mergeCell ref="D5:H5"/>
    <mergeCell ref="D6:H6"/>
    <mergeCell ref="A12:T12"/>
    <mergeCell ref="A13:D13"/>
    <mergeCell ref="E13:H13"/>
    <mergeCell ref="I13:L13"/>
    <mergeCell ref="M13:P13"/>
    <mergeCell ref="Q13:T13"/>
    <mergeCell ref="U36:X36"/>
    <mergeCell ref="AG24:AJ24"/>
    <mergeCell ref="AK24:AN24"/>
    <mergeCell ref="A35:X35"/>
    <mergeCell ref="A23:AN23"/>
    <mergeCell ref="A24:D24"/>
    <mergeCell ref="E24:H24"/>
    <mergeCell ref="I24:L24"/>
    <mergeCell ref="M24:P24"/>
    <mergeCell ref="Q24:T24"/>
    <mergeCell ref="U24:X24"/>
    <mergeCell ref="Y24:AB24"/>
    <mergeCell ref="AC24:AF24"/>
    <mergeCell ref="A36:D36"/>
    <mergeCell ref="E36:H36"/>
    <mergeCell ref="I36:L36"/>
    <mergeCell ref="M36:P36"/>
    <mergeCell ref="Q36:T36"/>
    <mergeCell ref="U47:X47"/>
    <mergeCell ref="E108:H108"/>
    <mergeCell ref="A108:D108"/>
    <mergeCell ref="A64:D64"/>
    <mergeCell ref="E64:H64"/>
    <mergeCell ref="I64:L64"/>
    <mergeCell ref="A97:D97"/>
    <mergeCell ref="E97:H97"/>
    <mergeCell ref="I97:L97"/>
    <mergeCell ref="M97:P97"/>
    <mergeCell ref="A47:D47"/>
    <mergeCell ref="E47:H47"/>
    <mergeCell ref="I47:L47"/>
    <mergeCell ref="M47:P47"/>
    <mergeCell ref="A107:H107"/>
    <mergeCell ref="A96:X96"/>
    <mergeCell ref="A78:AN78"/>
    <mergeCell ref="A79:D79"/>
    <mergeCell ref="E79:H79"/>
    <mergeCell ref="Q97:T97"/>
    <mergeCell ref="U97:X97"/>
    <mergeCell ref="AG79:AJ79"/>
    <mergeCell ref="AK79:AN79"/>
    <mergeCell ref="I79:L79"/>
    <mergeCell ref="M79:P79"/>
    <mergeCell ref="Q79:T79"/>
    <mergeCell ref="U79:X79"/>
    <mergeCell ref="Y79:AB79"/>
    <mergeCell ref="AC79:AF79"/>
    <mergeCell ref="M64:P64"/>
    <mergeCell ref="Q64:T64"/>
    <mergeCell ref="Z47:AC47"/>
    <mergeCell ref="AD47:AG47"/>
    <mergeCell ref="Z46:AG46"/>
    <mergeCell ref="A63:T63"/>
    <mergeCell ref="A46:X46"/>
    <mergeCell ref="Q47:T47"/>
  </mergeCells>
  <pageMargins left="0.7" right="0.7" top="0.75" bottom="0.75" header="0.3" footer="0.3"/>
  <tableParts count="52">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20</vt:i4>
      </vt:variant>
      <vt:variant>
        <vt:lpstr>Plages nommées</vt:lpstr>
      </vt:variant>
      <vt:variant>
        <vt:i4>9</vt:i4>
      </vt:variant>
    </vt:vector>
  </HeadingPairs>
  <TitlesOfParts>
    <vt:vector size="29" baseType="lpstr">
      <vt:lpstr>Planning</vt:lpstr>
      <vt:lpstr>À Faire - Récapitulatif</vt:lpstr>
      <vt:lpstr>À Faire - Détails</vt:lpstr>
      <vt:lpstr>Rentabilité</vt:lpstr>
      <vt:lpstr>Combats - Loots</vt:lpstr>
      <vt:lpstr>Formation de Troupes</vt:lpstr>
      <vt:lpstr>Bâtiments</vt:lpstr>
      <vt:lpstr>Paramètres</vt:lpstr>
      <vt:lpstr>Améliorations - Sorts &amp; Troupes</vt:lpstr>
      <vt:lpstr>Héros</vt:lpstr>
      <vt:lpstr>Coûts des Améliorations</vt:lpstr>
      <vt:lpstr>Gains et Stockage</vt:lpstr>
      <vt:lpstr>Trophées</vt:lpstr>
      <vt:lpstr>Coûts de Formation</vt:lpstr>
      <vt:lpstr>Calendrier</vt:lpstr>
      <vt:lpstr>Traduction</vt:lpstr>
      <vt:lpstr>Paramètres - Admin</vt:lpstr>
      <vt:lpstr>Production</vt:lpstr>
      <vt:lpstr>Journal des Modifications</vt:lpstr>
      <vt:lpstr>Valeur du Village</vt:lpstr>
      <vt:lpstr>Attack_Defense</vt:lpstr>
      <vt:lpstr>Calendar</vt:lpstr>
      <vt:lpstr>Langue</vt:lpstr>
      <vt:lpstr>Pas</vt:lpstr>
      <vt:lpstr>Period</vt:lpstr>
      <vt:lpstr>period_selected</vt:lpstr>
      <vt:lpstr>TimeDisplay</vt:lpstr>
      <vt:lpstr>TimeDisplay2</vt:lpstr>
      <vt:lpstr>'À Faire - Récapitulatif'!Zone_d_impression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Fernandes</dc:creator>
  <cp:lastModifiedBy>franck Lumiere</cp:lastModifiedBy>
  <cp:lastPrinted>2013-10-09T11:09:46Z</cp:lastPrinted>
  <dcterms:created xsi:type="dcterms:W3CDTF">2012-02-21T09:02:25Z</dcterms:created>
  <dcterms:modified xsi:type="dcterms:W3CDTF">2015-07-07T20:33:01Z</dcterms:modified>
</cp:coreProperties>
</file>