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700" windowHeight="10995" activeTab="1"/>
  </bookViews>
  <sheets>
    <sheet name="build" sheetId="11" r:id="rId1"/>
    <sheet name="mappeur (objets)" sheetId="1" r:id="rId2"/>
    <sheet name="mappeur (paragons)" sheetId="2" r:id="rId3"/>
    <sheet name="reroll arme" sheetId="3" r:id="rId4"/>
    <sheet name="infos sorts" sheetId="7" state="hidden" r:id="rId5"/>
    <sheet name="Data" sheetId="8" state="hidden" r:id="rId6"/>
    <sheet name="infos passif &amp; cube &amp; gemmes" sheetId="13" state="hidden" r:id="rId7"/>
    <sheet name="Feuil5" sheetId="14" state="hidden" r:id="rId8"/>
  </sheets>
  <externalReferences>
    <externalReference r:id="rId9"/>
  </externalReferences>
  <definedNames>
    <definedName name="blâme">Feuil5!$K$2:$K$7</definedName>
    <definedName name="bonuscomp">build!$B$13</definedName>
    <definedName name="bonusforce">build!$B$12</definedName>
    <definedName name="boss">build!$B$16</definedName>
    <definedName name="cautère">Feuil5!$B$2:$B$7</definedName>
    <definedName name="champion_d_akarat">Feuil5!$P$2:$P$7</definedName>
    <definedName name="charge_de_destrier">Feuil5!$J$2:$J$7</definedName>
    <definedName name="correction">Feuil5!$A$2:$A$7</definedName>
    <definedName name="couperet">Feuil5!$O$2:$O$7</definedName>
    <definedName name="éblouissement">Feuil5!$E$2:$E$7</definedName>
    <definedName name="élément">build!$B$23</definedName>
    <definedName name="élite">build!$B$15</definedName>
    <definedName name="expiation">Feuil5!$C$2:$C$7</definedName>
    <definedName name="galvanisation">Feuil5!$F$2:$F$7</definedName>
    <definedName name="garde_johanna">build!$F$28</definedName>
    <definedName name="gemmes1">Feuil5!$X$1:$X$23</definedName>
    <definedName name="gemmes2">Feuil5!$Y$1:$Y$20</definedName>
    <definedName name="gemmes3">Feuil5!$Z$1:$Z$20</definedName>
    <definedName name="jugement">Feuil5!$H$2:$H$7</definedName>
    <definedName name="justice">Feuil5!$D$2:$D$7</definedName>
    <definedName name="loi_de_l_espoir">Feuil5!$N$2:$N$7</definedName>
    <definedName name="lois_de_la_justice">Feuil5!$M$2:$M$7</definedName>
    <definedName name="lois_de_la_vaillance">Feuil5!$L$2:$L$7</definedName>
    <definedName name="multiplicatif">build!$B$14</definedName>
    <definedName name="passifs">Feuil5!$R$1:$R$18</definedName>
    <definedName name="passifs2">Feuil5!$S$1:$S$18</definedName>
    <definedName name="passifs3">Feuil5!$T$1:$T$18</definedName>
    <definedName name="passifs4">Feuil5!$U$1:$U$18</definedName>
    <definedName name="passifs5">Feuil5!$V$1:$V$18</definedName>
    <definedName name="persiflage">Feuil5!$I$2:$I$7</definedName>
    <definedName name="sacre">Feuil5!$G$2:$G$7</definedName>
    <definedName name="skill">build!$B$24</definedName>
    <definedName name="sorts">Feuil5!$A$1:$P$7</definedName>
    <definedName name="validargument_johanna">build!$G$30</definedName>
    <definedName name="validbastion">build!$G$31</definedName>
    <definedName name="validboss">build!$C$16</definedName>
    <definedName name="validconclave">build!$G$29</definedName>
    <definedName name="validélite">build!$C$15</definedName>
    <definedName name="validgarde_johanna">build!$G$28</definedName>
    <definedName name="validunicité">build!$G$32</definedName>
    <definedName name="validzodiac">build!$G$33</definedName>
  </definedNames>
  <calcPr calcId="125725"/>
  <fileRecoveryPr repairLoad="1"/>
</workbook>
</file>

<file path=xl/calcChain.xml><?xml version="1.0" encoding="utf-8"?>
<calcChain xmlns="http://schemas.openxmlformats.org/spreadsheetml/2006/main">
  <c r="K16" i="14"/>
  <c r="K17"/>
  <c r="K15"/>
  <c r="K19"/>
  <c r="K18"/>
  <c r="F69"/>
  <c r="F88"/>
  <c r="D100"/>
  <c r="D101"/>
  <c r="D102"/>
  <c r="D103"/>
  <c r="D104"/>
  <c r="D105"/>
  <c r="D107"/>
  <c r="D108"/>
  <c r="D109"/>
  <c r="D110"/>
  <c r="D111"/>
  <c r="D112"/>
  <c r="D114"/>
  <c r="D115"/>
  <c r="D116"/>
  <c r="D117"/>
  <c r="D118"/>
  <c r="D119"/>
  <c r="F129"/>
  <c r="J2" i="11"/>
  <c r="B16"/>
  <c r="I5"/>
  <c r="I4"/>
  <c r="H5"/>
  <c r="H4"/>
  <c r="B22"/>
  <c r="B37"/>
  <c r="C3" i="2"/>
  <c r="H6" i="1"/>
  <c r="D6"/>
  <c r="B24" i="11"/>
  <c r="K27" i="14" l="1"/>
  <c r="B14" i="11"/>
  <c r="B41"/>
  <c r="B36"/>
  <c r="B9" i="14"/>
  <c r="B13" i="11"/>
  <c r="B15"/>
  <c r="B23"/>
  <c r="G69" i="14" l="1"/>
  <c r="G21"/>
  <c r="G31"/>
  <c r="G40"/>
  <c r="G49"/>
  <c r="G93"/>
  <c r="G95"/>
  <c r="G97"/>
  <c r="G126"/>
  <c r="G18"/>
  <c r="G27"/>
  <c r="G37"/>
  <c r="G46"/>
  <c r="G61"/>
  <c r="G121"/>
  <c r="G24"/>
  <c r="G33"/>
  <c r="G42"/>
  <c r="G124"/>
  <c r="G20"/>
  <c r="G30"/>
  <c r="G39"/>
  <c r="G48"/>
  <c r="G87"/>
  <c r="G17"/>
  <c r="G26"/>
  <c r="G35"/>
  <c r="G45"/>
  <c r="G83"/>
  <c r="G91"/>
  <c r="G94"/>
  <c r="G96"/>
  <c r="G98"/>
  <c r="G122"/>
  <c r="G23"/>
  <c r="G32"/>
  <c r="G41"/>
  <c r="G88"/>
  <c r="G125"/>
  <c r="G19"/>
  <c r="G28"/>
  <c r="G38"/>
  <c r="G47"/>
  <c r="G16"/>
  <c r="G25"/>
  <c r="G34"/>
  <c r="G44"/>
  <c r="G123"/>
  <c r="G129"/>
  <c r="Y2"/>
  <c r="Z2" s="1"/>
  <c r="Y3"/>
  <c r="Z3" s="1"/>
  <c r="Y4"/>
  <c r="Z4" s="1"/>
  <c r="Y5"/>
  <c r="Z5" s="1"/>
  <c r="Y6"/>
  <c r="Z6" s="1"/>
  <c r="Y7"/>
  <c r="Z7" s="1"/>
  <c r="Y8"/>
  <c r="Z8" s="1"/>
  <c r="Y9"/>
  <c r="Z9" s="1"/>
  <c r="Y10"/>
  <c r="Z10" s="1"/>
  <c r="Y11"/>
  <c r="Z11" s="1"/>
  <c r="Y12"/>
  <c r="Z12" s="1"/>
  <c r="Y13"/>
  <c r="Z13" s="1"/>
  <c r="Y14"/>
  <c r="Z14" s="1"/>
  <c r="Y15"/>
  <c r="Z15" s="1"/>
  <c r="Y16"/>
  <c r="Z16" s="1"/>
  <c r="Y17"/>
  <c r="Z17" s="1"/>
  <c r="Y18"/>
  <c r="Z18" s="1"/>
  <c r="Y19"/>
  <c r="Z19" s="1"/>
  <c r="Y20"/>
  <c r="Z20" s="1"/>
  <c r="Y1"/>
  <c r="Z1" s="1"/>
  <c r="S3" l="1"/>
  <c r="T3" s="1"/>
  <c r="U3" s="1"/>
  <c r="V3" s="1"/>
  <c r="S4"/>
  <c r="T4" s="1"/>
  <c r="U4" s="1"/>
  <c r="V4" s="1"/>
  <c r="S5"/>
  <c r="T5" s="1"/>
  <c r="U5" s="1"/>
  <c r="V5" s="1"/>
  <c r="S6"/>
  <c r="T6" s="1"/>
  <c r="U6" s="1"/>
  <c r="V6" s="1"/>
  <c r="S7"/>
  <c r="T7" s="1"/>
  <c r="U7" s="1"/>
  <c r="V7" s="1"/>
  <c r="S8"/>
  <c r="T8" s="1"/>
  <c r="U8" s="1"/>
  <c r="V8" s="1"/>
  <c r="S9"/>
  <c r="T9" s="1"/>
  <c r="U9" s="1"/>
  <c r="V9" s="1"/>
  <c r="S10"/>
  <c r="T10" s="1"/>
  <c r="U10" s="1"/>
  <c r="V10" s="1"/>
  <c r="S11"/>
  <c r="T11" s="1"/>
  <c r="U11" s="1"/>
  <c r="V11" s="1"/>
  <c r="S12"/>
  <c r="T12" s="1"/>
  <c r="U12" s="1"/>
  <c r="V12" s="1"/>
  <c r="S13"/>
  <c r="T13" s="1"/>
  <c r="U13" s="1"/>
  <c r="V13" s="1"/>
  <c r="S14"/>
  <c r="T14" s="1"/>
  <c r="U14" s="1"/>
  <c r="V14" s="1"/>
  <c r="S15"/>
  <c r="T15" s="1"/>
  <c r="U15" s="1"/>
  <c r="V15" s="1"/>
  <c r="S16"/>
  <c r="T16" s="1"/>
  <c r="U16" s="1"/>
  <c r="V16" s="1"/>
  <c r="S17"/>
  <c r="T17" s="1"/>
  <c r="U17" s="1"/>
  <c r="V17" s="1"/>
  <c r="S18"/>
  <c r="T18" s="1"/>
  <c r="U18" s="1"/>
  <c r="V18" s="1"/>
  <c r="S1"/>
  <c r="T1" s="1"/>
  <c r="U1" s="1"/>
  <c r="V1" s="1"/>
  <c r="S2"/>
  <c r="T2" s="1"/>
  <c r="U2" s="1"/>
  <c r="V2" s="1"/>
  <c r="E7" i="11" l="1"/>
  <c r="K20" i="14" s="1"/>
  <c r="K21" s="1"/>
  <c r="B42" i="11"/>
  <c r="B43"/>
  <c r="F193" i="14"/>
  <c r="F206"/>
  <c r="F207"/>
  <c r="F208"/>
  <c r="F209"/>
  <c r="F210"/>
  <c r="F211"/>
  <c r="I8" i="2"/>
  <c r="G10"/>
  <c r="B40" i="11" s="1"/>
  <c r="I6" i="2"/>
  <c r="E6"/>
  <c r="E11"/>
  <c r="G11"/>
  <c r="C8"/>
  <c r="B44" i="11" s="1"/>
  <c r="C11" i="2"/>
  <c r="B35" i="11"/>
  <c r="B34"/>
  <c r="B33"/>
  <c r="B21"/>
  <c r="I4" i="2"/>
  <c r="I11"/>
  <c r="B3" i="11"/>
  <c r="B2"/>
  <c r="B29" l="1"/>
  <c r="B30"/>
  <c r="B26"/>
  <c r="B28"/>
  <c r="B31"/>
  <c r="B27"/>
  <c r="G202" i="14"/>
  <c r="G193"/>
  <c r="H197"/>
  <c r="G201"/>
  <c r="G204"/>
  <c r="G198"/>
  <c r="G195"/>
  <c r="G205"/>
  <c r="G199"/>
  <c r="G203"/>
  <c r="G194"/>
  <c r="H194" l="1"/>
  <c r="H203"/>
  <c r="H193"/>
  <c r="H204"/>
  <c r="H198"/>
  <c r="H205"/>
  <c r="H195"/>
  <c r="H199"/>
  <c r="H196"/>
  <c r="H201"/>
  <c r="H202"/>
  <c r="M12" i="8"/>
  <c r="L12"/>
  <c r="K12"/>
  <c r="G12"/>
  <c r="M11"/>
  <c r="L11"/>
  <c r="K11"/>
  <c r="G11"/>
  <c r="M10"/>
  <c r="L10"/>
  <c r="K10"/>
  <c r="G10"/>
  <c r="M9"/>
  <c r="L9"/>
  <c r="K9"/>
  <c r="G9"/>
  <c r="M8"/>
  <c r="L8"/>
  <c r="K8"/>
  <c r="G8"/>
  <c r="M7"/>
  <c r="L7"/>
  <c r="K7"/>
  <c r="G7"/>
  <c r="M6"/>
  <c r="L6"/>
  <c r="K6"/>
  <c r="G6"/>
  <c r="M5"/>
  <c r="L5"/>
  <c r="K5"/>
  <c r="G5"/>
  <c r="M4"/>
  <c r="L4"/>
  <c r="K4"/>
  <c r="G4"/>
  <c r="M3"/>
  <c r="L3"/>
  <c r="K3"/>
  <c r="G3"/>
  <c r="M2"/>
  <c r="L2"/>
  <c r="K2"/>
  <c r="G2"/>
  <c r="A34" i="3"/>
  <c r="B34"/>
  <c r="A35"/>
  <c r="C26" s="1"/>
  <c r="G8" i="2"/>
  <c r="E10"/>
  <c r="B20" i="11" s="1"/>
  <c r="G6" i="2"/>
  <c r="E8"/>
  <c r="B19" i="11" s="1"/>
  <c r="C6" i="2"/>
  <c r="B4" i="11" s="1"/>
  <c r="G4" i="2"/>
  <c r="B39" i="11" s="1"/>
  <c r="E4" i="2"/>
  <c r="C4"/>
  <c r="B1" i="11" s="1"/>
  <c r="B25" s="1"/>
  <c r="B18" l="1"/>
  <c r="B17" s="1"/>
  <c r="B38"/>
  <c r="C24" i="3"/>
  <c r="C20"/>
  <c r="C25"/>
  <c r="C123" i="14" l="1"/>
  <c r="E123" s="1"/>
  <c r="C90"/>
  <c r="E90" s="1"/>
  <c r="C97"/>
  <c r="C104"/>
  <c r="E104" s="1"/>
  <c r="C103"/>
  <c r="E103" s="1"/>
  <c r="J6" i="11" s="1"/>
  <c r="C102" i="14"/>
  <c r="E102" s="1"/>
  <c r="C77"/>
  <c r="E77" s="1"/>
  <c r="C60"/>
  <c r="E60" s="1"/>
  <c r="J5" i="11" s="1"/>
  <c r="C132" i="14"/>
  <c r="E132" s="1"/>
  <c r="J7" i="11" s="1"/>
  <c r="C84" i="14"/>
  <c r="E84" s="1"/>
  <c r="C59"/>
  <c r="E59" s="1"/>
  <c r="C131"/>
  <c r="E131" s="1"/>
  <c r="C114"/>
  <c r="E114" s="1"/>
  <c r="C105"/>
  <c r="E105" s="1"/>
  <c r="C111"/>
  <c r="E111" s="1"/>
  <c r="C110"/>
  <c r="E110" s="1"/>
  <c r="C115"/>
  <c r="E115" s="1"/>
  <c r="C74"/>
  <c r="E74" s="1"/>
  <c r="C89"/>
  <c r="E89" s="1"/>
  <c r="C96"/>
  <c r="C95"/>
  <c r="C94"/>
  <c r="C69"/>
  <c r="E69" s="1"/>
  <c r="C52"/>
  <c r="C124"/>
  <c r="E124" s="1"/>
  <c r="C107"/>
  <c r="E107" s="1"/>
  <c r="C58"/>
  <c r="E58" s="1"/>
  <c r="C81"/>
  <c r="E81" s="1"/>
  <c r="C88"/>
  <c r="E88" s="1"/>
  <c r="C87"/>
  <c r="E87" s="1"/>
  <c r="C86"/>
  <c r="E86" s="1"/>
  <c r="C61"/>
  <c r="E61" s="1"/>
  <c r="C133"/>
  <c r="E133" s="1"/>
  <c r="C116"/>
  <c r="E116" s="1"/>
  <c r="C91"/>
  <c r="E91" s="1"/>
  <c r="C122"/>
  <c r="E122" s="1"/>
  <c r="C73"/>
  <c r="E73" s="1"/>
  <c r="C80"/>
  <c r="E80" s="1"/>
  <c r="C79"/>
  <c r="E79" s="1"/>
  <c r="C70"/>
  <c r="E70" s="1"/>
  <c r="C53"/>
  <c r="E53" s="1"/>
  <c r="C125"/>
  <c r="E125" s="1"/>
  <c r="C108"/>
  <c r="E108" s="1"/>
  <c r="C112"/>
  <c r="E112" s="1"/>
  <c r="C93"/>
  <c r="C83"/>
  <c r="E83" s="1"/>
  <c r="C98"/>
  <c r="C65"/>
  <c r="E65" s="1"/>
  <c r="C72"/>
  <c r="E72" s="1"/>
  <c r="C63"/>
  <c r="E63" s="1"/>
  <c r="C62"/>
  <c r="E62" s="1"/>
  <c r="C51"/>
  <c r="E51" s="1"/>
  <c r="C117"/>
  <c r="E117" s="1"/>
  <c r="C100"/>
  <c r="E100" s="1"/>
  <c r="C68"/>
  <c r="E68" s="1"/>
  <c r="C75"/>
  <c r="E75" s="1"/>
  <c r="C82"/>
  <c r="E82" s="1"/>
  <c r="J4" i="11" s="1"/>
  <c r="C129" i="14"/>
  <c r="E129" s="1"/>
  <c r="C56"/>
  <c r="E56" s="1"/>
  <c r="C55"/>
  <c r="E55" s="1"/>
  <c r="C54"/>
  <c r="E54" s="1"/>
  <c r="C126"/>
  <c r="E126" s="1"/>
  <c r="J3" i="11" s="1"/>
  <c r="C109" i="14"/>
  <c r="E109" s="1"/>
  <c r="C67"/>
  <c r="E67" s="1"/>
  <c r="C66"/>
  <c r="E66" s="1"/>
  <c r="C130"/>
  <c r="E130" s="1"/>
  <c r="C121"/>
  <c r="E121" s="1"/>
  <c r="C128"/>
  <c r="E128" s="1"/>
  <c r="C119"/>
  <c r="E119" s="1"/>
  <c r="C118"/>
  <c r="E118" s="1"/>
  <c r="C101"/>
  <c r="E101" s="1"/>
  <c r="C76"/>
  <c r="E76" s="1"/>
  <c r="K22"/>
  <c r="B12" i="11"/>
  <c r="B32"/>
  <c r="K30" i="14" l="1"/>
  <c r="E52"/>
  <c r="H69"/>
  <c r="I69" s="1"/>
  <c r="H38"/>
  <c r="I38" s="1"/>
  <c r="H35"/>
  <c r="I35" s="1"/>
  <c r="H37"/>
  <c r="I37" s="1"/>
  <c r="H34"/>
  <c r="I34" s="1"/>
  <c r="H94"/>
  <c r="I94" s="1"/>
  <c r="H97"/>
  <c r="I97" s="1"/>
  <c r="H126"/>
  <c r="I126" s="1"/>
  <c r="H23"/>
  <c r="I23" s="1"/>
  <c r="H20"/>
  <c r="I20" s="1"/>
  <c r="H49"/>
  <c r="I49" s="1"/>
  <c r="H125"/>
  <c r="I125" s="1"/>
  <c r="H24"/>
  <c r="I24" s="1"/>
  <c r="H33"/>
  <c r="I33" s="1"/>
  <c r="H47"/>
  <c r="I47" s="1"/>
  <c r="H45"/>
  <c r="I45" s="1"/>
  <c r="H46"/>
  <c r="I46" s="1"/>
  <c r="H44"/>
  <c r="I44" s="1"/>
  <c r="H87"/>
  <c r="I87" s="1"/>
  <c r="H17"/>
  <c r="I17" s="1"/>
  <c r="H21"/>
  <c r="I21" s="1"/>
  <c r="H32"/>
  <c r="I32" s="1"/>
  <c r="H30"/>
  <c r="I30" s="1"/>
  <c r="H93"/>
  <c r="I93" s="1"/>
  <c r="H96"/>
  <c r="I96" s="1"/>
  <c r="H98"/>
  <c r="I98" s="1"/>
  <c r="H18"/>
  <c r="I18" s="1"/>
  <c r="H16"/>
  <c r="I16" s="1"/>
  <c r="H83"/>
  <c r="I83" s="1"/>
  <c r="H61"/>
  <c r="I61" s="1"/>
  <c r="H19"/>
  <c r="I19" s="1"/>
  <c r="H28"/>
  <c r="I28" s="1"/>
  <c r="H42"/>
  <c r="I42" s="1"/>
  <c r="H31"/>
  <c r="I31" s="1"/>
  <c r="H41"/>
  <c r="I41" s="1"/>
  <c r="H39"/>
  <c r="I39" s="1"/>
  <c r="H95"/>
  <c r="I95" s="1"/>
  <c r="H129"/>
  <c r="I129" s="1"/>
  <c r="H26"/>
  <c r="I26" s="1"/>
  <c r="H27"/>
  <c r="I27" s="1"/>
  <c r="H25"/>
  <c r="I25" s="1"/>
  <c r="H91"/>
  <c r="I91" s="1"/>
  <c r="H121"/>
  <c r="I121" s="1"/>
  <c r="H123"/>
  <c r="I123" s="1"/>
  <c r="H122"/>
  <c r="I122" s="1"/>
  <c r="H124"/>
  <c r="I124" s="1"/>
  <c r="H40"/>
  <c r="I40" s="1"/>
  <c r="H88"/>
  <c r="I88" s="1"/>
  <c r="H48"/>
  <c r="I48" s="1"/>
  <c r="B10"/>
  <c r="B8" i="11" s="1"/>
  <c r="B11" i="14"/>
  <c r="B9" i="11" s="1"/>
  <c r="B7"/>
  <c r="H2"/>
  <c r="B6"/>
  <c r="H3" l="1"/>
  <c r="I7"/>
  <c r="H7"/>
  <c r="I2"/>
  <c r="I3"/>
  <c r="B10"/>
</calcChain>
</file>

<file path=xl/sharedStrings.xml><?xml version="1.0" encoding="utf-8"?>
<sst xmlns="http://schemas.openxmlformats.org/spreadsheetml/2006/main" count="890" uniqueCount="579">
  <si>
    <t>Mappeur</t>
  </si>
  <si>
    <t>Objets</t>
  </si>
  <si>
    <t>casque</t>
  </si>
  <si>
    <t>épaules</t>
  </si>
  <si>
    <t>torse</t>
  </si>
  <si>
    <t>gants</t>
  </si>
  <si>
    <t>brassards</t>
  </si>
  <si>
    <t>ceinture</t>
  </si>
  <si>
    <t>pantalon</t>
  </si>
  <si>
    <t>bottes</t>
  </si>
  <si>
    <t>amulette</t>
  </si>
  <si>
    <t>anneau 1</t>
  </si>
  <si>
    <t>anneau 2</t>
  </si>
  <si>
    <t>arme</t>
  </si>
  <si>
    <t>bouclier</t>
  </si>
  <si>
    <t>force</t>
  </si>
  <si>
    <t>dexterite</t>
  </si>
  <si>
    <t>intelligence</t>
  </si>
  <si>
    <t>vitalite</t>
  </si>
  <si>
    <t>% vie</t>
  </si>
  <si>
    <t>% armure</t>
  </si>
  <si>
    <t>% block</t>
  </si>
  <si>
    <t>reduc. Melee</t>
  </si>
  <si>
    <t>reduc. Dist.</t>
  </si>
  <si>
    <t>reduc. Elite</t>
  </si>
  <si>
    <t>ccc</t>
  </si>
  <si>
    <t>dcc</t>
  </si>
  <si>
    <t>ias</t>
  </si>
  <si>
    <t>as arme</t>
  </si>
  <si>
    <t>dgt min</t>
  </si>
  <si>
    <t>dgt max</t>
  </si>
  <si>
    <t>% élite</t>
  </si>
  <si>
    <t>% elem</t>
  </si>
  <si>
    <t>armure</t>
  </si>
  <si>
    <t>res physique</t>
  </si>
  <si>
    <t>res froid</t>
  </si>
  <si>
    <t>res feu</t>
  </si>
  <si>
    <t>res foudre</t>
  </si>
  <si>
    <t>res poison</t>
  </si>
  <si>
    <t>res arcane/sacré</t>
  </si>
  <si>
    <t>all res</t>
  </si>
  <si>
    <r>
      <t xml:space="preserve">Points parangon </t>
    </r>
    <r>
      <rPr>
        <sz val="10"/>
        <rFont val="Arial"/>
        <family val="2"/>
      </rPr>
      <t>(remplir le nombre de pts mis)</t>
    </r>
  </si>
  <si>
    <t>niveau paragon</t>
  </si>
  <si>
    <t>caractéristique</t>
  </si>
  <si>
    <t>attaque</t>
  </si>
  <si>
    <t>defence</t>
  </si>
  <si>
    <t>autre</t>
  </si>
  <si>
    <t>IAS</t>
  </si>
  <si>
    <t>total</t>
  </si>
  <si>
    <t>vitalité</t>
  </si>
  <si>
    <t>CCC</t>
  </si>
  <si>
    <t>DCC</t>
  </si>
  <si>
    <t>à mettre</t>
  </si>
  <si>
    <t>&lt;--- Traitre</t>
  </si>
  <si>
    <t>Traitre ---&gt;</t>
  </si>
  <si>
    <t>7% de vitesse d'attaque</t>
  </si>
  <si>
    <t>10% de dégât</t>
  </si>
  <si>
    <t>Plage de dommage parfaite</t>
  </si>
  <si>
    <t>DPS avec:</t>
  </si>
  <si>
    <t>DPS de l'arme</t>
  </si>
  <si>
    <t>Vitesse d'attaque arme (le roll)</t>
  </si>
  <si>
    <t>% Dommage</t>
  </si>
  <si>
    <t>Dgt max</t>
  </si>
  <si>
    <t>Dgt min</t>
  </si>
  <si>
    <t>Min/Max affix (seulement le roll)</t>
  </si>
  <si>
    <t>Oui</t>
  </si>
  <si>
    <t>Ancient?</t>
  </si>
  <si>
    <t>Fléau (1m)</t>
  </si>
  <si>
    <t>Type d'arme:</t>
  </si>
  <si>
    <t>chances de provoquer une explosion d'or; augmente la vitesse pdt 2s apres avoir ramassé de l'or</t>
  </si>
  <si>
    <t>joie du thésauriseur</t>
  </si>
  <si>
    <t>augmente les dgt de 0,5 par charge (max x); augmente aussi l'armure</t>
  </si>
  <si>
    <t>taeguk</t>
  </si>
  <si>
    <t>augmente les dgt par 10m (max 50m); chance de stun 1s</t>
  </si>
  <si>
    <t>pierre de vengeance de zei</t>
  </si>
  <si>
    <t>augmente dgt sur ennemi controlé; contrôle</t>
  </si>
  <si>
    <t>perte du piégé</t>
  </si>
  <si>
    <t>25% dgt subit différé sur x sec; 10% chance d'annuler les dgt différés quand tue un ennemi</t>
  </si>
  <si>
    <t>moratoire</t>
  </si>
  <si>
    <t>15% chance de proc; proc gratuitement toutes les 5s</t>
  </si>
  <si>
    <t>mirinae, larme du tisseur d'étoiles</t>
  </si>
  <si>
    <t>ralenti sur attaque froid; ccc sur gelés et glacés</t>
  </si>
  <si>
    <t>instagel</t>
  </si>
  <si>
    <t>% chance de up de 1 l'as (max 15); compte aussi pour cdr</t>
  </si>
  <si>
    <t>gogok de vivacité</t>
  </si>
  <si>
    <t>regen/sec; apres 4s sans dgt, bouclier de 200% de la regen/s</t>
  </si>
  <si>
    <t>gésier de gnou ardent</t>
  </si>
  <si>
    <t>réduc dgt subit quand sous contrôle; soigne % pv max quand contrôle</t>
  </si>
  <si>
    <t>gemme vivifiante</t>
  </si>
  <si>
    <t>poison sur 10s; aumgente dgt subi quand empoisonné</t>
  </si>
  <si>
    <t>gemme de toxine virulente</t>
  </si>
  <si>
    <t>xp/mob; arme lvl 1</t>
  </si>
  <si>
    <t>gemme d'aisance</t>
  </si>
  <si>
    <t>reduc melee; travers les mobs sur - de 30% pv</t>
  </si>
  <si>
    <t>garde mutilatrice</t>
  </si>
  <si>
    <t>bonus dgt comp de base; regen % pv max par comp de base</t>
  </si>
  <si>
    <t>force de la simplicité</t>
  </si>
  <si>
    <t xml:space="preserve"> +20% bonus par les compétences après avoir tué un elite; bonus dgt élite</t>
  </si>
  <si>
    <t>fléau des puissants</t>
  </si>
  <si>
    <t>augmente les dgt sur même cible; bonus dgt sur boss</t>
  </si>
  <si>
    <t>fléau des accablés</t>
  </si>
  <si>
    <t>15% chance de proc pdt 3s; up vitesse quand proc</t>
  </si>
  <si>
    <t>couronne de foudre</t>
  </si>
  <si>
    <t>augmente dgt familiers; réduction dgt sur familier</t>
  </si>
  <si>
    <t>cheville ouvrière</t>
  </si>
  <si>
    <t>saignement sur 3s si cc; augmente l'as/ ennemi saignant</t>
  </si>
  <si>
    <t>amplificateur de douleur</t>
  </si>
  <si>
    <t>réduc dgt nn phys; si - 50% pv augmente res froid,feu,foudre,poison, arcane</t>
  </si>
  <si>
    <t>altération ésotérique</t>
  </si>
  <si>
    <t>effet 2</t>
  </si>
  <si>
    <t xml:space="preserve"> +/lvl</t>
  </si>
  <si>
    <t>effet 1</t>
  </si>
  <si>
    <t>nom</t>
  </si>
  <si>
    <t>Gains</t>
  </si>
  <si>
    <t>pts ajouté</t>
  </si>
  <si>
    <t>DPS</t>
  </si>
  <si>
    <t>mitigation</t>
  </si>
  <si>
    <t>robustesse</t>
  </si>
  <si>
    <t>lois de la justice</t>
  </si>
  <si>
    <t>vigilance</t>
  </si>
  <si>
    <t>skill</t>
  </si>
  <si>
    <t>coût</t>
  </si>
  <si>
    <t>cd</t>
  </si>
  <si>
    <t>% proc 1</t>
  </si>
  <si>
    <t>% dommage 1</t>
  </si>
  <si>
    <t>aoe 1</t>
  </si>
  <si>
    <t>cibles 1</t>
  </si>
  <si>
    <t>% proc 2</t>
  </si>
  <si>
    <t>% dommage 2</t>
  </si>
  <si>
    <t>aoe 2</t>
  </si>
  <si>
    <t>cibles 2</t>
  </si>
  <si>
    <t>% dommage 3</t>
  </si>
  <si>
    <t>aoe 3</t>
  </si>
  <si>
    <t>cibles 3</t>
  </si>
  <si>
    <t>élément</t>
  </si>
  <si>
    <t>note</t>
  </si>
  <si>
    <t>correction</t>
  </si>
  <si>
    <t>physique</t>
  </si>
  <si>
    <t>correction - rugissement</t>
  </si>
  <si>
    <t>15m</t>
  </si>
  <si>
    <t>feu</t>
  </si>
  <si>
    <t>correction - vélocité</t>
  </si>
  <si>
    <t>15% as pdt 3s</t>
  </si>
  <si>
    <t>correction - renaissance</t>
  </si>
  <si>
    <t>12874 pv/s pdt 2s</t>
  </si>
  <si>
    <t>correction - riposte</t>
  </si>
  <si>
    <t>sacré</t>
  </si>
  <si>
    <t>add sur attaquant</t>
  </si>
  <si>
    <t>correction - intuition</t>
  </si>
  <si>
    <t>foudre</t>
  </si>
  <si>
    <t>prochain coup a 15% de chance en plus d'être un ccc</t>
  </si>
  <si>
    <t>cautère</t>
  </si>
  <si>
    <t>cautère - èlectrode</t>
  </si>
  <si>
    <t>25% de chance d'étourdir pdt 2s</t>
  </si>
  <si>
    <t>cautère - amplitude</t>
  </si>
  <si>
    <t>augmente aoe</t>
  </si>
  <si>
    <t>cautère - écrasement</t>
  </si>
  <si>
    <t>20% de chance en plus d'être un ccc</t>
  </si>
  <si>
    <t>cautère - zèle</t>
  </si>
  <si>
    <t>1% as pdt 3s (10 stacks)</t>
  </si>
  <si>
    <t>cautère - cerbère</t>
  </si>
  <si>
    <t>5% armure en plus (5 stacks)</t>
  </si>
  <si>
    <t>expiation</t>
  </si>
  <si>
    <t>expiation - segments</t>
  </si>
  <si>
    <t>expiation - entrave</t>
  </si>
  <si>
    <t>20% chance immobiliser 1s</t>
  </si>
  <si>
    <t>expiation - propagation</t>
  </si>
  <si>
    <t>expiation - moisson</t>
  </si>
  <si>
    <t>6437 pv/s pdt 2s (4 stacks)</t>
  </si>
  <si>
    <t>expiation - destin partagé</t>
  </si>
  <si>
    <t>étourdis 2s si les cibles s'éloignent de 15m</t>
  </si>
  <si>
    <t>justice</t>
  </si>
  <si>
    <t>justice - saillie</t>
  </si>
  <si>
    <t xml:space="preserve"> + 60% dgt (10m), 20% chance étourdis 1s</t>
  </si>
  <si>
    <t>justice - fission</t>
  </si>
  <si>
    <t>se fractionne quand touche cible principale</t>
  </si>
  <si>
    <t>justice - marteau guidé</t>
  </si>
  <si>
    <t>à tête chercheuse</t>
  </si>
  <si>
    <t>justice - glaive de justice</t>
  </si>
  <si>
    <t>augmente vitesse de 5% (3 stacks)</t>
  </si>
  <si>
    <t>justice - trait sacré</t>
  </si>
  <si>
    <t>soigne de 2146 à 3219 pv (soi + alliés)</t>
  </si>
  <si>
    <t>froid</t>
  </si>
  <si>
    <t>marteau béni</t>
  </si>
  <si>
    <t>330/s</t>
  </si>
  <si>
    <t>25% chance bruler sol</t>
  </si>
  <si>
    <t>arcs de foudres périodiques entre marteau et soi</t>
  </si>
  <si>
    <t>50% chance générer marteau sur cible</t>
  </si>
  <si>
    <t>35% chance provoquer aoe qui gèle pdt 1s</t>
  </si>
  <si>
    <t>les marteaux se déplacent avec soi</t>
  </si>
  <si>
    <t>éblouissement</t>
  </si>
  <si>
    <t>30 devant</t>
  </si>
  <si>
    <t>éblouit 4s</t>
  </si>
  <si>
    <t>éblouissement - verdict divin</t>
  </si>
  <si>
    <t xml:space="preserve"> + 20% dgt pdt 4s</t>
  </si>
  <si>
    <t>éblouissement - incertitude</t>
  </si>
  <si>
    <t xml:space="preserve"> + 50% chance charmer 8s</t>
  </si>
  <si>
    <t>éblouissement - épiphanie</t>
  </si>
  <si>
    <t xml:space="preserve"> + 9 colère par cible</t>
  </si>
  <si>
    <t>éblouissement - bouclier blasonné</t>
  </si>
  <si>
    <t xml:space="preserve"> + 50% chance de faire exploser les ennemis avec moins de 25% de leurs pv (60% dgt sur 8m aoe)</t>
  </si>
  <si>
    <t>éblouissement - déroute</t>
  </si>
  <si>
    <t xml:space="preserve"> + ralentit 80% pdt 6s</t>
  </si>
  <si>
    <t>galvanisation</t>
  </si>
  <si>
    <t>réduit dgt de 50% pdt 4s</t>
  </si>
  <si>
    <t>galvanisation - impédance</t>
  </si>
  <si>
    <t xml:space="preserve"> + 200% épine quand actif</t>
  </si>
  <si>
    <t>galvanisation - alliage</t>
  </si>
  <si>
    <t xml:space="preserve"> + augmente durée à 7s</t>
  </si>
  <si>
    <t>galvanisation - peau explosive</t>
  </si>
  <si>
    <t xml:space="preserve"> + explosion quand expire</t>
  </si>
  <si>
    <t>galvanisation - surchage</t>
  </si>
  <si>
    <t xml:space="preserve"> + 20% chance étourdir dans les 10m pdt 2s</t>
  </si>
  <si>
    <t>galvanisation - ubiquité</t>
  </si>
  <si>
    <t xml:space="preserve"> + augmente vitesse de 60% pdt 5s quand touché</t>
  </si>
  <si>
    <t>sacre</t>
  </si>
  <si>
    <t>augmente récupération pv de 32185 dans la zone pdt 10s</t>
  </si>
  <si>
    <t>sacre - bain de lumière</t>
  </si>
  <si>
    <t xml:space="preserve"> + augmente aoe et soin a 48278</t>
  </si>
  <si>
    <t>sacre - froidure</t>
  </si>
  <si>
    <t xml:space="preserve"> + ralentit ennemis de 60%, 40% chance de geler pdt 2s</t>
  </si>
  <si>
    <t>sacre - égide purgatoriale</t>
  </si>
  <si>
    <t xml:space="preserve"> + réduit durée à 5s, empèche les ennemis d'entrer</t>
  </si>
  <si>
    <t>sacre - terre hostile</t>
  </si>
  <si>
    <t>155/s</t>
  </si>
  <si>
    <t xml:space="preserve"> + dgt aux ennemis dans la zone</t>
  </si>
  <si>
    <t>sacre - répulsion</t>
  </si>
  <si>
    <t xml:space="preserve"> + apeure les ennemis pdt 3s</t>
  </si>
  <si>
    <t>jugement</t>
  </si>
  <si>
    <t>immobilise pdt 6s les ennemis dans la zone</t>
  </si>
  <si>
    <t>jugement - mortification</t>
  </si>
  <si>
    <t xml:space="preserve"> + par cible, augmente pv/s de 2682 pdt 3s</t>
  </si>
  <si>
    <t>jugement - punition collective</t>
  </si>
  <si>
    <t xml:space="preserve"> + attire les cibles</t>
  </si>
  <si>
    <t>jugement - délibération</t>
  </si>
  <si>
    <t xml:space="preserve"> + réduit les dégâts des ennemis jugés de 40% pdt 6s</t>
  </si>
  <si>
    <t>jugement - détermination</t>
  </si>
  <si>
    <t xml:space="preserve"> + 20% chance d'infliger des ccc aux cibles</t>
  </si>
  <si>
    <t>jugement - conversion</t>
  </si>
  <si>
    <t xml:space="preserve"> + 20% chance de convertir les ennemis avec moins de 25% de pv en avatars infligeant 100% dgt</t>
  </si>
  <si>
    <t>persiflage</t>
  </si>
  <si>
    <t>provoque pdt 4s, génère 30 de colère+5 par cibles</t>
  </si>
  <si>
    <t>persiflage - ascèse</t>
  </si>
  <si>
    <t xml:space="preserve"> + 1073 vie par coup par cible pdt 5s</t>
  </si>
  <si>
    <t>persiflage - fuite salutaire</t>
  </si>
  <si>
    <t xml:space="preserve"> + fait fuir pdt 8s au lieu de provoquer</t>
  </si>
  <si>
    <t>persiflage - figé sur place</t>
  </si>
  <si>
    <t xml:space="preserve"> + réduit vitesse d'attaque des cibles de 50%, et de déplacement de 80% pdt 4s</t>
  </si>
  <si>
    <t>persiflage - surtention</t>
  </si>
  <si>
    <t xml:space="preserve"> + rajoute dgt foudre pdt 4s</t>
  </si>
  <si>
    <t>persiflage - faites-moi mal</t>
  </si>
  <si>
    <t xml:space="preserve"> + augmente chance bloquer de 50% pdt 4s</t>
  </si>
  <si>
    <t>charge de destrier</t>
  </si>
  <si>
    <t>enfourche un destrier pdt 2s, permet de traverser les mobs</t>
  </si>
  <si>
    <t>charge de destrier - triple galop</t>
  </si>
  <si>
    <t xml:space="preserve"> + inflige dgts et repousse</t>
  </si>
  <si>
    <t>charge de destrier - sabots de feu</t>
  </si>
  <si>
    <t>550/2s</t>
  </si>
  <si>
    <t xml:space="preserve"> + brûle le sol</t>
  </si>
  <si>
    <t>charge de destrier - jouvence</t>
  </si>
  <si>
    <t xml:space="preserve"> + soigne de 15% pv max</t>
  </si>
  <si>
    <t>charge de destrier - destrier de fond</t>
  </si>
  <si>
    <t xml:space="preserve"> + porte durée à 3s</t>
  </si>
  <si>
    <t>charge de destrier - claie d'infamie</t>
  </si>
  <si>
    <t xml:space="preserve"> + tire les cibles et leur inflige des dgt</t>
  </si>
  <si>
    <t>blâme</t>
  </si>
  <si>
    <t>accumule energie pdt 3s puis explose</t>
  </si>
  <si>
    <t>blâme - aspiration</t>
  </si>
  <si>
    <t xml:space="preserve"> + aspire les mobs pdt accumulation d'énergie</t>
  </si>
  <si>
    <t>blâme - sur-le-champ</t>
  </si>
  <si>
    <t xml:space="preserve"> + explosion instantanée</t>
  </si>
  <si>
    <t>blâme - représailles éternelles</t>
  </si>
  <si>
    <t xml:space="preserve"> + réduit cd d'1s par ennemis touché</t>
  </si>
  <si>
    <t>blâme - magnitude</t>
  </si>
  <si>
    <t xml:space="preserve"> + augmente portée</t>
  </si>
  <si>
    <t>blâme - rétorsion</t>
  </si>
  <si>
    <t xml:space="preserve"> + inflige en plus 50% des dgts subit pdt accumulation d'énergie</t>
  </si>
  <si>
    <t>lois de la vaillance</t>
  </si>
  <si>
    <t>passif: +8as; actif (5s): porte bonus à 15as</t>
  </si>
  <si>
    <t>lois de la vaillance - invincible</t>
  </si>
  <si>
    <t xml:space="preserve"> + actif: augmente vie par coup de 21457</t>
  </si>
  <si>
    <t>lois de la vaillance - tétanisation</t>
  </si>
  <si>
    <t xml:space="preserve"> + actif: 100% chance étourdir pdt 5s</t>
  </si>
  <si>
    <t>lois de la vaillance - critique</t>
  </si>
  <si>
    <t xml:space="preserve"> + actif: augmente dcc de 100</t>
  </si>
  <si>
    <t>lois de la vaillance - force irrésistible</t>
  </si>
  <si>
    <t xml:space="preserve"> + actif: réduit coût sorts de 50%</t>
  </si>
  <si>
    <t>lois de la vaillance - exaucement</t>
  </si>
  <si>
    <t xml:space="preserve"> + actif: tuer un ennemi prolonge l'actif d'1s (max 10)</t>
  </si>
  <si>
    <t>passif: augmente all rés de 140; actif (5s): porte bonus à 490</t>
  </si>
  <si>
    <t>lois de la justice - altruisme</t>
  </si>
  <si>
    <t xml:space="preserve"> + actif: redirige 20% des dgts des allies sur soi</t>
  </si>
  <si>
    <t>lois de la justice - monolithe</t>
  </si>
  <si>
    <t xml:space="preserve"> + actif: augmente aussi l'armure de 7000</t>
  </si>
  <si>
    <t>lois de la justice - armure de foi</t>
  </si>
  <si>
    <t xml:space="preserve"> + actif: enveloppe soi et alliés d'un bouclier de 26821</t>
  </si>
  <si>
    <t>lois de la justice - débilitation</t>
  </si>
  <si>
    <t xml:space="preserve"> + actif: réduit dgt subis de 15% par attaque subie (max 60%)</t>
  </si>
  <si>
    <t>lois de la justice - témérité</t>
  </si>
  <si>
    <t xml:space="preserve"> + actif: immunise aux contôles (soi et alliés)</t>
  </si>
  <si>
    <t>lois de l'espoir</t>
  </si>
  <si>
    <t>passif: +10728 pv/s; actif: créé un bouclier qui absorbe 124128 dgt</t>
  </si>
  <si>
    <t>lois de l'espoir - un ange passe</t>
  </si>
  <si>
    <t xml:space="preserve"> + actif: augmente vitesse de 50%, travers les mobs</t>
  </si>
  <si>
    <t>lois de l'espoir - espoir éternel</t>
  </si>
  <si>
    <t xml:space="preserve"> + actif: augmente pv max soi et alliés de 10%</t>
  </si>
  <si>
    <t>lois de l'espoir - cri d'espoir</t>
  </si>
  <si>
    <t xml:space="preserve"> + actif: renforcer loi donne 5% de chance aux ennemis de lacher des globes de vie</t>
  </si>
  <si>
    <t>lois de l'espoir - béatitude</t>
  </si>
  <si>
    <t xml:space="preserve"> + actif: soigne soi et alliés de 1073pv par point de colère dépensé</t>
  </si>
  <si>
    <t>lois de l'espoir - profession de foi</t>
  </si>
  <si>
    <t xml:space="preserve"> + actif: réduit dgt non-physique subis de 25%</t>
  </si>
  <si>
    <t>couperet</t>
  </si>
  <si>
    <t>couperet - surchaffe</t>
  </si>
  <si>
    <t>310/s</t>
  </si>
  <si>
    <t>ajoute un dot</t>
  </si>
  <si>
    <t>couperet - éclaircie</t>
  </si>
  <si>
    <t>des éclairs tombent aléatoirement pdt 5s, étourdit 2s</t>
  </si>
  <si>
    <t>couperet - levée fraternelle</t>
  </si>
  <si>
    <t>invoque aussi 3 avatars pdt 5s</t>
  </si>
  <si>
    <t>couperet - retombée rapide</t>
  </si>
  <si>
    <t>réduit le cd d'1s par ennemi touché</t>
  </si>
  <si>
    <t>couperet - ceinture de lames</t>
  </si>
  <si>
    <t>invoque aussi une tourmente de lame qui repousse et neutralise pdt 5s</t>
  </si>
  <si>
    <t>champion d'akarat</t>
  </si>
  <si>
    <t>transformation: augmente dps de 35% et regen colère de 5/s; dure 20s</t>
  </si>
  <si>
    <t>champion d'akarat - boutefeu</t>
  </si>
  <si>
    <t>460/3s</t>
  </si>
  <si>
    <t xml:space="preserve"> + laisse un dot à chaque attaque</t>
  </si>
  <si>
    <t>champion d'akarat - puissance incarnée</t>
  </si>
  <si>
    <t xml:space="preserve"> + augmente régen de colère à 10</t>
  </si>
  <si>
    <t>champion d'akarat - mobilisation</t>
  </si>
  <si>
    <t xml:space="preserve"> + réduit autres cd de 12s</t>
  </si>
  <si>
    <t>champion d'akarat - émulation</t>
  </si>
  <si>
    <t xml:space="preserve"> + augmente armure de 150% et 2ème vie</t>
  </si>
  <si>
    <t>champion d'akarat - promptitude</t>
  </si>
  <si>
    <t xml:space="preserve"> + augmente l'as de 15%</t>
  </si>
  <si>
    <t>Base Min</t>
  </si>
  <si>
    <t>Base Max</t>
  </si>
  <si>
    <t>APS</t>
  </si>
  <si>
    <t>Bonus Min</t>
  </si>
  <si>
    <t>Bonus Max</t>
  </si>
  <si>
    <t>Max DPS Calc</t>
  </si>
  <si>
    <t>D3 Wiki Max</t>
  </si>
  <si>
    <t>Ancient Min</t>
  </si>
  <si>
    <t>Ancient Max</t>
  </si>
  <si>
    <t>Average Base</t>
  </si>
  <si>
    <t>Max Regular Bonus</t>
  </si>
  <si>
    <t>Max Ancient Bonus</t>
  </si>
  <si>
    <t>Masse (1m)</t>
  </si>
  <si>
    <t>Masse (2m)</t>
  </si>
  <si>
    <t>Hache (2m)</t>
  </si>
  <si>
    <t>Epée (2m)</t>
  </si>
  <si>
    <t>N/A</t>
  </si>
  <si>
    <t>Fléau (2m)</t>
  </si>
  <si>
    <t>Hache (1m)</t>
  </si>
  <si>
    <t>Epée (1m)</t>
  </si>
  <si>
    <t>Dague (1m)</t>
  </si>
  <si>
    <t>Lance (1m)</t>
  </si>
  <si>
    <t>Arme d'hast (2m)</t>
  </si>
  <si>
    <t>critique</t>
  </si>
  <si>
    <t>dgt zone</t>
  </si>
  <si>
    <t>% élem</t>
  </si>
  <si>
    <t>rés phys</t>
  </si>
  <si>
    <t>bonus dgt élite</t>
  </si>
  <si>
    <t>CDR</t>
  </si>
  <si>
    <t>% skill</t>
  </si>
  <si>
    <t>rés froid</t>
  </si>
  <si>
    <t>rés feu</t>
  </si>
  <si>
    <t>rés foudre</t>
  </si>
  <si>
    <t>rés poison</t>
  </si>
  <si>
    <t>rés arcane/sacré</t>
  </si>
  <si>
    <t>réduc dist</t>
  </si>
  <si>
    <t>réduc mêlée</t>
  </si>
  <si>
    <t>réduc élite</t>
  </si>
  <si>
    <t>PV</t>
  </si>
  <si>
    <t>vie/s</t>
  </si>
  <si>
    <t>LOH</t>
  </si>
  <si>
    <t>vie/colère</t>
  </si>
  <si>
    <t>ferveur</t>
  </si>
  <si>
    <t>bras armé de la justice</t>
  </si>
  <si>
    <t>commandant en chef</t>
  </si>
  <si>
    <t>force irrésistible</t>
  </si>
  <si>
    <t>durée</t>
  </si>
  <si>
    <t>cd réduit</t>
  </si>
  <si>
    <t>RCR</t>
  </si>
  <si>
    <t>bonus dgt force</t>
  </si>
  <si>
    <t>bonus dgt comp</t>
  </si>
  <si>
    <t>récup</t>
  </si>
  <si>
    <t>DPS (fiche)</t>
  </si>
  <si>
    <t>dextérité</t>
  </si>
  <si>
    <t>sort 2</t>
  </si>
  <si>
    <t>sort 3</t>
  </si>
  <si>
    <t>sort 4</t>
  </si>
  <si>
    <t>cube arme</t>
  </si>
  <si>
    <t>cube armure</t>
  </si>
  <si>
    <t>cube bijoux</t>
  </si>
  <si>
    <t>colère noire</t>
  </si>
  <si>
    <t>polarité</t>
  </si>
  <si>
    <t>perpétuité</t>
  </si>
  <si>
    <t>pics de glace</t>
  </si>
  <si>
    <t>sujétion</t>
  </si>
  <si>
    <t>sort dps</t>
  </si>
  <si>
    <t>toxine</t>
  </si>
  <si>
    <t>cause sacrée</t>
  </si>
  <si>
    <t>robu (fiche)</t>
  </si>
  <si>
    <t>force des cieux</t>
  </si>
  <si>
    <t>vertu</t>
  </si>
  <si>
    <t>insurmontable</t>
  </si>
  <si>
    <t>fanatisme</t>
  </si>
  <si>
    <t>indestructible</t>
  </si>
  <si>
    <t>hargneux</t>
  </si>
  <si>
    <t>forteresse divine</t>
  </si>
  <si>
    <t>inflexible</t>
  </si>
  <si>
    <t>vierge de fer</t>
  </si>
  <si>
    <t>renouveau</t>
  </si>
  <si>
    <t>opulence</t>
  </si>
  <si>
    <t>contondance</t>
  </si>
  <si>
    <t>bouclier inné</t>
  </si>
  <si>
    <t>Tant que vous maniez une arme à une main, votre vitesse d’attaque est augmentée de 15% et tous les temps de recharge sont réduits de 15%.</t>
  </si>
  <si>
    <t>Votre régénération de vie est augmentée de 2682. Les dégâts non physiques reçus sont réduits de 20%.</t>
  </si>
  <si>
    <t>Vous pouvez utiliser une arme à deux mains tout en utilisant un bouclier dans votre main gauche.  Les dégâts que vous infligez sont réduits de 20%</t>
  </si>
  <si>
    <t>Vos compétences de base génèrent 3 point de colère supplémentaire.  Augmente votre maximum de colère de 30.</t>
  </si>
  <si>
    <t>Bloquer une attaque génère 6 point de colère.</t>
  </si>
  <si>
    <t>Augmente la vitesse d’attaque de Correction, Cautère, Expiation et Justice de 15%.</t>
  </si>
  <si>
    <t>Plutôt que de mourir lorsque vous subissez des dégâts qui devraient vous tuer, vous devenez insensible aux dégâts, ceux que vous infligez sont augmentés de 35% et vous obtenez 107284 Vie par victime pendant 5 secondes.  Cet effet ne peut se produire plus d’une fois toutes les 60 secondes.</t>
  </si>
  <si>
    <t>Augmente le montant de dégâts infligés par votre arme de 10%.  Chaque fois que vous infligez des dégâts sacrés, vous récupérez jusqu’à 1% de vos points de vie totaux.</t>
  </si>
  <si>
    <t>Chaque point de colère dépensé vous rend 1341 point de vie.  Le montant de soins est augmenté de 1% de votre bonus de guérison par les globes de vie.</t>
  </si>
  <si>
    <t>Votre armure est augmentée d’un pourcentage égal aux chances de bloquer de votre bouclier.</t>
  </si>
  <si>
    <t>Le temps de recharge de Charge de destrier est réduit de 25%, et celui de Grêle de 35%.  Les dégâts infligés par Phalange sont augmentés de 20%.</t>
  </si>
  <si>
    <t>Vous ne pouvez plus esquiver, mais vos chances de bloquer sont augmentées de 15%.</t>
  </si>
  <si>
    <t>La durée des effets de toutes vos lois est prolongée de 5 secondes.</t>
  </si>
  <si>
    <t>Vos dégâts d’épines augmentent de 50%.</t>
  </si>
  <si>
    <t>Chaque fois que vous bloquez une attaque, vous recevez 16093 points de vie.</t>
  </si>
  <si>
    <t>Votre force augmente de 1,5% pour chaque gemme enchâssée dans votre équipement.</t>
  </si>
  <si>
    <t>Augmente les dégâts infligés par Justice et Marteau béni de 20%.</t>
  </si>
  <si>
    <t>Augmente les dégâts de Correction, Coup de bouclier et Bouclier divin de 20%.  Réduit le temps de recharge d’Éblouissement de 30%.</t>
  </si>
  <si>
    <t>mirinae</t>
  </si>
  <si>
    <t xml:space="preserve"> zei</t>
  </si>
  <si>
    <t>thésauriseur</t>
  </si>
  <si>
    <t>dgt de zone</t>
  </si>
  <si>
    <t>(all rés)</t>
  </si>
  <si>
    <t>vitesse</t>
  </si>
  <si>
    <t>rugissement</t>
  </si>
  <si>
    <t>vélocité</t>
  </si>
  <si>
    <t>renaissance</t>
  </si>
  <si>
    <t>riposte</t>
  </si>
  <si>
    <t>intuition</t>
  </si>
  <si>
    <t>electrode</t>
  </si>
  <si>
    <t>amplitude</t>
  </si>
  <si>
    <t>ecrasement</t>
  </si>
  <si>
    <t>zele</t>
  </si>
  <si>
    <t>cerbere</t>
  </si>
  <si>
    <t>segment</t>
  </si>
  <si>
    <t>entrave</t>
  </si>
  <si>
    <t>propagation</t>
  </si>
  <si>
    <t>moisson</t>
  </si>
  <si>
    <t>destin partage</t>
  </si>
  <si>
    <t>saillie</t>
  </si>
  <si>
    <t>fission</t>
  </si>
  <si>
    <t>marteau guide</t>
  </si>
  <si>
    <t>glaive de justice</t>
  </si>
  <si>
    <t>trait sacre</t>
  </si>
  <si>
    <t>verdict divin</t>
  </si>
  <si>
    <t>incertitude</t>
  </si>
  <si>
    <t>épiphanie</t>
  </si>
  <si>
    <t>bouclier blasonné</t>
  </si>
  <si>
    <t>déroute</t>
  </si>
  <si>
    <t>impédance</t>
  </si>
  <si>
    <t>alliage</t>
  </si>
  <si>
    <t>peau explosive</t>
  </si>
  <si>
    <t>surchage</t>
  </si>
  <si>
    <t>ubiquité</t>
  </si>
  <si>
    <t>bain de lumière</t>
  </si>
  <si>
    <t>froidure</t>
  </si>
  <si>
    <t>égide purgatoriale</t>
  </si>
  <si>
    <t>terre hostile</t>
  </si>
  <si>
    <t>répulsion</t>
  </si>
  <si>
    <t>mortification</t>
  </si>
  <si>
    <t>punition collective</t>
  </si>
  <si>
    <t>délibération</t>
  </si>
  <si>
    <t>détermination</t>
  </si>
  <si>
    <t>ascèse</t>
  </si>
  <si>
    <t>fuite salutaire</t>
  </si>
  <si>
    <t>figé sur place</t>
  </si>
  <si>
    <t>surtention</t>
  </si>
  <si>
    <t>faites-moi mal</t>
  </si>
  <si>
    <t>triple galop</t>
  </si>
  <si>
    <t>sabots de feu</t>
  </si>
  <si>
    <t>jouvence</t>
  </si>
  <si>
    <t>destrier de fond</t>
  </si>
  <si>
    <t>claie d'infamie</t>
  </si>
  <si>
    <t>aspiration</t>
  </si>
  <si>
    <t>sur-le-champ</t>
  </si>
  <si>
    <t>représailles éternelles</t>
  </si>
  <si>
    <t>magnitude</t>
  </si>
  <si>
    <t>rétorsion</t>
  </si>
  <si>
    <t>invincible</t>
  </si>
  <si>
    <t>tétanisation</t>
  </si>
  <si>
    <t>exaucement</t>
  </si>
  <si>
    <t>altruisme</t>
  </si>
  <si>
    <t>monolithe</t>
  </si>
  <si>
    <t>armure de foi</t>
  </si>
  <si>
    <t>débilitation</t>
  </si>
  <si>
    <t>témérité</t>
  </si>
  <si>
    <t>surchaffe</t>
  </si>
  <si>
    <t>éclaircie</t>
  </si>
  <si>
    <t>levée fraternelle</t>
  </si>
  <si>
    <t>retombée rapide</t>
  </si>
  <si>
    <t>ceinture de lames</t>
  </si>
  <si>
    <t>boutefeu</t>
  </si>
  <si>
    <t>puissance incarnée</t>
  </si>
  <si>
    <t>mobilisation</t>
  </si>
  <si>
    <t>émulation</t>
  </si>
  <si>
    <t>promptitude</t>
  </si>
  <si>
    <t>espoir éternel</t>
  </si>
  <si>
    <t>cri d'espoir</t>
  </si>
  <si>
    <t>béatitude</t>
  </si>
  <si>
    <t>profession de foi</t>
  </si>
  <si>
    <t>un ange passe</t>
  </si>
  <si>
    <t>vie/coup</t>
  </si>
  <si>
    <t>loi</t>
  </si>
  <si>
    <t>champ.</t>
  </si>
  <si>
    <t xml:space="preserve">correction </t>
  </si>
  <si>
    <t xml:space="preserve">cautère </t>
  </si>
  <si>
    <t xml:space="preserve">expiation </t>
  </si>
  <si>
    <t xml:space="preserve">justice </t>
  </si>
  <si>
    <t xml:space="preserve">éblouissement </t>
  </si>
  <si>
    <t xml:space="preserve">sacre </t>
  </si>
  <si>
    <t xml:space="preserve">jugement </t>
  </si>
  <si>
    <t xml:space="preserve">persiflage </t>
  </si>
  <si>
    <t xml:space="preserve">charge de destrier </t>
  </si>
  <si>
    <t xml:space="preserve">blâme </t>
  </si>
  <si>
    <t xml:space="preserve">lois de la vaillance </t>
  </si>
  <si>
    <t xml:space="preserve">lois de la justice </t>
  </si>
  <si>
    <t xml:space="preserve">loi de l'espoir </t>
  </si>
  <si>
    <t xml:space="preserve">couperet </t>
  </si>
  <si>
    <t xml:space="preserve">champion d'akarat </t>
  </si>
  <si>
    <t>champion_d_akarat</t>
  </si>
  <si>
    <t>lois_de_la_vaillance</t>
  </si>
  <si>
    <t>lois_de_la_justice</t>
  </si>
  <si>
    <t>loi_de_l_espoir</t>
  </si>
  <si>
    <t>(réduc nn-physique)</t>
  </si>
  <si>
    <t>charge_de_destrier</t>
  </si>
  <si>
    <t>passif 1</t>
  </si>
  <si>
    <t>passif 2</t>
  </si>
  <si>
    <t>passif 3</t>
  </si>
  <si>
    <t>passif 4</t>
  </si>
  <si>
    <t>passif 5</t>
  </si>
  <si>
    <t>nombre de gemmes</t>
  </si>
  <si>
    <t>gemme 1</t>
  </si>
  <si>
    <t>gemme 2</t>
  </si>
  <si>
    <t>gemme 3</t>
  </si>
  <si>
    <t>(bonus multiplicatifs)</t>
  </si>
  <si>
    <t>DPS (effecif)</t>
  </si>
  <si>
    <t>robu (effective)</t>
  </si>
  <si>
    <t>% marteau béni</t>
  </si>
  <si>
    <t>proc garde de johanna</t>
  </si>
  <si>
    <t>% dgt</t>
  </si>
  <si>
    <t>%dgt buffé</t>
  </si>
  <si>
    <t>niveau de gemmes</t>
  </si>
  <si>
    <t>moyenne dgt</t>
  </si>
  <si>
    <t>dgt/cast</t>
  </si>
  <si>
    <t>proc conclave des éléments</t>
  </si>
  <si>
    <t>argument de johanna</t>
  </si>
  <si>
    <t>eDPS</t>
  </si>
  <si>
    <t>marteau béni - colère noire</t>
  </si>
  <si>
    <t>marteau béni - polarité</t>
  </si>
  <si>
    <t>marteau béni - perpétuité</t>
  </si>
  <si>
    <t>marteau béni - pics de glace</t>
  </si>
  <si>
    <t>marteau béni - sujétion</t>
  </si>
  <si>
    <t>bastion de la volonté</t>
  </si>
  <si>
    <t>(réduc dgt)</t>
  </si>
  <si>
    <t>mitigation e.</t>
  </si>
  <si>
    <t>unicité</t>
  </si>
  <si>
    <t>anneau du zodiac obsidienne</t>
  </si>
  <si>
    <t>% uptime</t>
  </si>
  <si>
    <t>(bonus dgt boss)</t>
  </si>
  <si>
    <t>uptime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</si>
</sst>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0.0"/>
    <numFmt numFmtId="165" formatCode="0.000000%"/>
    <numFmt numFmtId="166" formatCode="_-* #,##0\ _€_-;\-* #,##0\ _€_-;_-* &quot;-&quot;??\ _€_-;_-@_-"/>
    <numFmt numFmtId="167" formatCode="0.0%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8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B7B7"/>
        <bgColor rgb="FFB7B7B7"/>
      </patternFill>
    </fill>
    <fill>
      <patternFill patternType="solid">
        <fgColor rgb="FFF9CB9C"/>
        <bgColor rgb="FFF9CB9C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E06666"/>
        <bgColor rgb="FFE06666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00FF00"/>
        <bgColor rgb="FF00FF00"/>
      </patternFill>
    </fill>
    <fill>
      <patternFill patternType="solid">
        <fgColor rgb="FFF3F3F3"/>
        <bgColor rgb="FFF3F3F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4" xfId="0" applyFill="1" applyBorder="1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2" borderId="4" xfId="0" applyFill="1" applyBorder="1"/>
    <xf numFmtId="0" fontId="4" fillId="0" borderId="10" xfId="0" applyFont="1" applyBorder="1"/>
    <xf numFmtId="0" fontId="0" fillId="0" borderId="10" xfId="0" applyBorder="1" applyAlignment="1"/>
    <xf numFmtId="0" fontId="0" fillId="0" borderId="10" xfId="0" applyBorder="1" applyAlignment="1">
      <alignment horizontal="right"/>
    </xf>
    <xf numFmtId="0" fontId="0" fillId="0" borderId="9" xfId="0" applyBorder="1"/>
    <xf numFmtId="0" fontId="4" fillId="0" borderId="9" xfId="0" applyFont="1" applyBorder="1"/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/>
    <xf numFmtId="0" fontId="0" fillId="3" borderId="2" xfId="0" applyFill="1" applyBorder="1" applyAlignment="1"/>
    <xf numFmtId="0" fontId="0" fillId="0" borderId="1" xfId="0" applyBorder="1"/>
    <xf numFmtId="0" fontId="0" fillId="3" borderId="9" xfId="0" applyFill="1" applyBorder="1" applyAlignment="1">
      <alignment horizontal="right"/>
    </xf>
    <xf numFmtId="0" fontId="0" fillId="3" borderId="11" xfId="0" applyFill="1" applyBorder="1" applyAlignment="1"/>
    <xf numFmtId="0" fontId="2" fillId="4" borderId="7" xfId="0" applyFont="1" applyFill="1" applyBorder="1" applyAlignment="1"/>
    <xf numFmtId="0" fontId="2" fillId="4" borderId="8" xfId="0" applyFont="1" applyFill="1" applyBorder="1"/>
    <xf numFmtId="0" fontId="0" fillId="4" borderId="12" xfId="0" applyFill="1" applyBorder="1" applyAlignment="1"/>
    <xf numFmtId="0" fontId="2" fillId="5" borderId="7" xfId="0" applyFont="1" applyFill="1" applyBorder="1" applyAlignment="1"/>
    <xf numFmtId="0" fontId="2" fillId="5" borderId="8" xfId="0" applyFont="1" applyFill="1" applyBorder="1"/>
    <xf numFmtId="0" fontId="0" fillId="5" borderId="13" xfId="0" applyFill="1" applyBorder="1" applyAlignment="1"/>
    <xf numFmtId="0" fontId="9" fillId="7" borderId="12" xfId="0" applyFont="1" applyFill="1" applyBorder="1" applyAlignment="1"/>
    <xf numFmtId="0" fontId="0" fillId="0" borderId="2" xfId="0" applyBorder="1"/>
    <xf numFmtId="0" fontId="0" fillId="2" borderId="0" xfId="0" applyFill="1"/>
    <xf numFmtId="1" fontId="0" fillId="0" borderId="0" xfId="0" applyNumberFormat="1"/>
    <xf numFmtId="43" fontId="0" fillId="0" borderId="0" xfId="1" applyFont="1"/>
    <xf numFmtId="165" fontId="0" fillId="0" borderId="0" xfId="5" applyNumberFormat="1" applyFont="1"/>
    <xf numFmtId="43" fontId="0" fillId="0" borderId="0" xfId="1" applyFont="1" applyAlignment="1"/>
    <xf numFmtId="0" fontId="0" fillId="0" borderId="0" xfId="0" applyFill="1" applyBorder="1"/>
    <xf numFmtId="0" fontId="0" fillId="0" borderId="0" xfId="0" applyFill="1"/>
    <xf numFmtId="0" fontId="0" fillId="0" borderId="0" xfId="3" applyFont="1"/>
    <xf numFmtId="0" fontId="2" fillId="0" borderId="0" xfId="3"/>
    <xf numFmtId="0" fontId="2" fillId="0" borderId="0" xfId="3" applyAlignment="1"/>
    <xf numFmtId="0" fontId="2" fillId="0" borderId="0" xfId="3" applyAlignment="1">
      <alignment horizontal="left"/>
    </xf>
    <xf numFmtId="0" fontId="12" fillId="0" borderId="0" xfId="2" applyFont="1"/>
    <xf numFmtId="0" fontId="0" fillId="0" borderId="0" xfId="0" applyBorder="1" applyAlignment="1"/>
    <xf numFmtId="1" fontId="0" fillId="0" borderId="0" xfId="0" applyNumberFormat="1" applyFont="1" applyBorder="1" applyAlignment="1"/>
    <xf numFmtId="1" fontId="0" fillId="0" borderId="0" xfId="0" applyNumberFormat="1" applyFont="1" applyBorder="1" applyAlignment="1">
      <alignment horizontal="right"/>
    </xf>
    <xf numFmtId="0" fontId="7" fillId="0" borderId="0" xfId="0" applyFont="1"/>
    <xf numFmtId="2" fontId="0" fillId="0" borderId="0" xfId="0" applyNumberFormat="1"/>
    <xf numFmtId="0" fontId="0" fillId="0" borderId="2" xfId="0" applyFill="1" applyBorder="1"/>
    <xf numFmtId="0" fontId="0" fillId="12" borderId="0" xfId="0" applyFill="1" applyBorder="1"/>
    <xf numFmtId="0" fontId="0" fillId="12" borderId="4" xfId="0" applyFill="1" applyBorder="1"/>
    <xf numFmtId="0" fontId="0" fillId="12" borderId="2" xfId="0" applyFill="1" applyBorder="1"/>
    <xf numFmtId="0" fontId="0" fillId="12" borderId="1" xfId="0" applyFill="1" applyBorder="1"/>
    <xf numFmtId="0" fontId="0" fillId="0" borderId="1" xfId="0" applyFill="1" applyBorder="1"/>
    <xf numFmtId="0" fontId="0" fillId="0" borderId="0" xfId="0" applyFont="1" applyFill="1" applyBorder="1" applyAlignment="1"/>
    <xf numFmtId="0" fontId="13" fillId="0" borderId="0" xfId="0" applyFont="1" applyFill="1" applyBorder="1" applyAlignment="1"/>
    <xf numFmtId="0" fontId="0" fillId="0" borderId="0" xfId="3" applyFont="1" applyAlignment="1"/>
    <xf numFmtId="43" fontId="0" fillId="0" borderId="0" xfId="6" applyFont="1"/>
    <xf numFmtId="0" fontId="0" fillId="2" borderId="4" xfId="0" applyFill="1" applyBorder="1" applyAlignment="1"/>
    <xf numFmtId="0" fontId="0" fillId="2" borderId="3" xfId="0" applyFill="1" applyBorder="1"/>
    <xf numFmtId="0" fontId="0" fillId="12" borderId="0" xfId="0" applyFill="1"/>
    <xf numFmtId="10" fontId="0" fillId="0" borderId="0" xfId="7" applyNumberFormat="1" applyFont="1"/>
    <xf numFmtId="166" fontId="2" fillId="13" borderId="0" xfId="6" applyNumberFormat="1" applyFont="1" applyFill="1"/>
    <xf numFmtId="9" fontId="0" fillId="0" borderId="0" xfId="7" applyFont="1"/>
    <xf numFmtId="9" fontId="2" fillId="0" borderId="0" xfId="7"/>
    <xf numFmtId="167" fontId="0" fillId="0" borderId="0" xfId="7" applyNumberFormat="1" applyFont="1"/>
    <xf numFmtId="43" fontId="0" fillId="0" borderId="0" xfId="0" applyNumberFormat="1"/>
    <xf numFmtId="0" fontId="0" fillId="0" borderId="1" xfId="0" applyBorder="1"/>
    <xf numFmtId="166" fontId="0" fillId="14" borderId="0" xfId="6" applyNumberFormat="1" applyFont="1" applyFill="1"/>
    <xf numFmtId="166" fontId="2" fillId="14" borderId="0" xfId="6" applyNumberFormat="1" applyFont="1" applyFill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center" vertical="center" textRotation="30"/>
    </xf>
    <xf numFmtId="0" fontId="0" fillId="0" borderId="1" xfId="0" applyBorder="1" applyAlignment="1">
      <alignment horizontal="center" vertical="center" textRotation="30"/>
    </xf>
    <xf numFmtId="0" fontId="0" fillId="0" borderId="0" xfId="0" applyFont="1" applyBorder="1" applyAlignment="1">
      <alignment horizontal="center" vertical="center" textRotation="30"/>
    </xf>
    <xf numFmtId="0" fontId="0" fillId="0" borderId="1" xfId="0" applyFont="1" applyBorder="1" applyAlignment="1">
      <alignment horizontal="center" vertical="center" textRotation="30"/>
    </xf>
    <xf numFmtId="0" fontId="0" fillId="0" borderId="4" xfId="0" applyBorder="1" applyAlignment="1">
      <alignment horizontal="center" vertical="center" textRotation="30"/>
    </xf>
    <xf numFmtId="0" fontId="0" fillId="0" borderId="2" xfId="0" applyBorder="1" applyAlignment="1">
      <alignment horizontal="center" vertical="center" textRotation="3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0" borderId="7" xfId="0" applyBorder="1"/>
    <xf numFmtId="0" fontId="0" fillId="6" borderId="8" xfId="0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0" fillId="0" borderId="1" xfId="0" applyBorder="1"/>
    <xf numFmtId="0" fontId="2" fillId="10" borderId="15" xfId="0" applyFont="1" applyFill="1" applyBorder="1" applyAlignment="1">
      <alignment horizontal="center"/>
    </xf>
    <xf numFmtId="0" fontId="0" fillId="0" borderId="2" xfId="0" applyBorder="1"/>
    <xf numFmtId="0" fontId="2" fillId="6" borderId="8" xfId="0" applyFont="1" applyFill="1" applyBorder="1" applyAlignment="1">
      <alignment horizontal="center"/>
    </xf>
    <xf numFmtId="0" fontId="0" fillId="0" borderId="6" xfId="0" applyBorder="1"/>
    <xf numFmtId="0" fontId="3" fillId="9" borderId="14" xfId="0" applyFont="1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6" fillId="11" borderId="14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0" fillId="0" borderId="16" xfId="0" applyBorder="1"/>
    <xf numFmtId="0" fontId="0" fillId="0" borderId="3" xfId="0" applyBorder="1"/>
    <xf numFmtId="164" fontId="8" fillId="5" borderId="6" xfId="0" applyNumberFormat="1" applyFont="1" applyFill="1" applyBorder="1" applyAlignment="1">
      <alignment horizontal="center"/>
    </xf>
    <xf numFmtId="164" fontId="8" fillId="4" borderId="6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164" fontId="11" fillId="8" borderId="9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66" fontId="0" fillId="0" borderId="0" xfId="6" applyNumberFormat="1" applyFont="1"/>
    <xf numFmtId="9" fontId="0" fillId="0" borderId="1" xfId="7" applyFont="1" applyBorder="1"/>
    <xf numFmtId="2" fontId="0" fillId="0" borderId="1" xfId="0" applyNumberFormat="1" applyBorder="1"/>
    <xf numFmtId="0" fontId="0" fillId="0" borderId="20" xfId="0" applyBorder="1"/>
    <xf numFmtId="0" fontId="0" fillId="0" borderId="18" xfId="0" applyBorder="1"/>
    <xf numFmtId="0" fontId="0" fillId="0" borderId="21" xfId="0" applyBorder="1"/>
    <xf numFmtId="0" fontId="0" fillId="0" borderId="19" xfId="0" applyBorder="1"/>
  </cellXfs>
  <cellStyles count="8">
    <cellStyle name="Milliers" xfId="6" builtinId="3"/>
    <cellStyle name="Milliers 2" xfId="1"/>
    <cellStyle name="Normal" xfId="0" builtinId="0"/>
    <cellStyle name="Normal 2" xfId="2"/>
    <cellStyle name="Normal 2 2" xfId="3"/>
    <cellStyle name="Pourcentage" xfId="7" builtinId="5"/>
    <cellStyle name="Pourcentage 2" xfId="4"/>
    <cellStyle name="Pourcentage 2 2" xf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ury/AppData/Roaming/Microsoft/Excel/dps%202.3%20-%20crois&#2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tistiques"/>
      <sheetName val="mappeur (objets)"/>
      <sheetName val="mappeur (paragons)"/>
      <sheetName val="reroll arme"/>
      <sheetName val="robustesse"/>
      <sheetName val="cdr et rcr"/>
      <sheetName val="eDPS sorts"/>
      <sheetName val="infos sorts"/>
      <sheetName val="Data"/>
      <sheetName val="effets légendaires"/>
      <sheetName val="gemmes légendaires"/>
    </sheetNames>
    <sheetDataSet>
      <sheetData sheetId="0" refreshError="1"/>
      <sheetData sheetId="1">
        <row r="6">
          <cell r="B6">
            <v>876</v>
          </cell>
        </row>
      </sheetData>
      <sheetData sheetId="2">
        <row r="4">
          <cell r="C4">
            <v>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L1" t="str">
            <v>Max Regular Bonus</v>
          </cell>
          <cell r="M1" t="str">
            <v>Max Ancient Bonus</v>
          </cell>
        </row>
        <row r="2">
          <cell r="A2" t="str">
            <v>Masse (1m)</v>
          </cell>
          <cell r="D2">
            <v>1.2</v>
          </cell>
          <cell r="K2">
            <v>450.5</v>
          </cell>
          <cell r="L2">
            <v>1344.5</v>
          </cell>
          <cell r="M2">
            <v>1750</v>
          </cell>
        </row>
        <row r="3">
          <cell r="A3" t="str">
            <v>Masse (2m)</v>
          </cell>
          <cell r="D3">
            <v>1</v>
          </cell>
          <cell r="K3">
            <v>1824.5</v>
          </cell>
          <cell r="L3">
            <v>1613.5</v>
          </cell>
          <cell r="M3">
            <v>2097.5</v>
          </cell>
        </row>
        <row r="4">
          <cell r="A4" t="str">
            <v>Hache (2m)</v>
          </cell>
          <cell r="D4">
            <v>1.1000000000000001</v>
          </cell>
          <cell r="K4">
            <v>1534.5</v>
          </cell>
          <cell r="L4">
            <v>1613.5</v>
          </cell>
          <cell r="M4">
            <v>2097.5</v>
          </cell>
        </row>
        <row r="5">
          <cell r="A5" t="str">
            <v>Epée (2m)</v>
          </cell>
          <cell r="D5">
            <v>1.1499999999999999</v>
          </cell>
          <cell r="K5">
            <v>1419.5</v>
          </cell>
          <cell r="L5">
            <v>1613.5</v>
          </cell>
          <cell r="M5">
            <v>2097.5</v>
          </cell>
        </row>
        <row r="6">
          <cell r="A6" t="str">
            <v>Fléau (1m)</v>
          </cell>
          <cell r="D6">
            <v>1.4</v>
          </cell>
          <cell r="K6">
            <v>273.5</v>
          </cell>
          <cell r="L6">
            <v>1344.5</v>
          </cell>
          <cell r="M6">
            <v>1750</v>
          </cell>
        </row>
        <row r="7">
          <cell r="A7" t="str">
            <v>Fléau (2m)</v>
          </cell>
          <cell r="D7">
            <v>1.1499999999999999</v>
          </cell>
          <cell r="K7">
            <v>1418.5</v>
          </cell>
          <cell r="L7">
            <v>1613.5</v>
          </cell>
          <cell r="M7">
            <v>2097.5</v>
          </cell>
        </row>
        <row r="8">
          <cell r="A8" t="str">
            <v>Hache (1m)</v>
          </cell>
          <cell r="D8">
            <v>1.3</v>
          </cell>
          <cell r="K8">
            <v>355</v>
          </cell>
          <cell r="L8">
            <v>1344.5</v>
          </cell>
          <cell r="M8">
            <v>1750</v>
          </cell>
        </row>
        <row r="9">
          <cell r="A9" t="str">
            <v>Epée (1m)</v>
          </cell>
          <cell r="D9">
            <v>1.4</v>
          </cell>
          <cell r="K9">
            <v>280</v>
          </cell>
          <cell r="L9">
            <v>1344.5</v>
          </cell>
          <cell r="M9">
            <v>1750</v>
          </cell>
        </row>
        <row r="10">
          <cell r="A10" t="str">
            <v>Dague (1m)</v>
          </cell>
          <cell r="D10">
            <v>1.5</v>
          </cell>
          <cell r="K10">
            <v>214</v>
          </cell>
          <cell r="L10">
            <v>1344.5</v>
          </cell>
          <cell r="M10">
            <v>1532.5</v>
          </cell>
        </row>
        <row r="11">
          <cell r="A11" t="str">
            <v>Lance (1m)</v>
          </cell>
          <cell r="D11">
            <v>1.2</v>
          </cell>
          <cell r="K11">
            <v>439.5</v>
          </cell>
          <cell r="L11">
            <v>1344.5</v>
          </cell>
          <cell r="M11">
            <v>1750</v>
          </cell>
        </row>
        <row r="12">
          <cell r="A12" t="str">
            <v>Arme d'hast (2m)</v>
          </cell>
          <cell r="D12">
            <v>1.05</v>
          </cell>
          <cell r="K12">
            <v>1660</v>
          </cell>
          <cell r="L12">
            <v>1613.5</v>
          </cell>
          <cell r="M12">
            <v>2097.5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4"/>
  <sheetViews>
    <sheetView workbookViewId="0">
      <selection activeCell="I14" sqref="I14"/>
    </sheetView>
  </sheetViews>
  <sheetFormatPr baseColWidth="10" defaultRowHeight="12.75"/>
  <cols>
    <col min="1" max="1" width="18.140625" bestFit="1" customWidth="1"/>
    <col min="2" max="2" width="14.42578125" bestFit="1" customWidth="1"/>
    <col min="3" max="3" width="3.5703125" customWidth="1"/>
    <col min="4" max="4" width="11.28515625" bestFit="1" customWidth="1"/>
    <col min="5" max="5" width="19" bestFit="1" customWidth="1"/>
    <col min="6" max="6" width="16.7109375" bestFit="1" customWidth="1"/>
    <col min="7" max="7" width="3.5703125" customWidth="1"/>
    <col min="8" max="8" width="19.42578125" bestFit="1" customWidth="1"/>
    <col min="9" max="9" width="18.140625" customWidth="1"/>
    <col min="10" max="10" width="6.5703125" bestFit="1" customWidth="1"/>
    <col min="11" max="11" width="20.7109375" bestFit="1" customWidth="1"/>
    <col min="12" max="12" width="29.140625" bestFit="1" customWidth="1"/>
    <col min="15" max="15" width="20" bestFit="1" customWidth="1"/>
    <col min="16" max="16" width="18.42578125" bestFit="1" customWidth="1"/>
  </cols>
  <sheetData>
    <row r="1" spans="1:18">
      <c r="A1" t="s">
        <v>15</v>
      </c>
      <c r="B1" s="43">
        <f>(217+SUM('mappeur (objets)'!B6:N6)+'mappeur (paragons)'!C4)*(1+IF(OR(E10="opulence",E11="opulence",E12="opulence",E13="opulence",E14="opulence"),0.015*'mappeur (objets)'!B39,0))</f>
        <v>12259.135</v>
      </c>
      <c r="H1" t="s">
        <v>562</v>
      </c>
      <c r="I1" t="s">
        <v>565</v>
      </c>
      <c r="J1" t="s">
        <v>578</v>
      </c>
    </row>
    <row r="2" spans="1:18">
      <c r="A2" t="s">
        <v>390</v>
      </c>
      <c r="B2">
        <f>77+SUM('mappeur (objets)'!B7:N7)</f>
        <v>77</v>
      </c>
      <c r="D2" t="s">
        <v>402</v>
      </c>
      <c r="E2" t="s">
        <v>183</v>
      </c>
      <c r="F2" t="s">
        <v>399</v>
      </c>
      <c r="H2" s="68">
        <f>VLOOKUP(F2,Feuil5!A16:I133,8,FALSE)</f>
        <v>553949172.51415312</v>
      </c>
      <c r="I2" s="68">
        <f>VLOOKUP(F2,Feuil5!A16:I133,9,FALSE)</f>
        <v>2160401772.8051972</v>
      </c>
      <c r="J2" s="74">
        <f>VLOOKUP(F2,Feuil5!A16:I133,5,FALSE)</f>
        <v>0</v>
      </c>
    </row>
    <row r="3" spans="1:18">
      <c r="A3" t="s">
        <v>17</v>
      </c>
      <c r="B3">
        <f>77+SUM('mappeur (objets)'!B8:N8)</f>
        <v>77</v>
      </c>
      <c r="D3" t="s">
        <v>391</v>
      </c>
      <c r="E3" t="s">
        <v>312</v>
      </c>
      <c r="F3" t="s">
        <v>509</v>
      </c>
      <c r="H3" s="68">
        <f>VLOOKUP(F3,Feuil5!A16:I133,8,FALSE)</f>
        <v>580753164.73257983</v>
      </c>
      <c r="I3" s="68">
        <f>VLOOKUP(F3,Feuil5!A16:I133,9,FALSE)</f>
        <v>109197092.59631196</v>
      </c>
      <c r="J3" s="74">
        <f>VLOOKUP(F3,Feuil5!A16:I133,5,FALSE)</f>
        <v>0.7091192032368504</v>
      </c>
    </row>
    <row r="4" spans="1:18">
      <c r="A4" t="s">
        <v>49</v>
      </c>
      <c r="B4">
        <f>147+SUM('mappeur (objets)'!B9:N9)+'mappeur (paragons)'!C6</f>
        <v>5026</v>
      </c>
      <c r="D4" t="s">
        <v>392</v>
      </c>
      <c r="E4" t="s">
        <v>240</v>
      </c>
      <c r="F4" t="s">
        <v>484</v>
      </c>
      <c r="H4" s="68">
        <f>VLOOKUP(F4,Feuil5!A16:I133,8,FALSE)</f>
        <v>0</v>
      </c>
      <c r="I4">
        <f>VLOOKUP(F4,Feuil5!A16:I133,9,FALSE)</f>
        <v>0</v>
      </c>
      <c r="J4" s="74">
        <f>VLOOKUP(F4,Feuil5!A16:I133,5,FALSE)</f>
        <v>0.53183940242763772</v>
      </c>
    </row>
    <row r="5" spans="1:18">
      <c r="D5" t="s">
        <v>393</v>
      </c>
      <c r="E5" t="s">
        <v>203</v>
      </c>
      <c r="F5" t="s">
        <v>469</v>
      </c>
      <c r="H5" s="68">
        <f>VLOOKUP(F5,Feuil5!A16:I133,8,FALSE)</f>
        <v>0</v>
      </c>
      <c r="I5">
        <f>VLOOKUP(F5,Feuil5!A16:I133,9,FALSE)</f>
        <v>0</v>
      </c>
      <c r="J5" s="74">
        <f>VLOOKUP(F5,Feuil5!A16:I133,5,FALSE)</f>
        <v>0.62047930283224406</v>
      </c>
    </row>
    <row r="6" spans="1:18">
      <c r="A6" t="s">
        <v>389</v>
      </c>
      <c r="B6" s="73">
        <f>((SUM('mappeur (objets)'!B24:N24)+SUM('mappeur (objets)'!B25:N25))/2)*(1+bonusforce)*bonuscomp*build!B17*(1+(build!B19/100)*(build!B20/100))</f>
        <v>3817182.3819816113</v>
      </c>
      <c r="D6" t="s">
        <v>521</v>
      </c>
      <c r="E6" t="s">
        <v>539</v>
      </c>
      <c r="F6" t="s">
        <v>360</v>
      </c>
      <c r="G6" s="57" t="b">
        <v>1</v>
      </c>
      <c r="J6" s="74">
        <f>VLOOKUP(F6,Feuil5!A16:I133,5,FALSE)</f>
        <v>0.44319950202303149</v>
      </c>
    </row>
    <row r="7" spans="1:18">
      <c r="A7" t="s">
        <v>554</v>
      </c>
      <c r="B7" s="79">
        <f>((SUM('mappeur (objets)'!B24:N24)+SUM('mappeur (objets)'!B25:N25))/2)*(1+bonusforce)*bonuscomp*build!B17*(1+(build!B19/100)*(build!B20/100))*multiplicatif*(1+élément)</f>
        <v>8954560.1938658543</v>
      </c>
      <c r="D7" t="s">
        <v>522</v>
      </c>
      <c r="E7" t="str">
        <f>Feuil5!P1</f>
        <v>champion_d_akarat</v>
      </c>
      <c r="F7" t="s">
        <v>513</v>
      </c>
      <c r="G7" s="57" t="b">
        <v>1</v>
      </c>
      <c r="H7" s="68">
        <f>VLOOKUP(F7,Feuil5!A16:I133,8,FALSE)</f>
        <v>0</v>
      </c>
      <c r="I7" s="68">
        <f>VLOOKUP(F7,Feuil5!A16:I133,9,FALSE)</f>
        <v>0</v>
      </c>
      <c r="J7" s="74">
        <f>VLOOKUP(F7,Feuil5!A16:I133,5,FALSE)</f>
        <v>0.59093266936404198</v>
      </c>
    </row>
    <row r="8" spans="1:18">
      <c r="A8" t="s">
        <v>405</v>
      </c>
      <c r="B8" s="73">
        <f>$B$38*(1/(1-Feuil5!B10))</f>
        <v>46051890.296554364</v>
      </c>
      <c r="O8" s="67"/>
      <c r="P8" s="67"/>
      <c r="R8" s="67"/>
    </row>
    <row r="9" spans="1:18">
      <c r="A9" t="s">
        <v>555</v>
      </c>
      <c r="B9" s="80">
        <f>$B$38*(1/(1-Feuil5!B11))</f>
        <v>184207561.1862199</v>
      </c>
    </row>
    <row r="10" spans="1:18">
      <c r="A10" t="s">
        <v>388</v>
      </c>
      <c r="B10" s="73">
        <f>(B40+B41*B17)*1/(1-Feuil5!B10)</f>
        <v>933012.89131078986</v>
      </c>
      <c r="D10" t="s">
        <v>544</v>
      </c>
      <c r="E10" t="s">
        <v>379</v>
      </c>
    </row>
    <row r="11" spans="1:18">
      <c r="D11" t="s">
        <v>545</v>
      </c>
      <c r="E11" t="s">
        <v>404</v>
      </c>
    </row>
    <row r="12" spans="1:18">
      <c r="A12" t="s">
        <v>386</v>
      </c>
      <c r="B12" s="74">
        <f>B1/100</f>
        <v>122.59135000000001</v>
      </c>
      <c r="D12" t="s">
        <v>546</v>
      </c>
      <c r="E12" t="s">
        <v>416</v>
      </c>
    </row>
    <row r="13" spans="1:18">
      <c r="A13" t="s">
        <v>387</v>
      </c>
      <c r="B13" s="74">
        <f>1+IF(OR(E10="force des cieux",E11="force des cieux",E12="force des cieux",E13="force des cieux",E14="force des cieux"),-0.2,0)+IF(OR(E10="cause sacrée",E11="cause sacrée",E12="cause sacrée",E13="cause sacrée",E14="cause sacrée"),0.1,0)+IF(G7,0.35,0)+IF(OR(E17="fléau des puissants",E18="fléau des puissants",E19="fléau des puissants"),0.2,0)+IF(OR(E17="taeguk",E18="taeguk",E19="taeguk"),(20+F20)/200,0)</f>
        <v>1.8200000000000003</v>
      </c>
      <c r="D13" t="s">
        <v>547</v>
      </c>
      <c r="E13" t="s">
        <v>417</v>
      </c>
    </row>
    <row r="14" spans="1:18">
      <c r="A14" t="s">
        <v>553</v>
      </c>
      <c r="B14" s="76">
        <f>IF(OR(E17="perte du piégé",E18="perte du piégé",E19="perte du piégé"),1.15+F20*0.003,0)*IF(G31,2.25,1)*IF(G29,(4+F29/100)/4,1)</f>
        <v>1.9548799999999997</v>
      </c>
      <c r="D14" t="s">
        <v>548</v>
      </c>
      <c r="E14" s="51" t="s">
        <v>410</v>
      </c>
    </row>
    <row r="15" spans="1:18">
      <c r="A15" t="s">
        <v>364</v>
      </c>
      <c r="B15">
        <f>SUM('mappeur (objets)'!B26:N26)+IF(OR(E17="fléau des puissants",E18="fléau des puissants",E19="fléau des puissants"),'infos passif &amp; cube &amp; gemmes'!D27,0)</f>
        <v>0</v>
      </c>
      <c r="C15" s="57" t="b">
        <v>0</v>
      </c>
      <c r="E15" s="51"/>
    </row>
    <row r="16" spans="1:18">
      <c r="A16" t="s">
        <v>577</v>
      </c>
      <c r="B16">
        <f>IF(OR(E17="fléau des accablés",E18="fléau des accablés",E19="fléau des accablés"),25,0)</f>
        <v>25</v>
      </c>
      <c r="C16" s="57" t="b">
        <v>1</v>
      </c>
      <c r="E16" s="51"/>
    </row>
    <row r="17" spans="1:7">
      <c r="A17" t="s">
        <v>339</v>
      </c>
      <c r="B17">
        <f>'mappeur (objets)'!M23*(1+B18/100)</f>
        <v>1.9500000000000002</v>
      </c>
      <c r="D17" t="s">
        <v>550</v>
      </c>
      <c r="E17" s="67" t="s">
        <v>72</v>
      </c>
    </row>
    <row r="18" spans="1:7">
      <c r="A18" t="s">
        <v>47</v>
      </c>
      <c r="B18">
        <f>SUM('mappeur (objets)'!B22:N22+'mappeur (paragons)'!E4)+IF(OR(E10="ferveur",E11="ferveur",E12="ferveur",E13="ferveur",E14="ferveur"),15,0)+IF(OR(E17="gogok de vivacité",E18="gogok de vivacité",E19="gogok de vivacité"),15,0)+IF(AND(E6="lois_de_la_vaillance",G6=FALSE),8,IF(AND(E6="lois_de_la_vaillance",G6),15))</f>
        <v>30</v>
      </c>
      <c r="D18" t="s">
        <v>551</v>
      </c>
      <c r="E18" s="51" t="s">
        <v>76</v>
      </c>
    </row>
    <row r="19" spans="1:7">
      <c r="A19" t="s">
        <v>50</v>
      </c>
      <c r="B19">
        <f>5+SUM('mappeur (objets)'!B19:N19)+'mappeur (paragons)'!E8</f>
        <v>52.5</v>
      </c>
      <c r="D19" t="s">
        <v>552</v>
      </c>
      <c r="E19" t="s">
        <v>100</v>
      </c>
    </row>
    <row r="20" spans="1:7">
      <c r="A20" t="s">
        <v>51</v>
      </c>
      <c r="B20">
        <f>50+SUM('mappeur (objets)'!B20:N20)+'mappeur (paragons)'!E10+IF(AND(F6="critique",G6),100,0)</f>
        <v>597</v>
      </c>
      <c r="E20" t="s">
        <v>560</v>
      </c>
      <c r="F20" s="71">
        <v>54</v>
      </c>
    </row>
    <row r="21" spans="1:7">
      <c r="A21" t="s">
        <v>361</v>
      </c>
      <c r="B21">
        <f>SUM('mappeur (objets)'!B21:N21)+'mappeur (paragons)'!I4</f>
        <v>50</v>
      </c>
      <c r="E21" s="51"/>
    </row>
    <row r="22" spans="1:7">
      <c r="A22" t="s">
        <v>365</v>
      </c>
      <c r="B22" s="76">
        <f>(1-(1-'mappeur (objets)'!B29/100)*(1-'mappeur (objets)'!C29/100)*(1-'mappeur (objets)'!E29/100)*(1-'mappeur (objets)'!G29/100)*(1-'mappeur (objets)'!J29/100)*(1-'mappeur (objets)'!K29/100)*(1-'mappeur (objets)'!L29/100)*(1-'mappeur (objets)'!M29/100)*(1-'mappeur (objets)'!N29/100)*(1-'mappeur (paragons)'!E6/100)*(1-IF(OR(E10="ferveur",E11="ferveur",E12="ferveur",E13="ferveur",E14="ferveur"),15/100,0)))</f>
        <v>0.33062500000000006</v>
      </c>
    </row>
    <row r="23" spans="1:7">
      <c r="A23" t="s">
        <v>362</v>
      </c>
      <c r="B23" s="74">
        <f>SUM('mappeur (objets)'!B27:N27)/100</f>
        <v>0.2</v>
      </c>
      <c r="D23" t="s">
        <v>394</v>
      </c>
    </row>
    <row r="24" spans="1:7">
      <c r="A24" s="78" t="s">
        <v>366</v>
      </c>
      <c r="B24" s="120">
        <f>SUM('mappeur (objets)'!B28:N28)/100+IF(OR(E10="contondance",E11="contondance",E12="contondance",E13="contondance",E14="contondance"),0.2,0)</f>
        <v>0.35</v>
      </c>
      <c r="D24" t="s">
        <v>395</v>
      </c>
    </row>
    <row r="25" spans="1:7">
      <c r="A25" t="s">
        <v>33</v>
      </c>
      <c r="B25" s="43">
        <f>(B1+B2+SUM('mappeur (objets)'!B14:N14)+IF(AND(F6="monolithe",G6),7000,0))*(1+'mappeur (paragons)'!G6/100+IF(OR(E17="taeguk",E18="taeguk",E19="taeguk"),(20+F20)/200,0))*(1+IF(AND(F7="émulation",G7),1.5,0))</f>
        <v>71662.69981250001</v>
      </c>
      <c r="D25" t="s">
        <v>396</v>
      </c>
    </row>
    <row r="26" spans="1:7">
      <c r="A26" t="s">
        <v>363</v>
      </c>
      <c r="B26" s="43">
        <f>$B$3/10+SUM('mappeur (objets)'!$B$37:$N$37)+'mappeur (paragons)'!$G$8+SUM('mappeur (objets)'!B31:N31)+IF(AND(E6="lois_de_la_justice",G6=FALSE),140,IF(AND(E6="lois_de_la_justice",G6),490))</f>
        <v>382.7</v>
      </c>
    </row>
    <row r="27" spans="1:7">
      <c r="A27" t="s">
        <v>367</v>
      </c>
      <c r="B27" s="43">
        <f>$B$3/10+SUM('mappeur (objets)'!$B$37:$N$37)+'mappeur (paragons)'!$G$8+SUM('mappeur (objets)'!B32:N32)+IF(AND(E6="lois_de_la_justice",G6=FALSE),140,IF(AND(E6="lois_de_la_justice",G6),490))</f>
        <v>382.7</v>
      </c>
    </row>
    <row r="28" spans="1:7">
      <c r="A28" t="s">
        <v>368</v>
      </c>
      <c r="B28" s="43">
        <f>$B$3/10+SUM('mappeur (objets)'!$B$37:$N$37)+'mappeur (paragons)'!$G$8+SUM('mappeur (objets)'!B33:N33)+IF(AND(E6="lois_de_la_justice",G6=FALSE),140,IF(AND(E6="lois_de_la_justice",G6),490))</f>
        <v>382.7</v>
      </c>
      <c r="D28" t="s">
        <v>557</v>
      </c>
      <c r="F28" s="71">
        <v>200</v>
      </c>
      <c r="G28" s="57" t="b">
        <v>1</v>
      </c>
    </row>
    <row r="29" spans="1:7">
      <c r="A29" t="s">
        <v>369</v>
      </c>
      <c r="B29" s="43">
        <f>$B$3/10+SUM('mappeur (objets)'!$B$37:$N$37)+'mappeur (paragons)'!$G$8+SUM('mappeur (objets)'!B34:N34)+IF(AND(E6="lois_de_la_justice",G6=FALSE),140,IF(AND(E6="lois_de_la_justice",G6),490))</f>
        <v>382.7</v>
      </c>
      <c r="D29" t="s">
        <v>563</v>
      </c>
      <c r="F29" s="71">
        <v>196</v>
      </c>
      <c r="G29" s="57" t="b">
        <v>1</v>
      </c>
    </row>
    <row r="30" spans="1:7">
      <c r="A30" t="s">
        <v>370</v>
      </c>
      <c r="B30" s="43">
        <f>$B$3/10+SUM('mappeur (objets)'!$B$37:$N$37)+'mappeur (paragons)'!$G$8+SUM('mappeur (objets)'!B35:N35)+IF(AND(E6="lois_de_la_justice",G6=FALSE),140,IF(AND(E6="lois_de_la_justice",G6),490))</f>
        <v>1079.7</v>
      </c>
      <c r="D30" t="s">
        <v>564</v>
      </c>
      <c r="G30" s="57" t="b">
        <v>1</v>
      </c>
    </row>
    <row r="31" spans="1:7">
      <c r="A31" t="s">
        <v>371</v>
      </c>
      <c r="B31" s="43">
        <f>$B$3/10+SUM('mappeur (objets)'!$B$37:$N$37)+'mappeur (paragons)'!$G$8+SUM('mappeur (objets)'!B36:N36)+IF(AND(E6="lois_de_la_justice",G6=FALSE),140,IF(AND(E6="lois_de_la_justice",G6),490))</f>
        <v>872.7</v>
      </c>
      <c r="D31" t="s">
        <v>571</v>
      </c>
      <c r="G31" s="57" t="b">
        <v>0</v>
      </c>
    </row>
    <row r="32" spans="1:7">
      <c r="A32" t="s">
        <v>441</v>
      </c>
      <c r="B32" s="43">
        <f>AVERAGE(B26:B31)</f>
        <v>580.5333333333333</v>
      </c>
      <c r="D32" t="s">
        <v>574</v>
      </c>
      <c r="G32" s="57" t="b">
        <v>0</v>
      </c>
    </row>
    <row r="33" spans="1:7">
      <c r="A33" t="s">
        <v>372</v>
      </c>
      <c r="B33">
        <f>SUM('mappeur (objets)'!B17:N17)</f>
        <v>0</v>
      </c>
      <c r="D33" s="67" t="s">
        <v>575</v>
      </c>
      <c r="G33" s="57" t="b">
        <v>1</v>
      </c>
    </row>
    <row r="34" spans="1:7">
      <c r="A34" t="s">
        <v>373</v>
      </c>
      <c r="B34">
        <f>SUM('mappeur (objets)'!B16:N16)</f>
        <v>12</v>
      </c>
    </row>
    <row r="35" spans="1:7">
      <c r="A35" t="s">
        <v>374</v>
      </c>
      <c r="B35">
        <f>SUM('mappeur (objets)'!B18:N18)</f>
        <v>0</v>
      </c>
    </row>
    <row r="36" spans="1:7">
      <c r="A36" t="s">
        <v>542</v>
      </c>
      <c r="B36">
        <f>IF(OR(E10="vigilance",E11="vigilance",E12="vigilance",E13="vigilance",E14="vigilance"),20,0)+IF(AND(F6="profession de foi",G6),25,0)</f>
        <v>0</v>
      </c>
    </row>
    <row r="37" spans="1:7">
      <c r="A37" s="78" t="s">
        <v>572</v>
      </c>
      <c r="B37" s="120">
        <f>(1-(1-IF(F6="débilitation",0.6,0))*(1-IF(validunicité,0.5,0))*(1-IF(OR(E3="couperet",E4="couperet",E5="couperet"),0.5,0))*(1-IF(OR(E3="galvanisation",E4="galvanisation",E5="galvanisation"),0.5,0)))</f>
        <v>0.75</v>
      </c>
    </row>
    <row r="38" spans="1:7">
      <c r="A38" t="s">
        <v>375</v>
      </c>
      <c r="B38" s="68">
        <f>(36+4*70)+(B4*100)*(1+B39/100)</f>
        <v>774320</v>
      </c>
    </row>
    <row r="39" spans="1:7">
      <c r="A39" t="s">
        <v>19</v>
      </c>
      <c r="B39">
        <f>SUM('mappeur (objets)'!B10:N10)+'mappeur (paragons)'!G4</f>
        <v>54</v>
      </c>
    </row>
    <row r="40" spans="1:7">
      <c r="A40" t="s">
        <v>376</v>
      </c>
      <c r="B40">
        <f>SUM('mappeur (objets)'!B11:N11)+'mappeur (paragons)'!G10+IF(OR(E10="vigilance",E11="vigilance",E12="vigilance",E13="vigilance",E14="vigilance"),2682,0)+IF(E6="loi_de_l_espoir",10728,0)</f>
        <v>0</v>
      </c>
    </row>
    <row r="41" spans="1:7">
      <c r="A41" t="s">
        <v>377</v>
      </c>
      <c r="B41">
        <f>SUM('mappeur (objets)'!B12:N12)+'mappeur (paragons)'!I8+IF(AND(F6="invincible",G6),21457,0)</f>
        <v>8045</v>
      </c>
    </row>
    <row r="42" spans="1:7">
      <c r="A42" s="78" t="s">
        <v>378</v>
      </c>
      <c r="B42" s="78">
        <f>SUM('mappeur (objets)'!B13:N13)</f>
        <v>0</v>
      </c>
    </row>
    <row r="43" spans="1:7">
      <c r="A43" s="78" t="s">
        <v>385</v>
      </c>
      <c r="B43" s="121">
        <f>Feuil5!J14</f>
        <v>0</v>
      </c>
    </row>
    <row r="44" spans="1:7">
      <c r="A44" t="s">
        <v>442</v>
      </c>
      <c r="B44">
        <f>SUM('mappeur (objets)'!B38:N38)+'mappeur (paragons)'!C8</f>
        <v>25</v>
      </c>
    </row>
  </sheetData>
  <conditionalFormatting sqref="B44">
    <cfRule type="cellIs" dxfId="0" priority="1" operator="greaterThan">
      <formula>25</formula>
    </cfRule>
  </conditionalFormatting>
  <dataValidations count="14">
    <dataValidation type="list" allowBlank="1" showInputMessage="1" showErrorMessage="1" sqref="F3:F5">
      <formula1>INDIRECT(E3)</formula1>
    </dataValidation>
    <dataValidation type="list" allowBlank="1" showInputMessage="1" showErrorMessage="1" sqref="F2">
      <formula1>"marteau béni ,colère noire,polarité,perpétuité,pics de glace,sujétion"</formula1>
    </dataValidation>
    <dataValidation type="list" allowBlank="1" showInputMessage="1" showErrorMessage="1" sqref="F7">
      <formula1>INDIRECT($E$7)</formula1>
    </dataValidation>
    <dataValidation type="list" allowBlank="1" showInputMessage="1" showErrorMessage="1" sqref="E6">
      <formula1>"lois_de_la_vaillance,lois_de_la_justice,loi_de_l_espoir"</formula1>
    </dataValidation>
    <dataValidation type="list" allowBlank="1" showInputMessage="1" showErrorMessage="1" sqref="F6">
      <formula1>INDIRECT($E$6)</formula1>
    </dataValidation>
    <dataValidation type="list" allowBlank="1" showInputMessage="1" showErrorMessage="1" sqref="E3:E5">
      <formula1>"correction,cautère,expiation,justice,éblouissement,galvanisation,sacre,jugement,persiflage,charge_de_destrier,blâme,couperet"</formula1>
    </dataValidation>
    <dataValidation type="list" allowBlank="1" showInputMessage="1" showErrorMessage="1" sqref="E10">
      <formula1>passifs</formula1>
    </dataValidation>
    <dataValidation type="list" allowBlank="1" showInputMessage="1" showErrorMessage="1" sqref="E11">
      <formula1>passifs2</formula1>
    </dataValidation>
    <dataValidation type="list" allowBlank="1" showInputMessage="1" showErrorMessage="1" sqref="E12">
      <formula1>passifs3</formula1>
    </dataValidation>
    <dataValidation type="list" allowBlank="1" showInputMessage="1" showErrorMessage="1" sqref="E13">
      <formula1>passifs4</formula1>
    </dataValidation>
    <dataValidation type="list" allowBlank="1" showInputMessage="1" showErrorMessage="1" sqref="E14">
      <formula1>passifs5</formula1>
    </dataValidation>
    <dataValidation type="list" allowBlank="1" showInputMessage="1" showErrorMessage="1" sqref="E17">
      <formula1>gemmes1</formula1>
    </dataValidation>
    <dataValidation type="list" allowBlank="1" showInputMessage="1" showErrorMessage="1" sqref="E18">
      <formula1>gemmes2</formula1>
    </dataValidation>
    <dataValidation type="list" allowBlank="1" showInputMessage="1" showErrorMessage="1" sqref="E19">
      <formula1>gemmes3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9"/>
  <sheetViews>
    <sheetView tabSelected="1" workbookViewId="0">
      <selection sqref="A1:N1"/>
    </sheetView>
  </sheetViews>
  <sheetFormatPr baseColWidth="10" defaultRowHeight="12.75"/>
  <cols>
    <col min="1" max="1" width="16.42578125" customWidth="1"/>
    <col min="2" max="14" width="8.5703125" customWidth="1"/>
  </cols>
  <sheetData>
    <row r="1" spans="1:1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/>
    </row>
    <row r="2" spans="1:14">
      <c r="A2" s="1"/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14">
      <c r="A3" s="2"/>
      <c r="B3" s="83" t="s">
        <v>2</v>
      </c>
      <c r="C3" s="83" t="s">
        <v>3</v>
      </c>
      <c r="D3" s="83" t="s">
        <v>4</v>
      </c>
      <c r="E3" s="83" t="s">
        <v>5</v>
      </c>
      <c r="F3" s="83" t="s">
        <v>6</v>
      </c>
      <c r="G3" s="83" t="s">
        <v>7</v>
      </c>
      <c r="H3" s="83" t="s">
        <v>8</v>
      </c>
      <c r="I3" s="83" t="s">
        <v>9</v>
      </c>
      <c r="J3" s="83" t="s">
        <v>10</v>
      </c>
      <c r="K3" s="85" t="s">
        <v>11</v>
      </c>
      <c r="L3" s="83" t="s">
        <v>12</v>
      </c>
      <c r="M3" s="83" t="s">
        <v>13</v>
      </c>
      <c r="N3" s="87" t="s">
        <v>14</v>
      </c>
    </row>
    <row r="4" spans="1:14">
      <c r="A4" s="2"/>
      <c r="B4" s="83"/>
      <c r="C4" s="83"/>
      <c r="D4" s="83"/>
      <c r="E4" s="83"/>
      <c r="F4" s="83"/>
      <c r="G4" s="83"/>
      <c r="H4" s="83"/>
      <c r="I4" s="83"/>
      <c r="J4" s="83"/>
      <c r="K4" s="85"/>
      <c r="L4" s="83"/>
      <c r="M4" s="83"/>
      <c r="N4" s="87"/>
    </row>
    <row r="5" spans="1:14">
      <c r="A5" s="3"/>
      <c r="B5" s="84"/>
      <c r="C5" s="84"/>
      <c r="D5" s="84"/>
      <c r="E5" s="84"/>
      <c r="F5" s="84"/>
      <c r="G5" s="84"/>
      <c r="H5" s="84"/>
      <c r="I5" s="84"/>
      <c r="J5" s="84"/>
      <c r="K5" s="86"/>
      <c r="L5" s="84"/>
      <c r="M5" s="84"/>
      <c r="N5" s="88"/>
    </row>
    <row r="6" spans="1:14">
      <c r="A6" s="2" t="s">
        <v>15</v>
      </c>
      <c r="B6" s="47">
        <v>975</v>
      </c>
      <c r="C6" s="47">
        <v>644</v>
      </c>
      <c r="D6" s="47">
        <f>472+3*280</f>
        <v>1312</v>
      </c>
      <c r="E6" s="47">
        <v>720</v>
      </c>
      <c r="F6" s="47">
        <v>430</v>
      </c>
      <c r="G6" s="47">
        <v>442</v>
      </c>
      <c r="H6" s="47">
        <f>643+2*280</f>
        <v>1203</v>
      </c>
      <c r="I6" s="47">
        <v>650</v>
      </c>
      <c r="J6" s="47">
        <v>725</v>
      </c>
      <c r="K6" s="47">
        <v>636</v>
      </c>
      <c r="L6" s="47">
        <v>421</v>
      </c>
      <c r="M6" s="47">
        <v>927</v>
      </c>
      <c r="N6" s="4">
        <v>954</v>
      </c>
    </row>
    <row r="7" spans="1:14">
      <c r="A7" s="2" t="s">
        <v>16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"/>
    </row>
    <row r="8" spans="1:14">
      <c r="A8" s="2" t="s">
        <v>17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"/>
    </row>
    <row r="9" spans="1:14">
      <c r="A9" s="2" t="s">
        <v>18</v>
      </c>
      <c r="B9" s="47">
        <v>968</v>
      </c>
      <c r="C9" s="47"/>
      <c r="D9" s="47">
        <v>451</v>
      </c>
      <c r="E9" s="47">
        <v>749</v>
      </c>
      <c r="F9" s="47">
        <v>430</v>
      </c>
      <c r="G9" s="47">
        <v>494</v>
      </c>
      <c r="H9" s="47">
        <v>615</v>
      </c>
      <c r="I9" s="47">
        <v>565</v>
      </c>
      <c r="J9" s="47"/>
      <c r="K9" s="47">
        <v>607</v>
      </c>
      <c r="L9" s="47"/>
      <c r="M9" s="47"/>
      <c r="N9" s="4"/>
    </row>
    <row r="10" spans="1:14">
      <c r="A10" s="2" t="s">
        <v>19</v>
      </c>
      <c r="B10" s="47"/>
      <c r="C10" s="47">
        <v>14</v>
      </c>
      <c r="D10" s="47"/>
      <c r="E10" s="60"/>
      <c r="F10" s="60"/>
      <c r="G10" s="47"/>
      <c r="H10" s="60"/>
      <c r="I10" s="60"/>
      <c r="J10" s="47"/>
      <c r="K10" s="47"/>
      <c r="L10" s="47"/>
      <c r="M10" s="47"/>
      <c r="N10" s="4">
        <v>15</v>
      </c>
    </row>
    <row r="11" spans="1:14">
      <c r="A11" s="4" t="s">
        <v>376</v>
      </c>
      <c r="N11" s="2"/>
    </row>
    <row r="12" spans="1:14">
      <c r="A12" s="4" t="s">
        <v>520</v>
      </c>
      <c r="C12" s="71"/>
      <c r="G12" s="71"/>
      <c r="H12" s="71"/>
      <c r="I12" s="71"/>
      <c r="N12" s="61"/>
    </row>
    <row r="13" spans="1:14">
      <c r="A13" s="4" t="s">
        <v>378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N13" s="2"/>
    </row>
    <row r="14" spans="1:14">
      <c r="A14" s="2" t="s">
        <v>33</v>
      </c>
      <c r="B14" s="47">
        <v>717</v>
      </c>
      <c r="C14" s="47">
        <v>627</v>
      </c>
      <c r="D14" s="47">
        <v>745</v>
      </c>
      <c r="E14" s="47">
        <v>529</v>
      </c>
      <c r="F14" s="47">
        <v>400</v>
      </c>
      <c r="G14" s="47">
        <v>474</v>
      </c>
      <c r="H14" s="47">
        <v>1365</v>
      </c>
      <c r="I14" s="47">
        <v>564</v>
      </c>
      <c r="J14" s="47"/>
      <c r="K14" s="47"/>
      <c r="L14" s="47"/>
      <c r="M14" s="60"/>
      <c r="N14" s="4">
        <v>677</v>
      </c>
    </row>
    <row r="15" spans="1:14">
      <c r="A15" s="2" t="s">
        <v>21</v>
      </c>
      <c r="B15" s="47"/>
      <c r="C15" s="60"/>
      <c r="D15" s="60"/>
      <c r="E15" s="60"/>
      <c r="F15" s="60"/>
      <c r="G15" s="60"/>
      <c r="H15" s="47"/>
      <c r="I15" s="60"/>
      <c r="J15" s="60"/>
      <c r="K15" s="47"/>
      <c r="L15" s="47"/>
      <c r="M15" s="60"/>
      <c r="N15" s="4"/>
    </row>
    <row r="16" spans="1:14">
      <c r="A16" s="2" t="s">
        <v>22</v>
      </c>
      <c r="B16" s="60"/>
      <c r="C16" s="60"/>
      <c r="D16" s="47">
        <v>6</v>
      </c>
      <c r="E16" s="60"/>
      <c r="F16" s="47"/>
      <c r="G16" s="47"/>
      <c r="H16" s="60"/>
      <c r="I16" s="60"/>
      <c r="J16" s="47">
        <v>6</v>
      </c>
      <c r="K16" s="60"/>
      <c r="L16" s="60"/>
      <c r="M16" s="60"/>
      <c r="N16" s="61"/>
    </row>
    <row r="17" spans="1:14">
      <c r="A17" s="2" t="s">
        <v>23</v>
      </c>
      <c r="B17" s="60"/>
      <c r="C17" s="60"/>
      <c r="D17" s="47"/>
      <c r="E17" s="60"/>
      <c r="F17" s="47"/>
      <c r="G17" s="60"/>
      <c r="H17" s="60"/>
      <c r="I17" s="60"/>
      <c r="J17" s="47"/>
      <c r="K17" s="60"/>
      <c r="L17" s="60"/>
      <c r="M17" s="60"/>
      <c r="N17" s="61"/>
    </row>
    <row r="18" spans="1:14">
      <c r="A18" s="2" t="s">
        <v>24</v>
      </c>
      <c r="B18" s="60"/>
      <c r="C18" s="60"/>
      <c r="D18" s="47"/>
      <c r="E18" s="60"/>
      <c r="F18" s="60"/>
      <c r="G18" s="60"/>
      <c r="H18" s="60"/>
      <c r="I18" s="60"/>
      <c r="J18" s="60"/>
      <c r="K18" s="47"/>
      <c r="L18" s="47"/>
      <c r="M18" s="60"/>
      <c r="N18" s="4"/>
    </row>
    <row r="19" spans="1:14">
      <c r="A19" s="2" t="s">
        <v>25</v>
      </c>
      <c r="B19" s="47">
        <v>6</v>
      </c>
      <c r="C19" s="60"/>
      <c r="D19" s="60"/>
      <c r="E19" s="47">
        <v>8</v>
      </c>
      <c r="F19" s="47">
        <v>6</v>
      </c>
      <c r="G19" s="60"/>
      <c r="H19" s="60"/>
      <c r="I19" s="60"/>
      <c r="J19" s="47">
        <v>8</v>
      </c>
      <c r="K19" s="47"/>
      <c r="L19" s="47">
        <v>4.5</v>
      </c>
      <c r="M19" s="60"/>
      <c r="N19" s="4">
        <v>10</v>
      </c>
    </row>
    <row r="20" spans="1:14">
      <c r="A20" s="2" t="s">
        <v>26</v>
      </c>
      <c r="B20" s="60"/>
      <c r="C20" s="60"/>
      <c r="D20" s="60"/>
      <c r="E20" s="47">
        <v>45</v>
      </c>
      <c r="F20" s="60"/>
      <c r="G20" s="47">
        <v>41</v>
      </c>
      <c r="H20" s="60"/>
      <c r="I20" s="60"/>
      <c r="J20" s="47">
        <v>98</v>
      </c>
      <c r="K20" s="47">
        <v>47</v>
      </c>
      <c r="L20" s="47">
        <v>49</v>
      </c>
      <c r="M20" s="47">
        <v>130</v>
      </c>
      <c r="N20" s="61"/>
    </row>
    <row r="21" spans="1:14">
      <c r="A21" s="2" t="s">
        <v>440</v>
      </c>
      <c r="B21" s="60"/>
      <c r="C21" s="47"/>
      <c r="D21" s="60"/>
      <c r="E21" s="47"/>
      <c r="F21" s="60"/>
      <c r="G21" s="60"/>
      <c r="H21" s="60"/>
      <c r="I21" s="60"/>
      <c r="J21" s="47"/>
      <c r="K21" s="47"/>
      <c r="L21" s="47"/>
      <c r="M21" s="47"/>
      <c r="N21" s="4"/>
    </row>
    <row r="22" spans="1:14">
      <c r="A22" s="2" t="s">
        <v>27</v>
      </c>
      <c r="B22" s="47"/>
      <c r="C22" s="60"/>
      <c r="D22" s="47"/>
      <c r="E22" s="47"/>
      <c r="F22" s="47"/>
      <c r="G22" s="47">
        <v>5</v>
      </c>
      <c r="H22" s="47"/>
      <c r="I22" s="47"/>
      <c r="J22" s="47"/>
      <c r="K22" s="47"/>
      <c r="L22" s="47"/>
      <c r="M22" s="47"/>
      <c r="N22" s="61"/>
    </row>
    <row r="23" spans="1:14">
      <c r="A23" s="2" t="s">
        <v>28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47">
        <v>1.5</v>
      </c>
      <c r="N23" s="61"/>
    </row>
    <row r="24" spans="1:14">
      <c r="A24" s="2" t="s">
        <v>29</v>
      </c>
      <c r="B24" s="60"/>
      <c r="C24" s="60"/>
      <c r="D24" s="60"/>
      <c r="E24" s="60"/>
      <c r="F24" s="60"/>
      <c r="G24" s="60"/>
      <c r="H24" s="60"/>
      <c r="I24" s="60"/>
      <c r="J24" s="47"/>
      <c r="K24" s="47"/>
      <c r="L24" s="47"/>
      <c r="M24" s="47">
        <v>1862</v>
      </c>
      <c r="N24" s="61"/>
    </row>
    <row r="25" spans="1:14">
      <c r="A25" s="2" t="s">
        <v>30</v>
      </c>
      <c r="B25" s="60"/>
      <c r="C25" s="60"/>
      <c r="D25" s="60"/>
      <c r="E25" s="60"/>
      <c r="F25" s="60"/>
      <c r="G25" s="60"/>
      <c r="H25" s="60"/>
      <c r="I25" s="60"/>
      <c r="J25" s="47"/>
      <c r="K25" s="47"/>
      <c r="L25" s="47"/>
      <c r="M25" s="47">
        <v>2348</v>
      </c>
      <c r="N25" s="61"/>
    </row>
    <row r="26" spans="1:14">
      <c r="A26" s="2" t="s">
        <v>31</v>
      </c>
      <c r="B26" s="60"/>
      <c r="C26" s="60"/>
      <c r="D26" s="60"/>
      <c r="E26" s="60"/>
      <c r="F26" s="60"/>
      <c r="G26" s="47"/>
      <c r="H26" s="60"/>
      <c r="I26" s="60"/>
      <c r="J26" s="60"/>
      <c r="K26" s="47"/>
      <c r="L26" s="47"/>
      <c r="M26" s="47"/>
      <c r="N26" s="61"/>
    </row>
    <row r="27" spans="1:14">
      <c r="A27" s="2" t="s">
        <v>32</v>
      </c>
      <c r="B27" s="47"/>
      <c r="C27" s="60"/>
      <c r="D27" s="47"/>
      <c r="E27" s="47"/>
      <c r="F27" s="47">
        <v>20</v>
      </c>
      <c r="G27" s="47"/>
      <c r="H27" s="47"/>
      <c r="I27" s="60"/>
      <c r="J27" s="47"/>
      <c r="K27" s="47"/>
      <c r="L27" s="47"/>
      <c r="M27" s="47"/>
      <c r="N27" s="4"/>
    </row>
    <row r="28" spans="1:14">
      <c r="A28" s="2" t="s">
        <v>556</v>
      </c>
      <c r="B28" s="47"/>
      <c r="C28" s="60"/>
      <c r="D28" s="60"/>
      <c r="E28" s="60"/>
      <c r="F28" s="60"/>
      <c r="G28" s="60"/>
      <c r="H28" s="60"/>
      <c r="I28" s="47">
        <v>15</v>
      </c>
      <c r="J28" s="60"/>
      <c r="K28" s="60"/>
      <c r="L28" s="60"/>
      <c r="M28" s="47"/>
      <c r="N28" s="4"/>
    </row>
    <row r="29" spans="1:14">
      <c r="A29" s="2" t="s">
        <v>365</v>
      </c>
      <c r="B29">
        <v>12.5</v>
      </c>
      <c r="D29" s="71"/>
      <c r="F29" s="71"/>
      <c r="H29" s="71"/>
      <c r="I29" s="71"/>
      <c r="M29" s="47"/>
      <c r="N29" s="2"/>
    </row>
    <row r="30" spans="1:14">
      <c r="A30" s="2" t="s">
        <v>385</v>
      </c>
      <c r="B30" s="71"/>
      <c r="C30">
        <v>8</v>
      </c>
      <c r="D30" s="71"/>
      <c r="F30" s="71"/>
      <c r="H30" s="71"/>
      <c r="I30" s="71"/>
      <c r="N30" s="2"/>
    </row>
    <row r="31" spans="1:14">
      <c r="A31" s="4" t="s">
        <v>34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60"/>
      <c r="N31" s="4"/>
    </row>
    <row r="32" spans="1:14">
      <c r="A32" s="4" t="s">
        <v>35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60"/>
      <c r="N32" s="4"/>
    </row>
    <row r="33" spans="1:14">
      <c r="A33" s="4" t="s">
        <v>36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"/>
    </row>
    <row r="34" spans="1:14">
      <c r="A34" s="4" t="s">
        <v>37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60"/>
      <c r="N34" s="4"/>
    </row>
    <row r="35" spans="1:14">
      <c r="A35" s="4" t="s">
        <v>38</v>
      </c>
      <c r="B35" s="47">
        <v>206</v>
      </c>
      <c r="C35" s="47"/>
      <c r="D35" s="47"/>
      <c r="E35" s="47">
        <v>151</v>
      </c>
      <c r="F35" s="47">
        <v>154</v>
      </c>
      <c r="G35" s="47"/>
      <c r="H35" s="47">
        <v>186</v>
      </c>
      <c r="I35" s="47"/>
      <c r="J35" s="47"/>
      <c r="K35" s="47"/>
      <c r="L35" s="47"/>
      <c r="M35" s="60"/>
      <c r="N35" s="4"/>
    </row>
    <row r="36" spans="1:14">
      <c r="A36" s="4" t="s">
        <v>39</v>
      </c>
      <c r="B36" s="47"/>
      <c r="C36" s="47"/>
      <c r="D36" s="47">
        <v>143</v>
      </c>
      <c r="E36" s="47"/>
      <c r="F36" s="47"/>
      <c r="G36" s="47">
        <v>145</v>
      </c>
      <c r="H36" s="47"/>
      <c r="I36" s="47">
        <v>202</v>
      </c>
      <c r="J36" s="47"/>
      <c r="K36" s="47"/>
      <c r="L36" s="47"/>
      <c r="M36" s="60"/>
      <c r="N36" s="4"/>
    </row>
    <row r="37" spans="1:14">
      <c r="A37" s="2" t="s">
        <v>40</v>
      </c>
      <c r="B37" s="47"/>
      <c r="C37" s="47">
        <v>125</v>
      </c>
      <c r="D37" s="47"/>
      <c r="E37" s="47"/>
      <c r="F37" s="47"/>
      <c r="G37" s="47"/>
      <c r="H37" s="47"/>
      <c r="I37" s="47"/>
      <c r="J37" s="47"/>
      <c r="K37" s="47"/>
      <c r="L37" s="47"/>
      <c r="M37" s="60"/>
      <c r="N37" s="4"/>
    </row>
    <row r="38" spans="1:14">
      <c r="A38" s="59" t="s">
        <v>442</v>
      </c>
      <c r="B38" s="64"/>
      <c r="C38" s="63"/>
      <c r="D38" s="63"/>
      <c r="E38" s="63"/>
      <c r="F38" s="64"/>
      <c r="G38" s="63"/>
      <c r="H38" s="64"/>
      <c r="I38" s="64">
        <v>11</v>
      </c>
      <c r="J38" s="64"/>
      <c r="K38" s="64"/>
      <c r="L38" s="64"/>
      <c r="M38" s="64"/>
      <c r="N38" s="62"/>
    </row>
    <row r="39" spans="1:14">
      <c r="A39" s="4" t="s">
        <v>549</v>
      </c>
      <c r="B39" s="48">
        <v>9</v>
      </c>
    </row>
  </sheetData>
  <mergeCells count="15">
    <mergeCell ref="A1:N1"/>
    <mergeCell ref="B2:N2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"/>
  <sheetViews>
    <sheetView workbookViewId="0"/>
  </sheetViews>
  <sheetFormatPr baseColWidth="10" defaultRowHeight="12.75"/>
  <cols>
    <col min="1" max="1" width="13.28515625" bestFit="1" customWidth="1"/>
    <col min="2" max="2" width="8.5703125" customWidth="1"/>
    <col min="3" max="3" width="5.7109375" customWidth="1"/>
    <col min="4" max="4" width="8.5703125" customWidth="1"/>
    <col min="5" max="5" width="7.140625" customWidth="1"/>
    <col min="6" max="6" width="8.5703125" customWidth="1"/>
    <col min="7" max="7" width="7.140625" customWidth="1"/>
    <col min="8" max="8" width="8.5703125" customWidth="1"/>
    <col min="9" max="9" width="7.140625" customWidth="1"/>
  </cols>
  <sheetData>
    <row r="1" spans="1:9">
      <c r="A1" s="6"/>
      <c r="B1" s="89" t="s">
        <v>41</v>
      </c>
      <c r="C1" s="89"/>
      <c r="D1" s="89"/>
      <c r="E1" s="89"/>
      <c r="F1" s="89"/>
      <c r="G1" s="89"/>
      <c r="H1" s="89"/>
      <c r="I1" s="90"/>
    </row>
    <row r="2" spans="1:9">
      <c r="A2" s="7" t="s">
        <v>42</v>
      </c>
      <c r="B2" s="91" t="s">
        <v>43</v>
      </c>
      <c r="C2" s="92"/>
      <c r="D2" s="93" t="s">
        <v>44</v>
      </c>
      <c r="E2" s="93"/>
      <c r="F2" s="91" t="s">
        <v>45</v>
      </c>
      <c r="G2" s="92"/>
      <c r="H2" s="93" t="s">
        <v>46</v>
      </c>
      <c r="I2" s="94"/>
    </row>
    <row r="3" spans="1:9">
      <c r="A3" s="8">
        <v>549</v>
      </c>
      <c r="B3" s="6" t="s">
        <v>15</v>
      </c>
      <c r="C3" s="70">
        <f>137-28</f>
        <v>109</v>
      </c>
      <c r="D3" s="6" t="s">
        <v>47</v>
      </c>
      <c r="E3" s="70"/>
      <c r="F3" s="6" t="s">
        <v>19</v>
      </c>
      <c r="G3" s="70">
        <v>50</v>
      </c>
      <c r="H3" s="6" t="s">
        <v>361</v>
      </c>
      <c r="I3" s="70">
        <v>50</v>
      </c>
    </row>
    <row r="4" spans="1:9">
      <c r="A4" s="9"/>
      <c r="B4" s="11" t="s">
        <v>48</v>
      </c>
      <c r="C4" s="2">
        <f>C3*5</f>
        <v>545</v>
      </c>
      <c r="D4" s="11" t="s">
        <v>48</v>
      </c>
      <c r="E4" s="2">
        <f>E3/5</f>
        <v>0</v>
      </c>
      <c r="F4" s="11" t="s">
        <v>48</v>
      </c>
      <c r="G4" s="2">
        <f>G3/2</f>
        <v>25</v>
      </c>
      <c r="H4" s="11" t="s">
        <v>48</v>
      </c>
      <c r="I4" s="2">
        <f>I3</f>
        <v>50</v>
      </c>
    </row>
    <row r="5" spans="1:9">
      <c r="B5" s="9" t="s">
        <v>49</v>
      </c>
      <c r="C5" s="10"/>
      <c r="D5" s="9" t="s">
        <v>365</v>
      </c>
      <c r="E5" s="10">
        <v>50</v>
      </c>
      <c r="F5" s="9" t="s">
        <v>20</v>
      </c>
      <c r="G5" s="10">
        <v>37</v>
      </c>
      <c r="H5" s="9" t="s">
        <v>385</v>
      </c>
      <c r="I5" s="10">
        <v>37</v>
      </c>
    </row>
    <row r="6" spans="1:9">
      <c r="B6" s="11" t="s">
        <v>48</v>
      </c>
      <c r="C6" s="2">
        <f>C5*5</f>
        <v>0</v>
      </c>
      <c r="D6" s="11" t="s">
        <v>48</v>
      </c>
      <c r="E6" s="2">
        <f>E5*0.2</f>
        <v>10</v>
      </c>
      <c r="F6" s="11" t="s">
        <v>48</v>
      </c>
      <c r="G6" s="2">
        <f>G5/2</f>
        <v>18.5</v>
      </c>
      <c r="H6" s="11" t="s">
        <v>48</v>
      </c>
      <c r="I6" s="2">
        <f>I5*0.2</f>
        <v>7.4</v>
      </c>
    </row>
    <row r="7" spans="1:9">
      <c r="A7" s="9"/>
      <c r="B7" s="13" t="s">
        <v>442</v>
      </c>
      <c r="C7" s="69">
        <v>28</v>
      </c>
      <c r="D7" s="9" t="s">
        <v>50</v>
      </c>
      <c r="E7" s="10">
        <v>50</v>
      </c>
      <c r="F7" s="9" t="s">
        <v>40</v>
      </c>
      <c r="G7" s="10">
        <v>50</v>
      </c>
      <c r="H7" s="9" t="s">
        <v>520</v>
      </c>
      <c r="I7" s="10">
        <v>50</v>
      </c>
    </row>
    <row r="8" spans="1:9">
      <c r="A8" s="9"/>
      <c r="B8" s="9"/>
      <c r="C8" s="2">
        <f>C7/2</f>
        <v>14</v>
      </c>
      <c r="D8" s="11" t="s">
        <v>48</v>
      </c>
      <c r="E8" s="2">
        <f>E7/10</f>
        <v>5</v>
      </c>
      <c r="F8" s="11" t="s">
        <v>48</v>
      </c>
      <c r="G8" s="2">
        <f>G7*5</f>
        <v>250</v>
      </c>
      <c r="H8" s="11" t="s">
        <v>48</v>
      </c>
      <c r="I8" s="2">
        <f>I7*160.9</f>
        <v>8045</v>
      </c>
    </row>
    <row r="9" spans="1:9">
      <c r="A9" s="12"/>
      <c r="B9" s="9"/>
      <c r="C9" s="2"/>
      <c r="D9" s="9" t="s">
        <v>51</v>
      </c>
      <c r="E9" s="10">
        <v>37</v>
      </c>
      <c r="F9" s="9" t="s">
        <v>376</v>
      </c>
      <c r="G9" s="10"/>
      <c r="H9" s="9"/>
      <c r="I9" s="2"/>
    </row>
    <row r="10" spans="1:9">
      <c r="A10" s="9"/>
      <c r="B10" s="14"/>
      <c r="C10" s="41"/>
      <c r="D10" s="15" t="s">
        <v>48</v>
      </c>
      <c r="E10" s="41">
        <f>E9</f>
        <v>37</v>
      </c>
      <c r="F10" s="15" t="s">
        <v>48</v>
      </c>
      <c r="G10" s="41">
        <f>G9*214.6</f>
        <v>0</v>
      </c>
      <c r="H10" s="14"/>
      <c r="I10" s="41"/>
    </row>
    <row r="11" spans="1:9">
      <c r="A11" s="14"/>
      <c r="B11" s="14" t="s">
        <v>52</v>
      </c>
      <c r="C11" s="16">
        <f>IF(A3&lt;=800,ROUNDDOWN(A3/4,0),A3-600)</f>
        <v>137</v>
      </c>
      <c r="D11" s="5" t="s">
        <v>52</v>
      </c>
      <c r="E11" s="17">
        <f>IF(A3&gt;=800,"200",MIN(ROUNDDOWN(A3/4,0),200))</f>
        <v>137</v>
      </c>
      <c r="F11" s="14" t="s">
        <v>52</v>
      </c>
      <c r="G11" s="16">
        <f>IF(A3&gt;=800,"200",MIN(ROUNDDOWN(A3/4,0),200))</f>
        <v>137</v>
      </c>
      <c r="H11" s="31" t="s">
        <v>52</v>
      </c>
      <c r="I11" s="41">
        <f>IF(A3&gt;=800,"150",MIN(ROUNDDOWN(A3/4,0),50))</f>
        <v>50</v>
      </c>
    </row>
  </sheetData>
  <mergeCells count="5">
    <mergeCell ref="B1:I1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baseColWidth="10" defaultColWidth="14.42578125" defaultRowHeight="15.75" customHeight="1"/>
  <cols>
    <col min="1" max="1" width="23.85546875" customWidth="1"/>
    <col min="2" max="2" width="18.5703125" customWidth="1"/>
    <col min="3" max="3" width="15.85546875" customWidth="1"/>
    <col min="5" max="5" width="16.5703125" customWidth="1"/>
    <col min="6" max="6" width="20" customWidth="1"/>
    <col min="10" max="10" width="7.140625" customWidth="1"/>
  </cols>
  <sheetData>
    <row r="1" spans="1:26" ht="15.75" customHeight="1"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.75" customHeight="1"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.75" customHeight="1"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.75" customHeight="1">
      <c r="B4" s="104" t="s">
        <v>68</v>
      </c>
      <c r="C4" s="103"/>
      <c r="D4" s="103"/>
      <c r="E4" s="96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.75" customHeight="1">
      <c r="B5" s="105" t="s">
        <v>67</v>
      </c>
      <c r="C5" s="99"/>
      <c r="D5" s="99"/>
      <c r="E5" s="101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.75" customHeight="1">
      <c r="C6" s="106" t="s">
        <v>66</v>
      </c>
      <c r="D6" s="96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.75" customHeight="1">
      <c r="C7" s="107" t="s">
        <v>65</v>
      </c>
      <c r="D7" s="96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 customHeight="1">
      <c r="B8" s="108" t="s">
        <v>64</v>
      </c>
      <c r="C8" s="109"/>
      <c r="D8" s="109"/>
      <c r="E8" s="110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75" customHeight="1">
      <c r="B9" s="95" t="s">
        <v>63</v>
      </c>
      <c r="C9" s="96"/>
      <c r="D9" s="97" t="s">
        <v>62</v>
      </c>
      <c r="E9" s="96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75" customHeight="1">
      <c r="B10" s="98">
        <v>1399</v>
      </c>
      <c r="C10" s="99"/>
      <c r="D10" s="100">
        <v>1715</v>
      </c>
      <c r="E10" s="101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75" customHeight="1"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75" customHeight="1"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B13" s="114" t="s">
        <v>61</v>
      </c>
      <c r="C13" s="96"/>
      <c r="D13" s="114" t="s">
        <v>60</v>
      </c>
      <c r="E13" s="96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75" customHeight="1">
      <c r="A14" s="19"/>
      <c r="B14" s="115">
        <v>0</v>
      </c>
      <c r="C14" s="96"/>
      <c r="D14" s="115">
        <v>0</v>
      </c>
      <c r="E14" s="96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.75" customHeight="1"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.75" customHeight="1"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75" customHeight="1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.75" customHeight="1">
      <c r="C19" s="116" t="s">
        <v>59</v>
      </c>
      <c r="D19" s="96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.75" customHeight="1">
      <c r="C20" s="117">
        <f>(A35*(B34+AVERAGE(B10,D10)))*(1+B14/100)*(1+D14/100)</f>
        <v>2562.6999999999998</v>
      </c>
      <c r="D20" s="1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.75" customHeight="1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75" customHeight="1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>
      <c r="A23" s="40" t="s">
        <v>58</v>
      </c>
      <c r="B23" s="102"/>
      <c r="C23" s="103"/>
      <c r="D23" s="103"/>
      <c r="E23" s="96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8">
      <c r="A24" s="39" t="s">
        <v>57</v>
      </c>
      <c r="B24" s="38"/>
      <c r="C24" s="111">
        <f>(A34+B34)*A35*(1+B14/100)*(1+D14/100)</f>
        <v>2832.8999999999996</v>
      </c>
      <c r="D24" s="103"/>
      <c r="E24" s="37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8">
      <c r="A25" s="36" t="s">
        <v>56</v>
      </c>
      <c r="B25" s="35"/>
      <c r="C25" s="112">
        <f>(A35*(B34+AVERAGE(B10,D10)))*1.1*(1+D14/100)</f>
        <v>2818.9700000000003</v>
      </c>
      <c r="D25" s="103"/>
      <c r="E25" s="34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8">
      <c r="A26" s="33" t="s">
        <v>55</v>
      </c>
      <c r="B26" s="32" t="s">
        <v>54</v>
      </c>
      <c r="C26" s="113">
        <f>(A35*(B34+AVERAGE(B10,D10)))*(1+B14/100)*1.07</f>
        <v>2742.0889999999999</v>
      </c>
      <c r="D26" s="99"/>
      <c r="E26" s="30" t="s">
        <v>53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>
      <c r="A27" s="19"/>
      <c r="B27" s="18"/>
      <c r="C27" s="18"/>
      <c r="D27" s="18"/>
      <c r="E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>
      <c r="A28" s="19"/>
      <c r="B28" s="18"/>
      <c r="C28" s="18"/>
      <c r="D28" s="18"/>
      <c r="E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>
      <c r="A29" s="19"/>
      <c r="B29" s="18"/>
      <c r="C29" s="18"/>
      <c r="D29" s="18"/>
      <c r="E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>
      <c r="A30" s="19"/>
      <c r="D30" s="18"/>
      <c r="E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>
      <c r="A31" s="28"/>
      <c r="B31" s="29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>
      <c r="A32" s="28"/>
      <c r="B32" s="27"/>
      <c r="C32" s="20"/>
      <c r="D32" s="20"/>
      <c r="E32" s="20"/>
      <c r="F32" s="20"/>
      <c r="G32" s="20"/>
      <c r="H32" s="20"/>
      <c r="I32" s="20"/>
      <c r="J32" s="20"/>
      <c r="K32" s="20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>
      <c r="A33" s="28"/>
      <c r="B33" s="27"/>
      <c r="C33" s="20"/>
      <c r="D33" s="20"/>
      <c r="E33" s="20"/>
      <c r="F33" s="20"/>
      <c r="G33" s="20"/>
      <c r="H33" s="20"/>
      <c r="I33" s="20"/>
      <c r="J33" s="20"/>
      <c r="K33" s="20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>
      <c r="A34" s="26">
        <f>IF(C7="Oui",SUMIF([1]Data!A:A,B5,[1]Data!M:M),SUMIF([1]Data!A:A,B5,[1]Data!L:L))</f>
        <v>1750</v>
      </c>
      <c r="B34" s="25">
        <f>SUMIF([1]Data!A2:A21,B5,[1]Data!K2:K21)</f>
        <v>273.5</v>
      </c>
      <c r="C34" s="20"/>
      <c r="D34" s="20"/>
      <c r="E34" s="20"/>
      <c r="F34" s="20"/>
      <c r="G34" s="20"/>
      <c r="H34" s="20"/>
      <c r="I34" s="20"/>
      <c r="J34" s="20"/>
      <c r="K34" s="20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>
      <c r="A35" s="24">
        <f>SUMIF([1]Data!A2:A21,B5,[1]Data!D2:D21)</f>
        <v>1.4</v>
      </c>
      <c r="B35" s="23"/>
      <c r="C35" s="20"/>
      <c r="D35" s="20"/>
      <c r="E35" s="20"/>
      <c r="F35" s="20"/>
      <c r="G35" s="20"/>
      <c r="H35" s="20"/>
      <c r="I35" s="20"/>
      <c r="J35" s="20"/>
      <c r="K35" s="20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>
      <c r="A36" s="22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>
      <c r="A38" s="21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>
      <c r="A39" s="21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>
      <c r="A40" s="21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>
      <c r="A41" s="21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>
      <c r="A42" s="2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>
      <c r="A43" s="21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>
      <c r="A44" s="2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>
      <c r="A45" s="21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>
      <c r="A46" s="21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>
      <c r="A47" s="2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>
      <c r="A48" s="21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>
      <c r="A49" s="21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>
      <c r="A50" s="21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>
      <c r="A51" s="2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>
      <c r="A52" s="21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>
      <c r="A53" s="21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>
      <c r="A54" s="21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>
      <c r="A55" s="21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>
      <c r="A56" s="21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>
      <c r="A57" s="21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>
      <c r="A58" s="21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>
      <c r="A59" s="21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>
      <c r="C60" s="20"/>
      <c r="D60" s="20"/>
      <c r="E60" s="20"/>
      <c r="F60" s="20"/>
      <c r="G60" s="20"/>
      <c r="H60" s="20"/>
      <c r="I60" s="20"/>
      <c r="J60" s="20"/>
      <c r="K60" s="20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>
      <c r="C61" s="20"/>
      <c r="D61" s="20"/>
      <c r="E61" s="20"/>
      <c r="F61" s="20"/>
      <c r="G61" s="20"/>
      <c r="H61" s="20"/>
      <c r="I61" s="20"/>
      <c r="J61" s="20"/>
      <c r="K61" s="20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>
      <c r="C62" s="20"/>
      <c r="D62" s="20"/>
      <c r="E62" s="20"/>
      <c r="F62" s="20"/>
      <c r="G62" s="20"/>
      <c r="H62" s="20"/>
      <c r="I62" s="20"/>
      <c r="J62" s="20"/>
      <c r="K62" s="20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>
      <c r="C63" s="20"/>
      <c r="D63" s="20"/>
      <c r="E63" s="20"/>
      <c r="F63" s="20"/>
      <c r="G63" s="20"/>
      <c r="H63" s="20"/>
      <c r="I63" s="20"/>
      <c r="J63" s="20"/>
      <c r="K63" s="20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>
      <c r="C64" s="20"/>
      <c r="D64" s="20"/>
      <c r="E64" s="20"/>
      <c r="F64" s="20"/>
      <c r="G64" s="20"/>
      <c r="H64" s="20"/>
      <c r="I64" s="20"/>
      <c r="J64" s="20"/>
      <c r="K64" s="20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>
      <c r="A65" s="21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>
      <c r="A66" s="21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>
      <c r="A67" s="2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>
      <c r="A68" s="21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>
      <c r="A69" s="21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>
      <c r="A70" s="21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>
      <c r="A71" s="21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>
      <c r="A72" s="21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>
      <c r="A73" s="21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>
      <c r="A74" s="21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>
      <c r="A75" s="21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>
      <c r="A76" s="21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>
      <c r="A77" s="21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>
      <c r="A78" s="21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>
      <c r="A79" s="21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>
      <c r="A80" s="21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>
      <c r="A81" s="21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>
      <c r="A82" s="21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>
      <c r="A83" s="21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>
      <c r="A84" s="21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>
      <c r="A85" s="21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>
      <c r="A86" s="21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>
      <c r="A87" s="21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>
      <c r="A88" s="21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>
      <c r="A89" s="21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>
      <c r="A90" s="21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>
      <c r="A91" s="21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>
      <c r="A92" s="21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>
      <c r="A93" s="21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>
      <c r="A94" s="21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>
      <c r="A95" s="21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>
      <c r="A96" s="21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>
      <c r="A97" s="21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>
      <c r="A98" s="21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>
      <c r="A99" s="21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>
      <c r="A100" s="21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>
      <c r="A101" s="21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>
      <c r="A102" s="21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>
      <c r="A103" s="21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>
      <c r="A104" s="21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>
      <c r="A105" s="21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>
      <c r="A106" s="21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>
      <c r="A107" s="21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>
      <c r="A108" s="21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>
      <c r="A109" s="21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>
      <c r="A110" s="21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>
      <c r="A111" s="21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>
      <c r="A112" s="21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>
      <c r="A113" s="21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>
      <c r="A114" s="21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>
      <c r="A115" s="21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>
      <c r="A116" s="21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>
      <c r="A117" s="21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>
      <c r="A118" s="21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>
      <c r="A119" s="21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>
      <c r="A120" s="21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>
      <c r="A121" s="21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>
      <c r="A122" s="21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>
      <c r="A123" s="21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>
      <c r="A124" s="21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>
      <c r="A125" s="21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>
      <c r="A126" s="21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>
      <c r="A127" s="21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>
      <c r="A128" s="21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>
      <c r="A129" s="21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>
      <c r="A130" s="21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>
      <c r="A131" s="21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>
      <c r="A132" s="21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>
      <c r="A133" s="21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>
      <c r="A134" s="21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>
      <c r="A135" s="21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>
      <c r="A136" s="21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>
      <c r="A137" s="21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>
      <c r="A138" s="21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>
      <c r="A139" s="21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>
      <c r="A140" s="21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>
      <c r="A141" s="21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>
      <c r="A142" s="21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>
      <c r="A143" s="21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>
      <c r="A144" s="21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>
      <c r="A145" s="19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>
      <c r="A146" s="19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>
      <c r="A147" s="19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>
      <c r="A148" s="19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>
      <c r="A149" s="19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>
      <c r="A150" s="19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>
      <c r="A151" s="19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>
      <c r="A152" s="19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>
      <c r="A153" s="19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>
      <c r="A154" s="19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>
      <c r="A155" s="19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>
      <c r="A156" s="19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>
      <c r="A157" s="19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>
      <c r="A158" s="19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>
      <c r="A159" s="19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>
      <c r="A160" s="19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>
      <c r="A161" s="19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>
      <c r="A162" s="19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>
      <c r="A163" s="19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>
      <c r="A164" s="19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>
      <c r="A165" s="19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>
      <c r="A166" s="19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>
      <c r="A167" s="19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>
      <c r="A168" s="19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>
      <c r="A169" s="19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>
      <c r="A170" s="19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>
      <c r="A171" s="19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>
      <c r="A172" s="19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>
      <c r="A173" s="19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>
      <c r="A174" s="19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>
      <c r="A175" s="19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>
      <c r="A176" s="19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>
      <c r="A177" s="19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>
      <c r="A178" s="19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>
      <c r="A179" s="19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>
      <c r="A180" s="19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>
      <c r="A181" s="19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>
      <c r="A182" s="19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>
      <c r="A183" s="19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>
      <c r="A184" s="19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>
      <c r="A185" s="19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>
      <c r="A186" s="19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>
      <c r="A187" s="19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>
      <c r="A188" s="19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>
      <c r="A189" s="19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>
      <c r="A190" s="19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>
      <c r="A191" s="19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>
      <c r="A192" s="19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>
      <c r="A193" s="19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>
      <c r="A194" s="19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>
      <c r="A195" s="19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>
      <c r="A196" s="19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>
      <c r="A197" s="19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>
      <c r="A198" s="19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>
      <c r="A199" s="19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>
      <c r="A200" s="19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>
      <c r="A201" s="19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>
      <c r="A202" s="19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>
      <c r="A203" s="19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>
      <c r="A204" s="19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>
      <c r="A205" s="19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>
      <c r="A206" s="19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>
      <c r="A207" s="19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>
      <c r="A208" s="19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>
      <c r="A209" s="19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>
      <c r="A210" s="19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>
      <c r="A211" s="19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>
      <c r="A212" s="19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>
      <c r="A213" s="19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>
      <c r="A214" s="19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>
      <c r="A215" s="19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>
      <c r="A216" s="19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>
      <c r="A217" s="19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>
      <c r="A218" s="19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>
      <c r="A219" s="19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>
      <c r="A220" s="19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>
      <c r="A221" s="19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>
      <c r="A222" s="19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>
      <c r="A223" s="19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>
      <c r="A224" s="19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>
      <c r="A225" s="19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>
      <c r="A226" s="19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>
      <c r="A227" s="19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>
      <c r="A228" s="19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>
      <c r="A229" s="19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>
      <c r="A230" s="19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>
      <c r="A231" s="19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>
      <c r="A232" s="19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>
      <c r="A233" s="19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>
      <c r="A234" s="19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>
      <c r="A235" s="19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>
      <c r="A236" s="19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>
      <c r="A237" s="19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>
      <c r="A238" s="19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>
      <c r="A239" s="19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>
      <c r="A240" s="19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>
      <c r="A241" s="19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>
      <c r="A242" s="19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>
      <c r="A243" s="19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>
      <c r="A244" s="19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>
      <c r="A245" s="19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>
      <c r="A246" s="19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>
      <c r="A247" s="19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>
      <c r="A248" s="19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>
      <c r="A249" s="19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>
      <c r="A250" s="19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>
      <c r="A251" s="19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>
      <c r="A252" s="19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>
      <c r="A253" s="19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>
      <c r="A254" s="19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>
      <c r="A255" s="19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>
      <c r="A256" s="19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>
      <c r="A257" s="19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>
      <c r="A258" s="19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>
      <c r="A259" s="19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>
      <c r="A260" s="19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>
      <c r="A261" s="19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>
      <c r="A262" s="19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>
      <c r="A263" s="19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>
      <c r="A264" s="19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>
      <c r="A265" s="19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>
      <c r="A266" s="19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>
      <c r="A267" s="19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>
      <c r="A268" s="19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>
      <c r="A269" s="19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>
      <c r="A270" s="19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>
      <c r="A271" s="19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>
      <c r="A272" s="19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>
      <c r="A273" s="19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>
      <c r="A274" s="19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>
      <c r="A275" s="19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>
      <c r="A276" s="19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>
      <c r="A277" s="19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>
      <c r="A278" s="19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>
      <c r="A279" s="19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>
      <c r="A280" s="19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>
      <c r="A281" s="19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>
      <c r="A282" s="19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>
      <c r="A283" s="19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>
      <c r="A284" s="19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>
      <c r="A285" s="19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>
      <c r="A286" s="19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>
      <c r="A287" s="19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>
      <c r="A288" s="19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>
      <c r="A289" s="19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>
      <c r="A290" s="19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>
      <c r="A291" s="19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>
      <c r="A292" s="19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>
      <c r="A293" s="19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>
      <c r="A294" s="19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>
      <c r="A295" s="19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>
      <c r="A296" s="19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>
      <c r="A297" s="19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>
      <c r="A298" s="19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>
      <c r="A299" s="19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>
      <c r="A300" s="19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>
      <c r="A301" s="19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>
      <c r="A302" s="19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>
      <c r="A303" s="19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>
      <c r="A304" s="19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>
      <c r="A305" s="19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>
      <c r="A306" s="19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>
      <c r="A307" s="19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>
      <c r="A308" s="19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>
      <c r="A309" s="19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>
      <c r="A310" s="19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>
      <c r="A311" s="19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>
      <c r="A312" s="19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>
      <c r="A313" s="19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>
      <c r="A314" s="19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>
      <c r="A315" s="19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>
      <c r="A316" s="19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>
      <c r="A317" s="19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>
      <c r="A318" s="19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>
      <c r="A319" s="19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>
      <c r="A320" s="19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>
      <c r="A321" s="19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>
      <c r="A322" s="19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>
      <c r="A323" s="19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>
      <c r="A324" s="19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>
      <c r="A325" s="19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>
      <c r="A326" s="19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>
      <c r="A327" s="19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>
      <c r="A328" s="19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>
      <c r="A329" s="19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>
      <c r="A330" s="19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>
      <c r="A331" s="19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>
      <c r="A332" s="19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>
      <c r="A333" s="19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>
      <c r="A334" s="19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>
      <c r="A335" s="19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>
      <c r="A336" s="19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>
      <c r="A337" s="19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>
      <c r="A338" s="19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>
      <c r="A339" s="19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>
      <c r="A340" s="19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>
      <c r="A341" s="19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>
      <c r="A342" s="19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>
      <c r="A343" s="19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>
      <c r="A344" s="19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>
      <c r="A345" s="19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>
      <c r="A346" s="19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>
      <c r="A347" s="19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>
      <c r="A348" s="19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>
      <c r="A349" s="19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>
      <c r="A350" s="19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>
      <c r="A351" s="19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>
      <c r="A352" s="19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>
      <c r="A353" s="19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>
      <c r="A354" s="19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>
      <c r="A355" s="19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>
      <c r="A356" s="19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>
      <c r="A357" s="19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>
      <c r="A358" s="19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>
      <c r="A359" s="19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>
      <c r="A360" s="19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>
      <c r="A361" s="19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>
      <c r="A362" s="19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>
      <c r="A363" s="19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>
      <c r="A364" s="19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>
      <c r="A365" s="19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>
      <c r="A366" s="19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>
      <c r="A367" s="19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>
      <c r="A368" s="19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>
      <c r="A369" s="19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>
      <c r="A370" s="19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>
      <c r="A371" s="19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>
      <c r="A372" s="19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>
      <c r="A373" s="19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>
      <c r="A374" s="19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>
      <c r="A375" s="19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>
      <c r="A376" s="19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>
      <c r="A377" s="19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>
      <c r="A378" s="19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>
      <c r="A379" s="19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>
      <c r="A380" s="19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>
      <c r="A381" s="19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>
      <c r="A382" s="19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>
      <c r="A383" s="19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>
      <c r="A384" s="19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>
      <c r="A385" s="19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>
      <c r="A386" s="19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>
      <c r="A387" s="19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>
      <c r="A388" s="19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>
      <c r="A389" s="19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>
      <c r="A390" s="19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>
      <c r="A391" s="19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>
      <c r="A392" s="19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>
      <c r="A393" s="19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>
      <c r="A394" s="19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>
      <c r="A395" s="19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>
      <c r="A396" s="19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>
      <c r="A397" s="19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>
      <c r="A398" s="19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>
      <c r="A399" s="19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>
      <c r="A400" s="19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>
      <c r="A401" s="19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>
      <c r="A402" s="19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>
      <c r="A403" s="19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>
      <c r="A404" s="19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>
      <c r="A405" s="19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>
      <c r="A406" s="19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>
      <c r="A407" s="19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>
      <c r="A408" s="19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>
      <c r="A409" s="19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>
      <c r="A410" s="19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>
      <c r="A411" s="19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>
      <c r="A412" s="19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>
      <c r="A413" s="19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>
      <c r="A414" s="19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>
      <c r="A415" s="19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>
      <c r="A416" s="19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>
      <c r="A417" s="19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>
      <c r="A418" s="19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>
      <c r="A419" s="19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>
      <c r="A420" s="19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>
      <c r="A421" s="19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>
      <c r="A422" s="19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>
      <c r="A423" s="19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>
      <c r="A424" s="19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>
      <c r="A425" s="19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>
      <c r="A426" s="19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>
      <c r="A427" s="19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>
      <c r="A428" s="19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>
      <c r="A429" s="19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>
      <c r="A430" s="19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>
      <c r="A431" s="19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>
      <c r="A432" s="19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>
      <c r="A433" s="19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>
      <c r="A434" s="19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>
      <c r="A435" s="19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>
      <c r="A436" s="19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>
      <c r="A437" s="19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>
      <c r="A438" s="19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>
      <c r="A439" s="19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>
      <c r="A440" s="19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>
      <c r="A441" s="19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>
      <c r="A442" s="19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>
      <c r="A443" s="19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>
      <c r="A444" s="19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>
      <c r="A445" s="19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>
      <c r="A446" s="19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>
      <c r="A447" s="19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>
      <c r="A448" s="19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>
      <c r="A449" s="19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>
      <c r="A450" s="19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>
      <c r="A451" s="19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>
      <c r="A452" s="19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>
      <c r="A453" s="19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>
      <c r="A454" s="19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>
      <c r="A455" s="19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>
      <c r="A456" s="19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>
      <c r="A457" s="19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>
      <c r="A458" s="19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>
      <c r="A459" s="19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>
      <c r="A460" s="19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>
      <c r="A461" s="19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>
      <c r="A462" s="19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>
      <c r="A463" s="19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>
      <c r="A464" s="19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>
      <c r="A465" s="19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>
      <c r="A466" s="19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>
      <c r="A467" s="19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>
      <c r="A468" s="19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>
      <c r="A469" s="19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>
      <c r="A470" s="19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>
      <c r="A471" s="19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>
      <c r="A472" s="19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>
      <c r="A473" s="19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>
      <c r="A474" s="19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>
      <c r="A475" s="19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>
      <c r="A476" s="19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>
      <c r="A477" s="19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>
      <c r="A478" s="19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>
      <c r="A479" s="19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>
      <c r="A480" s="19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>
      <c r="A481" s="19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>
      <c r="A482" s="19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>
      <c r="A483" s="19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>
      <c r="A484" s="19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>
      <c r="A485" s="19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>
      <c r="A486" s="19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>
      <c r="A487" s="19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>
      <c r="A488" s="19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>
      <c r="A489" s="19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>
      <c r="A490" s="19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>
      <c r="A491" s="19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>
      <c r="A492" s="19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>
      <c r="A493" s="19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>
      <c r="A494" s="19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>
      <c r="A495" s="19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>
      <c r="A496" s="19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>
      <c r="A497" s="19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>
      <c r="A498" s="19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>
      <c r="A499" s="19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>
      <c r="A500" s="19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>
      <c r="A501" s="19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>
      <c r="A502" s="19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>
      <c r="A503" s="19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>
      <c r="A504" s="19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>
      <c r="A505" s="19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>
      <c r="A506" s="19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>
      <c r="A507" s="19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>
      <c r="A508" s="19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>
      <c r="A509" s="19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>
      <c r="A510" s="19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>
      <c r="A511" s="19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>
      <c r="A512" s="19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>
      <c r="A513" s="19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>
      <c r="A514" s="19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>
      <c r="A515" s="19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>
      <c r="A516" s="19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>
      <c r="A517" s="19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>
      <c r="A518" s="19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>
      <c r="A519" s="19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>
      <c r="A520" s="19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>
      <c r="A521" s="19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>
      <c r="A522" s="19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>
      <c r="A523" s="19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>
      <c r="A524" s="19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>
      <c r="A525" s="19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>
      <c r="A526" s="19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>
      <c r="A527" s="19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>
      <c r="A528" s="19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>
      <c r="A529" s="19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>
      <c r="A530" s="19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>
      <c r="A531" s="19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>
      <c r="A532" s="19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>
      <c r="A533" s="19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>
      <c r="A534" s="19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>
      <c r="A535" s="19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>
      <c r="A536" s="19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>
      <c r="A537" s="19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>
      <c r="A538" s="19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>
      <c r="A539" s="19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>
      <c r="A540" s="19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>
      <c r="A541" s="19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>
      <c r="A542" s="19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>
      <c r="A543" s="19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>
      <c r="A544" s="19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>
      <c r="A545" s="19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>
      <c r="A546" s="19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>
      <c r="A547" s="19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>
      <c r="A548" s="19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>
      <c r="A549" s="19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>
      <c r="A550" s="19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>
      <c r="A551" s="19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>
      <c r="A552" s="19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>
      <c r="A553" s="19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>
      <c r="A554" s="19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>
      <c r="A555" s="19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>
      <c r="A556" s="19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>
      <c r="A557" s="19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>
      <c r="A558" s="19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>
      <c r="A559" s="19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>
      <c r="A560" s="19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>
      <c r="A561" s="19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>
      <c r="A562" s="19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>
      <c r="A563" s="19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>
      <c r="A564" s="19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>
      <c r="A565" s="19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>
      <c r="A566" s="19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>
      <c r="A567" s="19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>
      <c r="A568" s="19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>
      <c r="A569" s="19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>
      <c r="A570" s="19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>
      <c r="A571" s="19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>
      <c r="A572" s="19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>
      <c r="A573" s="19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>
      <c r="A574" s="19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>
      <c r="A575" s="19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>
      <c r="A576" s="19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>
      <c r="A577" s="19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>
      <c r="A578" s="19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>
      <c r="A579" s="19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>
      <c r="A580" s="19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>
      <c r="A581" s="19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>
      <c r="A582" s="19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>
      <c r="A583" s="19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>
      <c r="A584" s="19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>
      <c r="A585" s="19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>
      <c r="A586" s="19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>
      <c r="A587" s="19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>
      <c r="A588" s="19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>
      <c r="A589" s="19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>
      <c r="A590" s="19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>
      <c r="A591" s="19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>
      <c r="A592" s="19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>
      <c r="A593" s="19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>
      <c r="A594" s="19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>
      <c r="A595" s="19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>
      <c r="A596" s="19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>
      <c r="A597" s="19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>
      <c r="A598" s="19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>
      <c r="A599" s="19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>
      <c r="A600" s="19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>
      <c r="A601" s="19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>
      <c r="A602" s="19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>
      <c r="A603" s="19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>
      <c r="A604" s="19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>
      <c r="A605" s="19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>
      <c r="A606" s="19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>
      <c r="A607" s="19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>
      <c r="A608" s="19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>
      <c r="A609" s="19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>
      <c r="A610" s="19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>
      <c r="A611" s="19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>
      <c r="A612" s="19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>
      <c r="A613" s="19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>
      <c r="A614" s="19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>
      <c r="A615" s="19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>
      <c r="A616" s="19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>
      <c r="A617" s="19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>
      <c r="A618" s="19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>
      <c r="A619" s="19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>
      <c r="A620" s="19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>
      <c r="A621" s="19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>
      <c r="A622" s="19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>
      <c r="A623" s="19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>
      <c r="A624" s="19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>
      <c r="A625" s="19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>
      <c r="A626" s="19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>
      <c r="A627" s="19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>
      <c r="A628" s="19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>
      <c r="A629" s="19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>
      <c r="A630" s="19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>
      <c r="A631" s="19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>
      <c r="A632" s="19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>
      <c r="A633" s="19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>
      <c r="A634" s="19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>
      <c r="A635" s="19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>
      <c r="A636" s="19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>
      <c r="A637" s="19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>
      <c r="A638" s="19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>
      <c r="A639" s="19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>
      <c r="A640" s="19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>
      <c r="A641" s="19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>
      <c r="A642" s="19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>
      <c r="A643" s="19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>
      <c r="A644" s="19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>
      <c r="A645" s="19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>
      <c r="A646" s="19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>
      <c r="A647" s="19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>
      <c r="A648" s="19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>
      <c r="A649" s="19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>
      <c r="A650" s="19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>
      <c r="A651" s="19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>
      <c r="A652" s="19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>
      <c r="A653" s="19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>
      <c r="A654" s="19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>
      <c r="A655" s="19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>
      <c r="A656" s="19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>
      <c r="A657" s="19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>
      <c r="A658" s="19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>
      <c r="A659" s="19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>
      <c r="A660" s="19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>
      <c r="A661" s="19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>
      <c r="A662" s="19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>
      <c r="A663" s="19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>
      <c r="A664" s="19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>
      <c r="A665" s="19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>
      <c r="A666" s="19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>
      <c r="A667" s="19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>
      <c r="A668" s="19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>
      <c r="A669" s="19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>
      <c r="A670" s="19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>
      <c r="A671" s="19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>
      <c r="A672" s="19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>
      <c r="A673" s="19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>
      <c r="A674" s="19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>
      <c r="A675" s="19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>
      <c r="A676" s="19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>
      <c r="A677" s="19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>
      <c r="A678" s="19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>
      <c r="A679" s="19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>
      <c r="A680" s="19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>
      <c r="A681" s="19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>
      <c r="A682" s="19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>
      <c r="A683" s="19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>
      <c r="A684" s="19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>
      <c r="A685" s="19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>
      <c r="A686" s="19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>
      <c r="A687" s="19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>
      <c r="A688" s="19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>
      <c r="A689" s="19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>
      <c r="A690" s="19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>
      <c r="A691" s="19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>
      <c r="A692" s="19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>
      <c r="A693" s="19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>
      <c r="A694" s="19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>
      <c r="A695" s="19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>
      <c r="A696" s="19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>
      <c r="A697" s="19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>
      <c r="A698" s="19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>
      <c r="A699" s="19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>
      <c r="A700" s="19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>
      <c r="A701" s="19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>
      <c r="A702" s="19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>
      <c r="A703" s="19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>
      <c r="A704" s="19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>
      <c r="A705" s="19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>
      <c r="A706" s="19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>
      <c r="A707" s="19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>
      <c r="A708" s="19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>
      <c r="A709" s="19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>
      <c r="A710" s="19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>
      <c r="A711" s="19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>
      <c r="A712" s="19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>
      <c r="A713" s="19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>
      <c r="A714" s="19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>
      <c r="A715" s="19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>
      <c r="A716" s="19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>
      <c r="A717" s="19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>
      <c r="A718" s="19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>
      <c r="A719" s="19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>
      <c r="A720" s="19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>
      <c r="A721" s="19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>
      <c r="A722" s="19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>
      <c r="A723" s="19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>
      <c r="A724" s="19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>
      <c r="A725" s="19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>
      <c r="A726" s="19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>
      <c r="A727" s="19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>
      <c r="A728" s="19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>
      <c r="A729" s="19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>
      <c r="A730" s="19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>
      <c r="A731" s="19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>
      <c r="A732" s="19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>
      <c r="A733" s="19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>
      <c r="A734" s="19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>
      <c r="A735" s="19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>
      <c r="A736" s="19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>
      <c r="A737" s="19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>
      <c r="A738" s="19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>
      <c r="A739" s="19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>
      <c r="A740" s="19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>
      <c r="A741" s="19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>
      <c r="A742" s="19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>
      <c r="A743" s="19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>
      <c r="A744" s="19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>
      <c r="A745" s="19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>
      <c r="A746" s="19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>
      <c r="A747" s="19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>
      <c r="A748" s="19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>
      <c r="A749" s="19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>
      <c r="A750" s="19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>
      <c r="A751" s="19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>
      <c r="A752" s="19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>
      <c r="A753" s="19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>
      <c r="A754" s="19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>
      <c r="A755" s="19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>
      <c r="A756" s="19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>
      <c r="A757" s="19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>
      <c r="A758" s="19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>
      <c r="A759" s="19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>
      <c r="A760" s="19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>
      <c r="A761" s="19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>
      <c r="A762" s="19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>
      <c r="A763" s="19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>
      <c r="A764" s="19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>
      <c r="A765" s="19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>
      <c r="A766" s="19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>
      <c r="A767" s="19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>
      <c r="A768" s="19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>
      <c r="A769" s="19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>
      <c r="A770" s="19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>
      <c r="A771" s="19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>
      <c r="A772" s="19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>
      <c r="A773" s="19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>
      <c r="A774" s="19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>
      <c r="A775" s="19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>
      <c r="A776" s="19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>
      <c r="A777" s="19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>
      <c r="A778" s="19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>
      <c r="A779" s="19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>
      <c r="A780" s="19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>
      <c r="A781" s="19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>
      <c r="A782" s="19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>
      <c r="A783" s="19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>
      <c r="A784" s="19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>
      <c r="A785" s="19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>
      <c r="A786" s="19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>
      <c r="A787" s="19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>
      <c r="A788" s="19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>
      <c r="A789" s="19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>
      <c r="A790" s="19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>
      <c r="A791" s="19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>
      <c r="A792" s="19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>
      <c r="A793" s="19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>
      <c r="A794" s="19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>
      <c r="A795" s="19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>
      <c r="A796" s="19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>
      <c r="A797" s="19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>
      <c r="A798" s="19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>
      <c r="A799" s="19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>
      <c r="A800" s="19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>
      <c r="A801" s="19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>
      <c r="A802" s="19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>
      <c r="A803" s="19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>
      <c r="A804" s="19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>
      <c r="A805" s="19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>
      <c r="A806" s="19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>
      <c r="A807" s="19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>
      <c r="A808" s="19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>
      <c r="A809" s="19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>
      <c r="A810" s="19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>
      <c r="A811" s="19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>
      <c r="A812" s="19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>
      <c r="A813" s="19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>
      <c r="A814" s="19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>
      <c r="A815" s="19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>
      <c r="A816" s="19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>
      <c r="A817" s="19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>
      <c r="A818" s="19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>
      <c r="A819" s="19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>
      <c r="A820" s="19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>
      <c r="A821" s="19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>
      <c r="A822" s="19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>
      <c r="A823" s="19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>
      <c r="A824" s="19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>
      <c r="A825" s="19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>
      <c r="A826" s="19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>
      <c r="A827" s="19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>
      <c r="A828" s="19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>
      <c r="A829" s="19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>
      <c r="A830" s="19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>
      <c r="A831" s="19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>
      <c r="A832" s="19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>
      <c r="A833" s="19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>
      <c r="A834" s="19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>
      <c r="A835" s="19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>
      <c r="A836" s="19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>
      <c r="A837" s="19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>
      <c r="A838" s="19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>
      <c r="A839" s="19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>
      <c r="A840" s="19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>
      <c r="A841" s="19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>
      <c r="A842" s="19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>
      <c r="A843" s="19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>
      <c r="A844" s="19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>
      <c r="A845" s="19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>
      <c r="A846" s="19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>
      <c r="A847" s="19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>
      <c r="A848" s="19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>
      <c r="A849" s="19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>
      <c r="A850" s="19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>
      <c r="A851" s="19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>
      <c r="A852" s="19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>
      <c r="A853" s="19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>
      <c r="A854" s="19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>
      <c r="A855" s="19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>
      <c r="A856" s="19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>
      <c r="A857" s="19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>
      <c r="A858" s="19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>
      <c r="A859" s="19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>
      <c r="A860" s="19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>
      <c r="A861" s="19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>
      <c r="A862" s="19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>
      <c r="A863" s="19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>
      <c r="A864" s="19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>
      <c r="A865" s="19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>
      <c r="A866" s="19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>
      <c r="A867" s="19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>
      <c r="A868" s="19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>
      <c r="A869" s="19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>
      <c r="A870" s="19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>
      <c r="A871" s="19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>
      <c r="A872" s="19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>
      <c r="A873" s="19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>
      <c r="A874" s="19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>
      <c r="A875" s="19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>
      <c r="A876" s="19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>
      <c r="A877" s="19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>
      <c r="A878" s="19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>
      <c r="A879" s="19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>
      <c r="A880" s="19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>
      <c r="A881" s="19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>
      <c r="A882" s="19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>
      <c r="A883" s="19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>
      <c r="A884" s="19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>
      <c r="A885" s="19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>
      <c r="A886" s="19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>
      <c r="A887" s="19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>
      <c r="A888" s="19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>
      <c r="A889" s="19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>
      <c r="A890" s="19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>
      <c r="A891" s="19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>
      <c r="A892" s="19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>
      <c r="A893" s="19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>
      <c r="A894" s="19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>
      <c r="A895" s="19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>
      <c r="A896" s="19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>
      <c r="A897" s="19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>
      <c r="A898" s="19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>
      <c r="A899" s="19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>
      <c r="A900" s="19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>
      <c r="A901" s="19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>
      <c r="A902" s="19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>
      <c r="A903" s="19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>
      <c r="A904" s="19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>
      <c r="A905" s="19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>
      <c r="A906" s="19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>
      <c r="A907" s="19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>
      <c r="A908" s="19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>
      <c r="A909" s="19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>
      <c r="A910" s="19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>
      <c r="A911" s="19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>
      <c r="A912" s="19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>
      <c r="A913" s="19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>
      <c r="A914" s="19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>
      <c r="A915" s="19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>
      <c r="A916" s="19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>
      <c r="A917" s="19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>
      <c r="A918" s="19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>
      <c r="A919" s="19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>
      <c r="A920" s="19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>
      <c r="A921" s="19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>
      <c r="A922" s="19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>
      <c r="A923" s="19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>
      <c r="A924" s="19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>
      <c r="A925" s="19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>
      <c r="A926" s="19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>
      <c r="A927" s="19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>
      <c r="A928" s="19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>
      <c r="A929" s="19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>
      <c r="A930" s="19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>
      <c r="A931" s="19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>
      <c r="A932" s="19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>
      <c r="A933" s="19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>
      <c r="A934" s="19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>
      <c r="A935" s="19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>
      <c r="A936" s="19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>
      <c r="A937" s="19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>
      <c r="A938" s="19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>
      <c r="A939" s="19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>
      <c r="A940" s="19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>
      <c r="A941" s="19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>
      <c r="A942" s="19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>
      <c r="A943" s="19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>
      <c r="A944" s="19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>
      <c r="A945" s="19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>
      <c r="A946" s="19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>
      <c r="A947" s="19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>
      <c r="A948" s="19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>
      <c r="A949" s="19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>
      <c r="A950" s="19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>
      <c r="A951" s="19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>
      <c r="A952" s="19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>
      <c r="A953" s="19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>
      <c r="A954" s="19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>
      <c r="A955" s="19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>
      <c r="A956" s="19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>
      <c r="A957" s="19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>
      <c r="A958" s="19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>
      <c r="A959" s="19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>
      <c r="A960" s="19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>
      <c r="A961" s="19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>
      <c r="A962" s="19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>
      <c r="A963" s="19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>
      <c r="A964" s="19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>
      <c r="A965" s="19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>
      <c r="A966" s="19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>
      <c r="A967" s="19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>
      <c r="A968" s="19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>
      <c r="A969" s="19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>
      <c r="A970" s="19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>
      <c r="A971" s="19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>
      <c r="A972" s="19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>
      <c r="A973" s="19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>
      <c r="A974" s="19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>
      <c r="A975" s="19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>
      <c r="A976" s="19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>
      <c r="A977" s="19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>
      <c r="A978" s="19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>
      <c r="A979" s="19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>
      <c r="A980" s="19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>
      <c r="A981" s="19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>
      <c r="A982" s="19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>
      <c r="A983" s="19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>
      <c r="A984" s="19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>
      <c r="A985" s="19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>
      <c r="A986" s="19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>
      <c r="A987" s="19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>
      <c r="A988" s="19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>
      <c r="A989" s="19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>
      <c r="A990" s="19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>
      <c r="A991" s="19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5.75" customHeight="1">
      <c r="A992" s="19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5.75" customHeight="1">
      <c r="A993" s="19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5.75" customHeight="1">
      <c r="A994" s="19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5.75" customHeight="1">
      <c r="A995" s="19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5.75" customHeight="1">
      <c r="A996" s="19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5.75" customHeight="1">
      <c r="A997" s="19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5.75" customHeight="1">
      <c r="A998" s="19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5.75" customHeight="1">
      <c r="A999" s="19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5.75" customHeight="1">
      <c r="A1000" s="19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19">
    <mergeCell ref="C24:D24"/>
    <mergeCell ref="C25:D25"/>
    <mergeCell ref="C26:D26"/>
    <mergeCell ref="B13:C13"/>
    <mergeCell ref="D13:E13"/>
    <mergeCell ref="B14:C14"/>
    <mergeCell ref="D14:E14"/>
    <mergeCell ref="C19:D19"/>
    <mergeCell ref="C20:D20"/>
    <mergeCell ref="B4:E4"/>
    <mergeCell ref="B5:E5"/>
    <mergeCell ref="C6:D6"/>
    <mergeCell ref="C7:D7"/>
    <mergeCell ref="B8:E8"/>
    <mergeCell ref="B9:C9"/>
    <mergeCell ref="D9:E9"/>
    <mergeCell ref="B10:C10"/>
    <mergeCell ref="D10:E10"/>
    <mergeCell ref="B23:E23"/>
  </mergeCells>
  <dataValidations count="4">
    <dataValidation type="list" sqref="C7:D7">
      <formula1>"Oui,Non"</formula1>
    </dataValidation>
    <dataValidation type="list" showErrorMessage="1" sqref="B5:E5">
      <formula1>armes</formula1>
    </dataValidation>
    <dataValidation type="list" showErrorMessage="1" sqref="B14">
      <formula1>"0,6,7,8,9,10"</formula1>
    </dataValidation>
    <dataValidation type="list" showErrorMessage="1" sqref="D14">
      <formula1>"0,5,6,7"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20"/>
  <sheetViews>
    <sheetView workbookViewId="0"/>
  </sheetViews>
  <sheetFormatPr baseColWidth="10" defaultRowHeight="12.75"/>
  <cols>
    <col min="1" max="1" width="34.42578125" style="50" bestFit="1" customWidth="1"/>
    <col min="2" max="14" width="4" style="50" customWidth="1"/>
    <col min="15" max="15" width="8.42578125" style="50" bestFit="1" customWidth="1"/>
    <col min="16" max="16" width="84.85546875" style="50" bestFit="1" customWidth="1"/>
    <col min="17" max="16384" width="11.42578125" style="50"/>
  </cols>
  <sheetData>
    <row r="1" spans="1:16">
      <c r="A1" s="50" t="s">
        <v>120</v>
      </c>
      <c r="B1" s="50" t="s">
        <v>121</v>
      </c>
      <c r="C1" s="50" t="s">
        <v>122</v>
      </c>
      <c r="D1" s="50" t="s">
        <v>123</v>
      </c>
      <c r="E1" s="50" t="s">
        <v>124</v>
      </c>
      <c r="F1" s="50" t="s">
        <v>125</v>
      </c>
      <c r="G1" s="50" t="s">
        <v>126</v>
      </c>
      <c r="H1" s="50" t="s">
        <v>127</v>
      </c>
      <c r="I1" s="50" t="s">
        <v>128</v>
      </c>
      <c r="J1" s="50" t="s">
        <v>129</v>
      </c>
      <c r="K1" s="50" t="s">
        <v>130</v>
      </c>
      <c r="L1" s="50" t="s">
        <v>131</v>
      </c>
      <c r="M1" s="50" t="s">
        <v>132</v>
      </c>
      <c r="N1" s="50" t="s">
        <v>133</v>
      </c>
      <c r="O1" s="50" t="s">
        <v>134</v>
      </c>
      <c r="P1" s="50" t="s">
        <v>135</v>
      </c>
    </row>
    <row r="3" spans="1:16">
      <c r="A3" s="51" t="s">
        <v>136</v>
      </c>
      <c r="B3" s="52"/>
      <c r="D3" s="50">
        <v>100</v>
      </c>
      <c r="E3" s="50">
        <v>335</v>
      </c>
      <c r="O3" s="50" t="s">
        <v>137</v>
      </c>
    </row>
    <row r="4" spans="1:16">
      <c r="A4" s="51" t="s">
        <v>138</v>
      </c>
      <c r="B4" s="52"/>
      <c r="D4" s="50">
        <v>33.299999999999997</v>
      </c>
      <c r="E4" s="50">
        <v>335</v>
      </c>
      <c r="I4" s="50">
        <v>75</v>
      </c>
      <c r="J4" s="50" t="s">
        <v>139</v>
      </c>
      <c r="O4" s="50" t="s">
        <v>140</v>
      </c>
    </row>
    <row r="5" spans="1:16">
      <c r="A5" s="51" t="s">
        <v>141</v>
      </c>
      <c r="B5" s="52"/>
      <c r="D5" s="50">
        <v>33.299999999999997</v>
      </c>
      <c r="E5" s="50">
        <v>335</v>
      </c>
      <c r="O5" s="50" t="s">
        <v>137</v>
      </c>
      <c r="P5" s="50" t="s">
        <v>142</v>
      </c>
    </row>
    <row r="6" spans="1:16">
      <c r="A6" s="51" t="s">
        <v>143</v>
      </c>
      <c r="B6" s="52"/>
      <c r="D6" s="50">
        <v>33.299999999999997</v>
      </c>
      <c r="E6" s="50">
        <v>335</v>
      </c>
      <c r="O6" s="50" t="s">
        <v>137</v>
      </c>
      <c r="P6" s="50" t="s">
        <v>144</v>
      </c>
    </row>
    <row r="7" spans="1:16">
      <c r="A7" s="51" t="s">
        <v>145</v>
      </c>
      <c r="B7" s="52"/>
      <c r="D7" s="50">
        <v>100</v>
      </c>
      <c r="E7" s="50">
        <v>335</v>
      </c>
      <c r="I7" s="50">
        <v>140</v>
      </c>
      <c r="O7" s="50" t="s">
        <v>146</v>
      </c>
      <c r="P7" s="50" t="s">
        <v>147</v>
      </c>
    </row>
    <row r="8" spans="1:16">
      <c r="A8" s="51" t="s">
        <v>148</v>
      </c>
      <c r="B8" s="52"/>
      <c r="D8" s="50">
        <v>33.299999999999997</v>
      </c>
      <c r="E8" s="50">
        <v>335</v>
      </c>
      <c r="O8" s="50" t="s">
        <v>149</v>
      </c>
      <c r="P8" s="50" t="s">
        <v>150</v>
      </c>
    </row>
    <row r="9" spans="1:16">
      <c r="A9" s="52"/>
      <c r="B9" s="52"/>
    </row>
    <row r="10" spans="1:16">
      <c r="A10" s="51" t="s">
        <v>151</v>
      </c>
      <c r="B10" s="52"/>
      <c r="D10" s="50">
        <v>80</v>
      </c>
      <c r="E10" s="50">
        <v>230</v>
      </c>
      <c r="O10" s="50" t="s">
        <v>140</v>
      </c>
    </row>
    <row r="11" spans="1:16">
      <c r="A11" s="51" t="s">
        <v>152</v>
      </c>
      <c r="B11" s="52"/>
      <c r="D11" s="50">
        <v>80</v>
      </c>
      <c r="E11" s="50">
        <v>230</v>
      </c>
      <c r="O11" s="50" t="s">
        <v>149</v>
      </c>
      <c r="P11" s="50" t="s">
        <v>153</v>
      </c>
    </row>
    <row r="12" spans="1:16">
      <c r="A12" s="51" t="s">
        <v>154</v>
      </c>
      <c r="B12" s="52"/>
      <c r="D12" s="50">
        <v>54</v>
      </c>
      <c r="E12" s="50">
        <v>230</v>
      </c>
      <c r="O12" s="50" t="s">
        <v>140</v>
      </c>
      <c r="P12" s="50" t="s">
        <v>155</v>
      </c>
    </row>
    <row r="13" spans="1:16">
      <c r="A13" s="51" t="s">
        <v>156</v>
      </c>
      <c r="B13" s="52"/>
      <c r="D13" s="50">
        <v>80</v>
      </c>
      <c r="E13" s="50">
        <v>230</v>
      </c>
      <c r="O13" s="50" t="s">
        <v>140</v>
      </c>
      <c r="P13" s="50" t="s">
        <v>157</v>
      </c>
    </row>
    <row r="14" spans="1:16">
      <c r="A14" s="51" t="s">
        <v>158</v>
      </c>
      <c r="B14" s="52"/>
      <c r="D14" s="50">
        <v>61</v>
      </c>
      <c r="E14" s="50">
        <v>230</v>
      </c>
      <c r="O14" s="50" t="s">
        <v>146</v>
      </c>
      <c r="P14" s="50" t="s">
        <v>159</v>
      </c>
    </row>
    <row r="15" spans="1:16">
      <c r="A15" s="51" t="s">
        <v>160</v>
      </c>
      <c r="B15" s="52"/>
      <c r="D15" s="50">
        <v>80</v>
      </c>
      <c r="E15" s="50">
        <v>230</v>
      </c>
      <c r="O15" s="50" t="s">
        <v>140</v>
      </c>
      <c r="P15" s="50" t="s">
        <v>161</v>
      </c>
    </row>
    <row r="16" spans="1:16">
      <c r="A16" s="52"/>
      <c r="B16" s="52"/>
    </row>
    <row r="17" spans="1:19">
      <c r="A17" s="51" t="s">
        <v>162</v>
      </c>
      <c r="B17" s="52"/>
      <c r="D17" s="50">
        <v>33.299999999999997</v>
      </c>
      <c r="E17" s="50">
        <v>175</v>
      </c>
      <c r="F17" s="50">
        <v>30</v>
      </c>
      <c r="I17" s="50">
        <v>150</v>
      </c>
      <c r="J17" s="50">
        <v>20</v>
      </c>
      <c r="K17" s="50">
        <v>3</v>
      </c>
      <c r="O17" s="50" t="s">
        <v>146</v>
      </c>
    </row>
    <row r="18" spans="1:19">
      <c r="A18" s="51" t="s">
        <v>163</v>
      </c>
      <c r="B18" s="52"/>
      <c r="D18" s="50">
        <v>33.299999999999997</v>
      </c>
      <c r="E18" s="50">
        <v>175</v>
      </c>
      <c r="F18" s="50">
        <v>30</v>
      </c>
      <c r="I18" s="50">
        <v>150</v>
      </c>
      <c r="J18" s="50">
        <v>20</v>
      </c>
      <c r="K18" s="50">
        <v>3</v>
      </c>
      <c r="L18" s="50">
        <v>60</v>
      </c>
      <c r="M18" s="50">
        <v>3</v>
      </c>
      <c r="O18" s="50" t="s">
        <v>146</v>
      </c>
    </row>
    <row r="19" spans="1:19">
      <c r="A19" s="51" t="s">
        <v>164</v>
      </c>
      <c r="B19" s="52"/>
      <c r="D19" s="50">
        <v>33.299999999999997</v>
      </c>
      <c r="E19" s="50">
        <v>175</v>
      </c>
      <c r="F19" s="50">
        <v>30</v>
      </c>
      <c r="I19" s="50">
        <v>150</v>
      </c>
      <c r="J19" s="50">
        <v>20</v>
      </c>
      <c r="K19" s="50">
        <v>3</v>
      </c>
      <c r="O19" s="50" t="s">
        <v>146</v>
      </c>
      <c r="P19" s="50" t="s">
        <v>165</v>
      </c>
    </row>
    <row r="20" spans="1:19">
      <c r="A20" s="51" t="s">
        <v>166</v>
      </c>
      <c r="B20" s="52"/>
      <c r="D20" s="50">
        <v>33.299999999999997</v>
      </c>
      <c r="E20" s="50">
        <v>175</v>
      </c>
      <c r="F20" s="50">
        <v>30</v>
      </c>
      <c r="I20" s="50">
        <v>150</v>
      </c>
      <c r="J20" s="50">
        <v>20</v>
      </c>
      <c r="K20" s="50">
        <v>5</v>
      </c>
      <c r="O20" s="50" t="s">
        <v>146</v>
      </c>
    </row>
    <row r="21" spans="1:19">
      <c r="A21" s="51" t="s">
        <v>167</v>
      </c>
      <c r="B21" s="52"/>
      <c r="D21" s="50">
        <v>13.3</v>
      </c>
      <c r="E21" s="50">
        <v>175</v>
      </c>
      <c r="F21" s="50">
        <v>30</v>
      </c>
      <c r="I21" s="50">
        <v>150</v>
      </c>
      <c r="J21" s="50">
        <v>20</v>
      </c>
      <c r="K21" s="50">
        <v>3</v>
      </c>
      <c r="O21" s="50" t="s">
        <v>146</v>
      </c>
      <c r="P21" s="50" t="s">
        <v>168</v>
      </c>
    </row>
    <row r="22" spans="1:19">
      <c r="A22" s="51" t="s">
        <v>169</v>
      </c>
      <c r="B22" s="52"/>
      <c r="D22" s="50">
        <v>33.299999999999997</v>
      </c>
      <c r="E22" s="50">
        <v>175</v>
      </c>
      <c r="F22" s="50">
        <v>30</v>
      </c>
      <c r="I22" s="50">
        <v>150</v>
      </c>
      <c r="J22" s="50">
        <v>20</v>
      </c>
      <c r="K22" s="50">
        <v>3</v>
      </c>
      <c r="O22" s="50" t="s">
        <v>149</v>
      </c>
      <c r="P22" s="50" t="s">
        <v>170</v>
      </c>
    </row>
    <row r="23" spans="1:19">
      <c r="A23" s="52"/>
      <c r="B23" s="52"/>
    </row>
    <row r="24" spans="1:19">
      <c r="A24" s="51" t="s">
        <v>171</v>
      </c>
      <c r="B24" s="52"/>
      <c r="D24" s="50">
        <v>100</v>
      </c>
      <c r="E24" s="50">
        <v>245</v>
      </c>
      <c r="O24" s="50" t="s">
        <v>146</v>
      </c>
    </row>
    <row r="25" spans="1:19">
      <c r="A25" s="51" t="s">
        <v>172</v>
      </c>
      <c r="B25" s="52"/>
      <c r="D25" s="50">
        <v>60</v>
      </c>
      <c r="E25" s="50">
        <v>245</v>
      </c>
      <c r="O25" s="50" t="s">
        <v>149</v>
      </c>
      <c r="P25" s="50" t="s">
        <v>173</v>
      </c>
    </row>
    <row r="26" spans="1:19">
      <c r="A26" s="51" t="s">
        <v>174</v>
      </c>
      <c r="B26" s="52"/>
      <c r="D26" s="50">
        <v>100</v>
      </c>
      <c r="E26" s="50">
        <v>245</v>
      </c>
      <c r="I26" s="50">
        <v>245</v>
      </c>
      <c r="K26" s="50">
        <v>2</v>
      </c>
      <c r="O26" s="50" t="s">
        <v>146</v>
      </c>
      <c r="P26" s="50" t="s">
        <v>175</v>
      </c>
    </row>
    <row r="27" spans="1:19">
      <c r="A27" s="51" t="s">
        <v>176</v>
      </c>
      <c r="B27" s="52"/>
      <c r="D27" s="50">
        <v>100</v>
      </c>
      <c r="E27" s="50">
        <v>335</v>
      </c>
      <c r="O27" s="50" t="s">
        <v>137</v>
      </c>
      <c r="P27" s="50" t="s">
        <v>177</v>
      </c>
    </row>
    <row r="28" spans="1:19">
      <c r="A28" s="51" t="s">
        <v>178</v>
      </c>
      <c r="B28" s="52"/>
      <c r="D28" s="50">
        <v>100</v>
      </c>
      <c r="E28" s="50">
        <v>245</v>
      </c>
      <c r="O28" s="50" t="s">
        <v>137</v>
      </c>
      <c r="P28" s="50" t="s">
        <v>179</v>
      </c>
    </row>
    <row r="29" spans="1:19">
      <c r="A29" s="51" t="s">
        <v>180</v>
      </c>
      <c r="B29" s="52"/>
      <c r="D29" s="50">
        <v>100</v>
      </c>
      <c r="E29" s="50">
        <v>245</v>
      </c>
      <c r="O29" s="50" t="s">
        <v>146</v>
      </c>
      <c r="P29" s="50" t="s">
        <v>181</v>
      </c>
    </row>
    <row r="31" spans="1:19">
      <c r="A31" s="51" t="s">
        <v>183</v>
      </c>
      <c r="B31" s="52">
        <v>10</v>
      </c>
      <c r="D31" s="50">
        <v>10</v>
      </c>
      <c r="E31" s="50">
        <v>320</v>
      </c>
      <c r="O31" s="50" t="s">
        <v>146</v>
      </c>
      <c r="R31" s="53"/>
      <c r="S31" s="53"/>
    </row>
    <row r="32" spans="1:19">
      <c r="A32" s="67" t="s">
        <v>566</v>
      </c>
      <c r="B32" s="52">
        <v>10</v>
      </c>
      <c r="D32" s="50">
        <v>10</v>
      </c>
      <c r="E32" s="50">
        <v>320</v>
      </c>
      <c r="I32" s="50" t="s">
        <v>184</v>
      </c>
      <c r="O32" s="50" t="s">
        <v>140</v>
      </c>
      <c r="P32" s="50" t="s">
        <v>185</v>
      </c>
      <c r="S32" s="53"/>
    </row>
    <row r="33" spans="1:19">
      <c r="A33" s="67" t="s">
        <v>567</v>
      </c>
      <c r="B33" s="52">
        <v>10</v>
      </c>
      <c r="D33" s="50">
        <v>10</v>
      </c>
      <c r="E33" s="50">
        <v>320</v>
      </c>
      <c r="I33" s="50">
        <v>60</v>
      </c>
      <c r="O33" s="50" t="s">
        <v>149</v>
      </c>
      <c r="P33" s="50" t="s">
        <v>186</v>
      </c>
      <c r="R33" s="53"/>
      <c r="S33" s="53"/>
    </row>
    <row r="34" spans="1:19">
      <c r="A34" s="67" t="s">
        <v>568</v>
      </c>
      <c r="B34" s="52">
        <v>10</v>
      </c>
      <c r="D34" s="50">
        <v>10</v>
      </c>
      <c r="E34" s="50">
        <v>320</v>
      </c>
      <c r="O34" s="50" t="s">
        <v>146</v>
      </c>
      <c r="P34" s="50" t="s">
        <v>187</v>
      </c>
      <c r="S34" s="53"/>
    </row>
    <row r="35" spans="1:19">
      <c r="A35" s="67" t="s">
        <v>569</v>
      </c>
      <c r="B35" s="52">
        <v>10</v>
      </c>
      <c r="D35" s="50">
        <v>10</v>
      </c>
      <c r="E35" s="50">
        <v>320</v>
      </c>
      <c r="I35" s="50">
        <v>460</v>
      </c>
      <c r="J35" s="50">
        <v>6</v>
      </c>
      <c r="O35" s="50" t="s">
        <v>182</v>
      </c>
      <c r="P35" s="49" t="s">
        <v>188</v>
      </c>
      <c r="R35" s="53"/>
      <c r="S35" s="53"/>
    </row>
    <row r="36" spans="1:19">
      <c r="A36" s="67" t="s">
        <v>570</v>
      </c>
      <c r="B36" s="52">
        <v>10</v>
      </c>
      <c r="D36" s="50">
        <v>10</v>
      </c>
      <c r="E36" s="50">
        <v>320</v>
      </c>
      <c r="O36" s="50" t="s">
        <v>146</v>
      </c>
      <c r="P36" s="50" t="s">
        <v>189</v>
      </c>
      <c r="S36" s="53"/>
    </row>
    <row r="37" spans="1:19">
      <c r="R37" s="53"/>
      <c r="S37" s="53"/>
    </row>
    <row r="38" spans="1:19">
      <c r="A38" s="51" t="s">
        <v>190</v>
      </c>
      <c r="B38" s="52"/>
      <c r="C38" s="50">
        <v>12</v>
      </c>
      <c r="D38" s="50">
        <v>25</v>
      </c>
      <c r="F38" s="50" t="s">
        <v>191</v>
      </c>
      <c r="O38" s="50" t="s">
        <v>146</v>
      </c>
      <c r="P38" s="50" t="s">
        <v>192</v>
      </c>
      <c r="S38" s="53"/>
    </row>
    <row r="39" spans="1:19">
      <c r="A39" s="51" t="s">
        <v>193</v>
      </c>
      <c r="B39" s="52"/>
      <c r="C39" s="50">
        <v>12</v>
      </c>
      <c r="D39" s="50">
        <v>25</v>
      </c>
      <c r="F39" s="50" t="s">
        <v>191</v>
      </c>
      <c r="O39" s="50" t="s">
        <v>146</v>
      </c>
      <c r="P39" s="50" t="s">
        <v>194</v>
      </c>
      <c r="R39" s="53"/>
      <c r="S39" s="53"/>
    </row>
    <row r="40" spans="1:19">
      <c r="A40" s="51" t="s">
        <v>195</v>
      </c>
      <c r="B40" s="52"/>
      <c r="C40" s="50">
        <v>12</v>
      </c>
      <c r="D40" s="50">
        <v>25</v>
      </c>
      <c r="F40" s="50" t="s">
        <v>191</v>
      </c>
      <c r="O40" s="50" t="s">
        <v>146</v>
      </c>
      <c r="P40" s="50" t="s">
        <v>196</v>
      </c>
      <c r="S40" s="53"/>
    </row>
    <row r="41" spans="1:19">
      <c r="A41" s="51" t="s">
        <v>197</v>
      </c>
      <c r="B41" s="52"/>
      <c r="C41" s="50">
        <v>12</v>
      </c>
      <c r="D41" s="50">
        <v>25</v>
      </c>
      <c r="F41" s="50" t="s">
        <v>191</v>
      </c>
      <c r="O41" s="50" t="s">
        <v>146</v>
      </c>
      <c r="P41" s="50" t="s">
        <v>198</v>
      </c>
      <c r="R41" s="53"/>
      <c r="S41" s="53"/>
    </row>
    <row r="42" spans="1:19">
      <c r="A42" s="51" t="s">
        <v>199</v>
      </c>
      <c r="B42" s="52"/>
      <c r="C42" s="50">
        <v>12</v>
      </c>
      <c r="D42" s="50">
        <v>25</v>
      </c>
      <c r="F42" s="50" t="s">
        <v>191</v>
      </c>
      <c r="O42" s="50" t="s">
        <v>137</v>
      </c>
      <c r="P42" s="50" t="s">
        <v>200</v>
      </c>
      <c r="R42" s="53"/>
      <c r="S42" s="53"/>
    </row>
    <row r="43" spans="1:19">
      <c r="A43" s="51" t="s">
        <v>201</v>
      </c>
      <c r="B43" s="52"/>
      <c r="C43" s="50">
        <v>12</v>
      </c>
      <c r="D43" s="50">
        <v>25</v>
      </c>
      <c r="F43" s="50" t="s">
        <v>191</v>
      </c>
      <c r="O43" s="50" t="s">
        <v>146</v>
      </c>
      <c r="P43" s="50" t="s">
        <v>202</v>
      </c>
      <c r="S43" s="53"/>
    </row>
    <row r="44" spans="1:19">
      <c r="R44" s="53"/>
      <c r="S44" s="53"/>
    </row>
    <row r="45" spans="1:19">
      <c r="A45" s="51" t="s">
        <v>203</v>
      </c>
      <c r="B45" s="52"/>
      <c r="C45" s="50">
        <v>30</v>
      </c>
      <c r="D45" s="50">
        <v>0</v>
      </c>
      <c r="O45" s="50" t="s">
        <v>137</v>
      </c>
      <c r="P45" s="50" t="s">
        <v>204</v>
      </c>
      <c r="S45" s="53"/>
    </row>
    <row r="46" spans="1:19">
      <c r="A46" s="51" t="s">
        <v>205</v>
      </c>
      <c r="B46" s="52"/>
      <c r="C46" s="50">
        <v>30</v>
      </c>
      <c r="D46" s="50">
        <v>0</v>
      </c>
      <c r="O46" s="50" t="s">
        <v>137</v>
      </c>
      <c r="P46" s="50" t="s">
        <v>206</v>
      </c>
      <c r="R46" s="53"/>
      <c r="S46" s="53"/>
    </row>
    <row r="47" spans="1:19">
      <c r="A47" s="51" t="s">
        <v>207</v>
      </c>
      <c r="B47" s="52"/>
      <c r="C47" s="50">
        <v>30</v>
      </c>
      <c r="D47" s="50">
        <v>0</v>
      </c>
      <c r="O47" s="50" t="s">
        <v>137</v>
      </c>
      <c r="P47" s="50" t="s">
        <v>208</v>
      </c>
      <c r="S47" s="53"/>
    </row>
    <row r="48" spans="1:19">
      <c r="A48" s="51" t="s">
        <v>209</v>
      </c>
      <c r="B48" s="52"/>
      <c r="C48" s="50">
        <v>30</v>
      </c>
      <c r="D48" s="50">
        <v>10</v>
      </c>
      <c r="E48" s="50">
        <v>1400</v>
      </c>
      <c r="F48" s="50">
        <v>12</v>
      </c>
      <c r="O48" s="50" t="s">
        <v>137</v>
      </c>
      <c r="P48" s="50" t="s">
        <v>210</v>
      </c>
      <c r="R48" s="53"/>
      <c r="S48" s="53"/>
    </row>
    <row r="49" spans="1:19">
      <c r="A49" s="51" t="s">
        <v>211</v>
      </c>
      <c r="B49" s="52"/>
      <c r="C49" s="50">
        <v>30</v>
      </c>
      <c r="D49" s="50">
        <v>0</v>
      </c>
      <c r="O49" s="50" t="s">
        <v>149</v>
      </c>
      <c r="P49" s="50" t="s">
        <v>212</v>
      </c>
      <c r="S49" s="53"/>
    </row>
    <row r="50" spans="1:19">
      <c r="A50" s="51" t="s">
        <v>213</v>
      </c>
      <c r="B50" s="52"/>
      <c r="C50" s="50">
        <v>30</v>
      </c>
      <c r="D50" s="50">
        <v>0</v>
      </c>
      <c r="O50" s="50" t="s">
        <v>149</v>
      </c>
      <c r="P50" s="50" t="s">
        <v>214</v>
      </c>
      <c r="R50" s="53"/>
      <c r="S50" s="53"/>
    </row>
    <row r="51" spans="1:19">
      <c r="R51" s="53"/>
      <c r="S51" s="53"/>
    </row>
    <row r="52" spans="1:19">
      <c r="A52" s="51" t="s">
        <v>215</v>
      </c>
      <c r="B52" s="52"/>
      <c r="C52" s="50">
        <v>30</v>
      </c>
      <c r="D52" s="50">
        <v>0</v>
      </c>
      <c r="F52" s="50">
        <v>20</v>
      </c>
      <c r="O52" s="50" t="s">
        <v>146</v>
      </c>
      <c r="P52" s="50" t="s">
        <v>216</v>
      </c>
      <c r="S52" s="53"/>
    </row>
    <row r="53" spans="1:19">
      <c r="A53" s="51" t="s">
        <v>217</v>
      </c>
      <c r="B53" s="52"/>
      <c r="C53" s="50">
        <v>30</v>
      </c>
      <c r="D53" s="50">
        <v>0</v>
      </c>
      <c r="F53" s="50">
        <v>24</v>
      </c>
      <c r="O53" s="50" t="s">
        <v>146</v>
      </c>
      <c r="P53" s="50" t="s">
        <v>218</v>
      </c>
      <c r="R53" s="53"/>
      <c r="S53" s="53"/>
    </row>
    <row r="54" spans="1:19">
      <c r="A54" s="51" t="s">
        <v>219</v>
      </c>
      <c r="B54" s="52"/>
      <c r="C54" s="50">
        <v>30</v>
      </c>
      <c r="D54" s="50">
        <v>0</v>
      </c>
      <c r="O54" s="50" t="s">
        <v>182</v>
      </c>
      <c r="P54" s="50" t="s">
        <v>220</v>
      </c>
      <c r="S54" s="53"/>
    </row>
    <row r="55" spans="1:19">
      <c r="A55" s="51" t="s">
        <v>221</v>
      </c>
      <c r="B55" s="52"/>
      <c r="C55" s="50">
        <v>30</v>
      </c>
      <c r="D55" s="50">
        <v>0</v>
      </c>
      <c r="O55" s="50" t="s">
        <v>146</v>
      </c>
      <c r="P55" s="50" t="s">
        <v>222</v>
      </c>
      <c r="R55" s="53"/>
      <c r="S55" s="53"/>
    </row>
    <row r="56" spans="1:19">
      <c r="A56" s="51" t="s">
        <v>223</v>
      </c>
      <c r="B56" s="52"/>
      <c r="C56" s="50">
        <v>30</v>
      </c>
      <c r="D56" s="50">
        <v>0</v>
      </c>
      <c r="E56" s="50" t="s">
        <v>224</v>
      </c>
      <c r="O56" s="50" t="s">
        <v>140</v>
      </c>
      <c r="P56" s="50" t="s">
        <v>225</v>
      </c>
      <c r="S56" s="53"/>
    </row>
    <row r="57" spans="1:19">
      <c r="A57" s="51" t="s">
        <v>226</v>
      </c>
      <c r="B57" s="52"/>
      <c r="C57" s="50">
        <v>30</v>
      </c>
      <c r="D57" s="50">
        <v>0</v>
      </c>
      <c r="O57" s="50" t="s">
        <v>146</v>
      </c>
      <c r="P57" s="50" t="s">
        <v>227</v>
      </c>
      <c r="R57" s="53"/>
      <c r="S57" s="53"/>
    </row>
    <row r="59" spans="1:19">
      <c r="A59" s="51" t="s">
        <v>228</v>
      </c>
      <c r="B59" s="52"/>
      <c r="C59" s="50">
        <v>20</v>
      </c>
      <c r="D59" s="50">
        <v>0</v>
      </c>
      <c r="F59" s="50">
        <v>20</v>
      </c>
      <c r="O59" s="50" t="s">
        <v>137</v>
      </c>
      <c r="P59" s="50" t="s">
        <v>229</v>
      </c>
    </row>
    <row r="60" spans="1:19">
      <c r="A60" s="51" t="s">
        <v>230</v>
      </c>
      <c r="B60" s="52"/>
      <c r="C60" s="50">
        <v>20</v>
      </c>
      <c r="D60" s="50">
        <v>0</v>
      </c>
      <c r="F60" s="50">
        <v>20</v>
      </c>
      <c r="O60" s="50" t="s">
        <v>137</v>
      </c>
      <c r="P60" s="50" t="s">
        <v>231</v>
      </c>
    </row>
    <row r="61" spans="1:19">
      <c r="A61" s="51" t="s">
        <v>232</v>
      </c>
      <c r="B61" s="52"/>
      <c r="C61" s="50">
        <v>20</v>
      </c>
      <c r="D61" s="50">
        <v>0</v>
      </c>
      <c r="F61" s="50">
        <v>20</v>
      </c>
      <c r="O61" s="50" t="s">
        <v>137</v>
      </c>
      <c r="P61" s="50" t="s">
        <v>233</v>
      </c>
    </row>
    <row r="62" spans="1:19">
      <c r="A62" s="51" t="s">
        <v>234</v>
      </c>
      <c r="B62" s="52"/>
      <c r="C62" s="50">
        <v>20</v>
      </c>
      <c r="D62" s="50">
        <v>0</v>
      </c>
      <c r="F62" s="50">
        <v>20</v>
      </c>
      <c r="O62" s="50" t="s">
        <v>137</v>
      </c>
      <c r="P62" s="49" t="s">
        <v>235</v>
      </c>
    </row>
    <row r="63" spans="1:19">
      <c r="A63" s="51" t="s">
        <v>236</v>
      </c>
      <c r="B63" s="52"/>
      <c r="C63" s="50">
        <v>20</v>
      </c>
      <c r="D63" s="50">
        <v>0</v>
      </c>
      <c r="F63" s="50">
        <v>20</v>
      </c>
      <c r="O63" s="50" t="s">
        <v>137</v>
      </c>
      <c r="P63" s="50" t="s">
        <v>237</v>
      </c>
    </row>
    <row r="64" spans="1:19">
      <c r="A64" s="51" t="s">
        <v>238</v>
      </c>
      <c r="B64" s="52"/>
      <c r="C64" s="50">
        <v>20</v>
      </c>
      <c r="D64" s="50">
        <v>0</v>
      </c>
      <c r="F64" s="50">
        <v>20</v>
      </c>
      <c r="O64" s="50" t="s">
        <v>137</v>
      </c>
      <c r="P64" s="50" t="s">
        <v>239</v>
      </c>
    </row>
    <row r="66" spans="1:16">
      <c r="A66" s="51" t="s">
        <v>240</v>
      </c>
      <c r="B66" s="52"/>
      <c r="C66" s="50">
        <v>20</v>
      </c>
      <c r="D66" s="50">
        <v>0</v>
      </c>
      <c r="O66" s="50" t="s">
        <v>137</v>
      </c>
      <c r="P66" s="50" t="s">
        <v>241</v>
      </c>
    </row>
    <row r="67" spans="1:16">
      <c r="A67" s="51" t="s">
        <v>242</v>
      </c>
      <c r="B67" s="52"/>
      <c r="C67" s="50">
        <v>20</v>
      </c>
      <c r="D67" s="50">
        <v>0</v>
      </c>
      <c r="O67" s="50" t="s">
        <v>137</v>
      </c>
      <c r="P67" s="50" t="s">
        <v>243</v>
      </c>
    </row>
    <row r="68" spans="1:16">
      <c r="A68" s="51" t="s">
        <v>244</v>
      </c>
      <c r="B68" s="52"/>
      <c r="C68" s="50">
        <v>20</v>
      </c>
      <c r="D68" s="50">
        <v>0</v>
      </c>
      <c r="O68" s="50" t="s">
        <v>137</v>
      </c>
      <c r="P68" s="50" t="s">
        <v>245</v>
      </c>
    </row>
    <row r="69" spans="1:16">
      <c r="A69" s="51" t="s">
        <v>246</v>
      </c>
      <c r="B69" s="52"/>
      <c r="C69" s="50">
        <v>20</v>
      </c>
      <c r="D69" s="50">
        <v>0</v>
      </c>
      <c r="O69" s="50" t="s">
        <v>137</v>
      </c>
      <c r="P69" s="50" t="s">
        <v>247</v>
      </c>
    </row>
    <row r="70" spans="1:16">
      <c r="A70" s="51" t="s">
        <v>248</v>
      </c>
      <c r="B70" s="52"/>
      <c r="C70" s="50">
        <v>20</v>
      </c>
      <c r="D70" s="50">
        <v>0</v>
      </c>
      <c r="E70" s="50">
        <v>50</v>
      </c>
      <c r="O70" s="50" t="s">
        <v>149</v>
      </c>
      <c r="P70" s="50" t="s">
        <v>249</v>
      </c>
    </row>
    <row r="71" spans="1:16">
      <c r="A71" s="51" t="s">
        <v>250</v>
      </c>
      <c r="B71" s="52"/>
      <c r="C71" s="50">
        <v>20</v>
      </c>
      <c r="D71" s="50">
        <v>0</v>
      </c>
      <c r="O71" s="50" t="s">
        <v>137</v>
      </c>
      <c r="P71" s="50" t="s">
        <v>251</v>
      </c>
    </row>
    <row r="73" spans="1:16">
      <c r="A73" s="51" t="s">
        <v>252</v>
      </c>
      <c r="B73" s="52"/>
      <c r="C73" s="50">
        <v>16</v>
      </c>
      <c r="D73" s="50">
        <v>0</v>
      </c>
      <c r="O73" s="50" t="s">
        <v>137</v>
      </c>
      <c r="P73" s="50" t="s">
        <v>253</v>
      </c>
    </row>
    <row r="74" spans="1:16">
      <c r="A74" s="51" t="s">
        <v>254</v>
      </c>
      <c r="B74" s="52"/>
      <c r="C74" s="50">
        <v>16</v>
      </c>
      <c r="D74" s="50">
        <v>10</v>
      </c>
      <c r="E74" s="50">
        <v>515</v>
      </c>
      <c r="O74" s="50" t="s">
        <v>137</v>
      </c>
      <c r="P74" s="50" t="s">
        <v>255</v>
      </c>
    </row>
    <row r="75" spans="1:16">
      <c r="A75" s="51" t="s">
        <v>256</v>
      </c>
      <c r="B75" s="52"/>
      <c r="C75" s="50">
        <v>16</v>
      </c>
      <c r="D75" s="50">
        <v>2</v>
      </c>
      <c r="E75" s="50" t="s">
        <v>257</v>
      </c>
      <c r="O75" s="50" t="s">
        <v>140</v>
      </c>
      <c r="P75" s="50" t="s">
        <v>258</v>
      </c>
    </row>
    <row r="76" spans="1:16">
      <c r="A76" s="51" t="s">
        <v>259</v>
      </c>
      <c r="B76" s="52"/>
      <c r="C76" s="50">
        <v>16</v>
      </c>
      <c r="D76" s="50">
        <v>0</v>
      </c>
      <c r="O76" s="50" t="s">
        <v>137</v>
      </c>
      <c r="P76" s="50" t="s">
        <v>260</v>
      </c>
    </row>
    <row r="77" spans="1:16">
      <c r="A77" s="51" t="s">
        <v>261</v>
      </c>
      <c r="B77" s="52"/>
      <c r="C77" s="50">
        <v>16</v>
      </c>
      <c r="D77" s="50">
        <v>0</v>
      </c>
      <c r="O77" s="50" t="s">
        <v>137</v>
      </c>
      <c r="P77" s="50" t="s">
        <v>262</v>
      </c>
    </row>
    <row r="78" spans="1:16">
      <c r="A78" s="51" t="s">
        <v>263</v>
      </c>
      <c r="B78" s="52"/>
      <c r="C78" s="50">
        <v>16</v>
      </c>
      <c r="D78" s="50">
        <v>4</v>
      </c>
      <c r="E78" s="50">
        <v>185</v>
      </c>
      <c r="G78" s="50">
        <v>5</v>
      </c>
      <c r="O78" s="50" t="s">
        <v>146</v>
      </c>
      <c r="P78" s="50" t="s">
        <v>264</v>
      </c>
    </row>
    <row r="80" spans="1:16">
      <c r="A80" s="51" t="s">
        <v>265</v>
      </c>
      <c r="B80" s="52"/>
      <c r="C80" s="50">
        <v>15</v>
      </c>
      <c r="D80" s="50">
        <v>83.3</v>
      </c>
      <c r="E80" s="50">
        <v>1160</v>
      </c>
      <c r="F80" s="50">
        <v>15</v>
      </c>
      <c r="O80" s="50" t="s">
        <v>146</v>
      </c>
      <c r="P80" s="50" t="s">
        <v>266</v>
      </c>
    </row>
    <row r="81" spans="1:16">
      <c r="A81" s="51" t="s">
        <v>267</v>
      </c>
      <c r="B81" s="52"/>
      <c r="C81" s="50">
        <v>15</v>
      </c>
      <c r="D81" s="50">
        <v>50</v>
      </c>
      <c r="E81" s="50">
        <v>1160</v>
      </c>
      <c r="F81" s="50">
        <v>15</v>
      </c>
      <c r="O81" s="50" t="s">
        <v>146</v>
      </c>
      <c r="P81" s="50" t="s">
        <v>268</v>
      </c>
    </row>
    <row r="82" spans="1:16">
      <c r="A82" s="51" t="s">
        <v>269</v>
      </c>
      <c r="B82" s="52"/>
      <c r="C82" s="50">
        <v>15</v>
      </c>
      <c r="D82" s="50">
        <v>83.3</v>
      </c>
      <c r="E82" s="50">
        <v>1160</v>
      </c>
      <c r="F82" s="50">
        <v>15</v>
      </c>
      <c r="O82" s="50" t="s">
        <v>146</v>
      </c>
      <c r="P82" s="50" t="s">
        <v>270</v>
      </c>
    </row>
    <row r="83" spans="1:16">
      <c r="A83" s="51" t="s">
        <v>271</v>
      </c>
      <c r="B83" s="52"/>
      <c r="C83" s="50">
        <v>15</v>
      </c>
      <c r="D83" s="50">
        <v>83.3</v>
      </c>
      <c r="E83" s="50">
        <v>1160</v>
      </c>
      <c r="F83" s="50">
        <v>15</v>
      </c>
      <c r="O83" s="50" t="s">
        <v>146</v>
      </c>
      <c r="P83" s="50" t="s">
        <v>272</v>
      </c>
    </row>
    <row r="84" spans="1:16">
      <c r="A84" s="51" t="s">
        <v>273</v>
      </c>
      <c r="B84" s="52"/>
      <c r="C84" s="50">
        <v>15</v>
      </c>
      <c r="D84" s="50">
        <v>50</v>
      </c>
      <c r="E84" s="50">
        <v>1160</v>
      </c>
      <c r="F84" s="50">
        <v>20</v>
      </c>
      <c r="O84" s="50" t="s">
        <v>137</v>
      </c>
      <c r="P84" s="50" t="s">
        <v>274</v>
      </c>
    </row>
    <row r="85" spans="1:16">
      <c r="A85" s="51" t="s">
        <v>275</v>
      </c>
      <c r="B85" s="52"/>
      <c r="C85" s="50">
        <v>15</v>
      </c>
      <c r="D85" s="50">
        <v>166.7</v>
      </c>
      <c r="E85" s="50">
        <v>1160</v>
      </c>
      <c r="F85" s="50">
        <v>15</v>
      </c>
      <c r="O85" s="50" t="s">
        <v>140</v>
      </c>
      <c r="P85" s="50" t="s">
        <v>276</v>
      </c>
    </row>
    <row r="87" spans="1:16">
      <c r="A87" s="51" t="s">
        <v>277</v>
      </c>
      <c r="B87" s="52"/>
      <c r="C87" s="50">
        <v>30</v>
      </c>
      <c r="D87" s="50">
        <v>0</v>
      </c>
      <c r="O87" s="50" t="s">
        <v>137</v>
      </c>
      <c r="P87" s="50" t="s">
        <v>278</v>
      </c>
    </row>
    <row r="88" spans="1:16">
      <c r="A88" s="51" t="s">
        <v>279</v>
      </c>
      <c r="B88" s="52"/>
      <c r="C88" s="50">
        <v>30</v>
      </c>
      <c r="D88" s="50">
        <v>0</v>
      </c>
      <c r="O88" s="50" t="s">
        <v>137</v>
      </c>
      <c r="P88" s="50" t="s">
        <v>280</v>
      </c>
    </row>
    <row r="89" spans="1:16">
      <c r="A89" s="51" t="s">
        <v>281</v>
      </c>
      <c r="B89" s="52"/>
      <c r="C89" s="50">
        <v>30</v>
      </c>
      <c r="D89" s="50">
        <v>0</v>
      </c>
      <c r="F89" s="50">
        <v>10</v>
      </c>
      <c r="O89" s="50" t="s">
        <v>137</v>
      </c>
      <c r="P89" s="50" t="s">
        <v>282</v>
      </c>
    </row>
    <row r="90" spans="1:16">
      <c r="A90" s="51" t="s">
        <v>283</v>
      </c>
      <c r="B90" s="52"/>
      <c r="C90" s="50">
        <v>30</v>
      </c>
      <c r="D90" s="50">
        <v>0</v>
      </c>
      <c r="O90" s="50" t="s">
        <v>137</v>
      </c>
      <c r="P90" s="50" t="s">
        <v>284</v>
      </c>
    </row>
    <row r="91" spans="1:16">
      <c r="A91" s="51" t="s">
        <v>285</v>
      </c>
      <c r="B91" s="52"/>
      <c r="C91" s="50">
        <v>30</v>
      </c>
      <c r="D91" s="50">
        <v>0</v>
      </c>
      <c r="O91" s="50" t="s">
        <v>137</v>
      </c>
      <c r="P91" s="50" t="s">
        <v>286</v>
      </c>
    </row>
    <row r="92" spans="1:16">
      <c r="A92" s="51" t="s">
        <v>287</v>
      </c>
      <c r="B92" s="52"/>
      <c r="C92" s="50">
        <v>30</v>
      </c>
      <c r="D92" s="50">
        <v>0</v>
      </c>
      <c r="O92" s="50" t="s">
        <v>137</v>
      </c>
      <c r="P92" s="50" t="s">
        <v>288</v>
      </c>
    </row>
    <row r="94" spans="1:16">
      <c r="A94" s="51" t="s">
        <v>118</v>
      </c>
      <c r="B94" s="52"/>
      <c r="C94" s="50">
        <v>30</v>
      </c>
      <c r="D94" s="50">
        <v>0</v>
      </c>
      <c r="O94" s="50" t="s">
        <v>137</v>
      </c>
      <c r="P94" s="50" t="s">
        <v>289</v>
      </c>
    </row>
    <row r="95" spans="1:16">
      <c r="A95" s="51" t="s">
        <v>290</v>
      </c>
      <c r="B95" s="52"/>
      <c r="C95" s="50">
        <v>30</v>
      </c>
      <c r="D95" s="50">
        <v>0</v>
      </c>
      <c r="O95" s="50" t="s">
        <v>137</v>
      </c>
      <c r="P95" s="50" t="s">
        <v>291</v>
      </c>
    </row>
    <row r="96" spans="1:16">
      <c r="A96" s="51" t="s">
        <v>292</v>
      </c>
      <c r="B96" s="52"/>
      <c r="C96" s="50">
        <v>30</v>
      </c>
      <c r="D96" s="50">
        <v>0</v>
      </c>
      <c r="O96" s="50" t="s">
        <v>137</v>
      </c>
      <c r="P96" s="50" t="s">
        <v>293</v>
      </c>
    </row>
    <row r="97" spans="1:16">
      <c r="A97" s="51" t="s">
        <v>294</v>
      </c>
      <c r="B97" s="52"/>
      <c r="C97" s="50">
        <v>30</v>
      </c>
      <c r="D97" s="50">
        <v>0</v>
      </c>
      <c r="O97" s="50" t="s">
        <v>137</v>
      </c>
      <c r="P97" s="50" t="s">
        <v>295</v>
      </c>
    </row>
    <row r="98" spans="1:16">
      <c r="A98" s="51" t="s">
        <v>296</v>
      </c>
      <c r="B98" s="52"/>
      <c r="C98" s="50">
        <v>30</v>
      </c>
      <c r="D98" s="50">
        <v>0</v>
      </c>
      <c r="O98" s="50" t="s">
        <v>137</v>
      </c>
      <c r="P98" s="50" t="s">
        <v>297</v>
      </c>
    </row>
    <row r="99" spans="1:16">
      <c r="A99" s="51" t="s">
        <v>298</v>
      </c>
      <c r="B99" s="52"/>
      <c r="C99" s="50">
        <v>30</v>
      </c>
      <c r="D99" s="50">
        <v>0</v>
      </c>
      <c r="O99" s="50" t="s">
        <v>137</v>
      </c>
      <c r="P99" s="50" t="s">
        <v>299</v>
      </c>
    </row>
    <row r="101" spans="1:16">
      <c r="A101" s="51" t="s">
        <v>300</v>
      </c>
      <c r="B101" s="52"/>
      <c r="C101" s="50">
        <v>30</v>
      </c>
      <c r="D101" s="50">
        <v>0</v>
      </c>
      <c r="O101" s="50" t="s">
        <v>137</v>
      </c>
      <c r="P101" s="50" t="s">
        <v>301</v>
      </c>
    </row>
    <row r="102" spans="1:16">
      <c r="A102" s="51" t="s">
        <v>302</v>
      </c>
      <c r="B102" s="52"/>
      <c r="C102" s="50">
        <v>30</v>
      </c>
      <c r="D102" s="50">
        <v>0</v>
      </c>
      <c r="O102" s="50" t="s">
        <v>137</v>
      </c>
      <c r="P102" s="50" t="s">
        <v>303</v>
      </c>
    </row>
    <row r="103" spans="1:16">
      <c r="A103" s="51" t="s">
        <v>304</v>
      </c>
      <c r="B103" s="52"/>
      <c r="C103" s="50">
        <v>30</v>
      </c>
      <c r="D103" s="50">
        <v>0</v>
      </c>
      <c r="O103" s="50" t="s">
        <v>137</v>
      </c>
      <c r="P103" s="50" t="s">
        <v>305</v>
      </c>
    </row>
    <row r="104" spans="1:16">
      <c r="A104" s="51" t="s">
        <v>306</v>
      </c>
      <c r="B104" s="52"/>
      <c r="C104" s="50">
        <v>30</v>
      </c>
      <c r="D104" s="50">
        <v>0</v>
      </c>
      <c r="O104" s="50" t="s">
        <v>137</v>
      </c>
      <c r="P104" s="50" t="s">
        <v>307</v>
      </c>
    </row>
    <row r="105" spans="1:16">
      <c r="A105" s="51" t="s">
        <v>308</v>
      </c>
      <c r="B105" s="52"/>
      <c r="C105" s="50">
        <v>30</v>
      </c>
      <c r="D105" s="50">
        <v>0</v>
      </c>
      <c r="O105" s="50" t="s">
        <v>137</v>
      </c>
      <c r="P105" s="50" t="s">
        <v>309</v>
      </c>
    </row>
    <row r="106" spans="1:16">
      <c r="A106" s="51" t="s">
        <v>310</v>
      </c>
      <c r="B106" s="52"/>
      <c r="C106" s="50">
        <v>30</v>
      </c>
      <c r="D106" s="50">
        <v>0</v>
      </c>
      <c r="O106" s="50" t="s">
        <v>137</v>
      </c>
      <c r="P106" s="50" t="s">
        <v>311</v>
      </c>
    </row>
    <row r="108" spans="1:16">
      <c r="A108" s="51" t="s">
        <v>312</v>
      </c>
      <c r="B108" s="52">
        <v>25</v>
      </c>
      <c r="C108" s="50">
        <v>30</v>
      </c>
      <c r="D108" s="50">
        <v>100</v>
      </c>
      <c r="E108" s="50">
        <v>1700</v>
      </c>
      <c r="F108" s="50">
        <v>14</v>
      </c>
      <c r="O108" s="50" t="s">
        <v>137</v>
      </c>
    </row>
    <row r="109" spans="1:16">
      <c r="A109" s="51" t="s">
        <v>313</v>
      </c>
      <c r="B109" s="52">
        <v>25</v>
      </c>
      <c r="C109" s="50">
        <v>30</v>
      </c>
      <c r="D109" s="50">
        <v>50</v>
      </c>
      <c r="E109" s="50">
        <v>1700</v>
      </c>
      <c r="F109" s="50">
        <v>14</v>
      </c>
      <c r="H109" s="50">
        <v>0.7</v>
      </c>
      <c r="I109" s="50" t="s">
        <v>314</v>
      </c>
      <c r="O109" s="50" t="s">
        <v>140</v>
      </c>
      <c r="P109" s="50" t="s">
        <v>315</v>
      </c>
    </row>
    <row r="110" spans="1:16">
      <c r="A110" s="51" t="s">
        <v>316</v>
      </c>
      <c r="B110" s="52">
        <v>25</v>
      </c>
      <c r="C110" s="50">
        <v>30</v>
      </c>
      <c r="D110" s="50">
        <v>50</v>
      </c>
      <c r="E110" s="50">
        <v>1700</v>
      </c>
      <c r="F110" s="50">
        <v>14</v>
      </c>
      <c r="H110" s="50">
        <v>8.3000000000000007</v>
      </c>
      <c r="I110" s="50">
        <v>605</v>
      </c>
      <c r="O110" s="50" t="s">
        <v>149</v>
      </c>
      <c r="P110" s="50" t="s">
        <v>317</v>
      </c>
    </row>
    <row r="111" spans="1:16">
      <c r="A111" s="51" t="s">
        <v>318</v>
      </c>
      <c r="B111" s="52">
        <v>25</v>
      </c>
      <c r="C111" s="50">
        <v>30</v>
      </c>
      <c r="D111" s="50">
        <v>100</v>
      </c>
      <c r="E111" s="50">
        <v>1700</v>
      </c>
      <c r="F111" s="50">
        <v>14</v>
      </c>
      <c r="I111" s="50">
        <v>280</v>
      </c>
      <c r="O111" s="50" t="s">
        <v>137</v>
      </c>
      <c r="P111" s="50" t="s">
        <v>319</v>
      </c>
    </row>
    <row r="112" spans="1:16">
      <c r="A112" s="51" t="s">
        <v>320</v>
      </c>
      <c r="B112" s="52">
        <v>25</v>
      </c>
      <c r="C112" s="50">
        <v>30</v>
      </c>
      <c r="D112" s="50">
        <v>100</v>
      </c>
      <c r="E112" s="50">
        <v>1700</v>
      </c>
      <c r="F112" s="50">
        <v>14</v>
      </c>
      <c r="O112" s="50" t="s">
        <v>149</v>
      </c>
      <c r="P112" s="50" t="s">
        <v>321</v>
      </c>
    </row>
    <row r="113" spans="1:16">
      <c r="A113" s="51" t="s">
        <v>322</v>
      </c>
      <c r="B113" s="52">
        <v>25</v>
      </c>
      <c r="C113" s="50">
        <v>30</v>
      </c>
      <c r="D113" s="50">
        <v>50</v>
      </c>
      <c r="E113" s="50">
        <v>1700</v>
      </c>
      <c r="F113" s="50">
        <v>14</v>
      </c>
      <c r="H113" s="50">
        <v>0.7</v>
      </c>
      <c r="I113" s="50">
        <v>230</v>
      </c>
      <c r="O113" s="50" t="s">
        <v>146</v>
      </c>
      <c r="P113" s="50" t="s">
        <v>323</v>
      </c>
    </row>
    <row r="115" spans="1:16">
      <c r="A115" s="51" t="s">
        <v>324</v>
      </c>
      <c r="B115" s="52"/>
      <c r="C115" s="50">
        <v>90</v>
      </c>
      <c r="D115" s="50">
        <v>25</v>
      </c>
      <c r="O115" s="50" t="s">
        <v>140</v>
      </c>
      <c r="P115" s="50" t="s">
        <v>325</v>
      </c>
    </row>
    <row r="116" spans="1:16">
      <c r="A116" s="51" t="s">
        <v>326</v>
      </c>
      <c r="B116" s="52"/>
      <c r="C116" s="50">
        <v>90</v>
      </c>
      <c r="D116" s="50">
        <v>25</v>
      </c>
      <c r="E116" s="50" t="s">
        <v>327</v>
      </c>
      <c r="O116" s="50" t="s">
        <v>140</v>
      </c>
      <c r="P116" s="50" t="s">
        <v>328</v>
      </c>
    </row>
    <row r="117" spans="1:16">
      <c r="A117" s="51" t="s">
        <v>329</v>
      </c>
      <c r="B117" s="52"/>
      <c r="C117" s="50">
        <v>90</v>
      </c>
      <c r="D117" s="50">
        <v>25</v>
      </c>
      <c r="O117" s="50" t="s">
        <v>137</v>
      </c>
      <c r="P117" s="50" t="s">
        <v>330</v>
      </c>
    </row>
    <row r="118" spans="1:16">
      <c r="A118" s="51" t="s">
        <v>331</v>
      </c>
      <c r="B118" s="52"/>
      <c r="C118" s="50">
        <v>90</v>
      </c>
      <c r="D118" s="50">
        <v>25</v>
      </c>
      <c r="O118" s="50" t="s">
        <v>149</v>
      </c>
      <c r="P118" s="50" t="s">
        <v>332</v>
      </c>
    </row>
    <row r="119" spans="1:16">
      <c r="A119" s="51" t="s">
        <v>333</v>
      </c>
      <c r="B119" s="52"/>
      <c r="C119" s="50">
        <v>90</v>
      </c>
      <c r="D119" s="50">
        <v>25</v>
      </c>
      <c r="O119" s="50" t="s">
        <v>146</v>
      </c>
      <c r="P119" s="50" t="s">
        <v>334</v>
      </c>
    </row>
    <row r="120" spans="1:16">
      <c r="A120" s="51" t="s">
        <v>335</v>
      </c>
      <c r="B120" s="52"/>
      <c r="C120" s="50">
        <v>90</v>
      </c>
      <c r="D120" s="50">
        <v>25</v>
      </c>
      <c r="O120" s="50" t="s">
        <v>146</v>
      </c>
      <c r="P120" s="50" t="s">
        <v>336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G21"/>
  <sheetViews>
    <sheetView workbookViewId="0"/>
  </sheetViews>
  <sheetFormatPr baseColWidth="10" defaultColWidth="14.42578125" defaultRowHeight="15.75" customHeight="1"/>
  <cols>
    <col min="1" max="1" width="36.42578125" style="29" customWidth="1"/>
    <col min="2" max="11" width="14.42578125" style="29"/>
    <col min="12" max="12" width="17.85546875" style="29" customWidth="1"/>
    <col min="13" max="16384" width="14.42578125" style="29"/>
  </cols>
  <sheetData>
    <row r="1" spans="1:59" ht="15.75" customHeight="1">
      <c r="A1" s="28"/>
      <c r="B1" s="28" t="s">
        <v>337</v>
      </c>
      <c r="C1" s="28" t="s">
        <v>338</v>
      </c>
      <c r="D1" s="28" t="s">
        <v>339</v>
      </c>
      <c r="E1" s="28" t="s">
        <v>340</v>
      </c>
      <c r="F1" s="28" t="s">
        <v>341</v>
      </c>
      <c r="G1" s="28" t="s">
        <v>342</v>
      </c>
      <c r="H1" s="28" t="s">
        <v>343</v>
      </c>
      <c r="I1" s="28" t="s">
        <v>344</v>
      </c>
      <c r="J1" s="28" t="s">
        <v>345</v>
      </c>
      <c r="K1" s="28" t="s">
        <v>346</v>
      </c>
      <c r="L1" s="28" t="s">
        <v>347</v>
      </c>
      <c r="M1" s="28" t="s">
        <v>348</v>
      </c>
      <c r="N1" s="65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</row>
    <row r="2" spans="1:59" ht="15.75" customHeight="1">
      <c r="A2" s="54" t="s">
        <v>349</v>
      </c>
      <c r="B2" s="28">
        <v>316</v>
      </c>
      <c r="C2" s="28">
        <v>585</v>
      </c>
      <c r="D2" s="28">
        <v>1.2</v>
      </c>
      <c r="E2" s="28">
        <v>1199</v>
      </c>
      <c r="F2" s="28">
        <v>1490</v>
      </c>
      <c r="G2" s="55">
        <f t="shared" ref="G2:G12" si="0">AVERAGE(B2+E2,C2+F2)*D2</f>
        <v>2154</v>
      </c>
      <c r="H2" s="55">
        <v>2154</v>
      </c>
      <c r="I2" s="28">
        <v>1560</v>
      </c>
      <c r="J2" s="28">
        <v>1940</v>
      </c>
      <c r="K2" s="28">
        <f t="shared" ref="K2:K12" si="1">AVERAGE(B2,C2)</f>
        <v>450.5</v>
      </c>
      <c r="L2" s="28">
        <f t="shared" ref="L2:L12" si="2">AVERAGE(E2,F2)</f>
        <v>1344.5</v>
      </c>
      <c r="M2" s="55">
        <f t="shared" ref="M2:M12" si="3">AVERAGE(I2,J2)</f>
        <v>1750</v>
      </c>
      <c r="N2" s="66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</row>
    <row r="3" spans="1:59" ht="15.75" customHeight="1">
      <c r="A3" s="54" t="s">
        <v>350</v>
      </c>
      <c r="B3" s="28">
        <v>1737</v>
      </c>
      <c r="C3" s="28">
        <v>1912</v>
      </c>
      <c r="D3" s="28">
        <v>1</v>
      </c>
      <c r="E3" s="28">
        <v>1439</v>
      </c>
      <c r="F3" s="28">
        <v>1788</v>
      </c>
      <c r="G3" s="55">
        <f t="shared" si="0"/>
        <v>3438</v>
      </c>
      <c r="H3" s="55">
        <v>3438</v>
      </c>
      <c r="I3" s="28">
        <v>1870</v>
      </c>
      <c r="J3" s="28">
        <v>2325</v>
      </c>
      <c r="K3" s="28">
        <f t="shared" si="1"/>
        <v>1824.5</v>
      </c>
      <c r="L3" s="28">
        <f t="shared" si="2"/>
        <v>1613.5</v>
      </c>
      <c r="M3" s="55">
        <f t="shared" si="3"/>
        <v>2097.5</v>
      </c>
      <c r="N3" s="65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</row>
    <row r="4" spans="1:59" ht="15.75" customHeight="1">
      <c r="A4" s="54" t="s">
        <v>351</v>
      </c>
      <c r="B4" s="28">
        <v>1384</v>
      </c>
      <c r="C4" s="28">
        <v>1685</v>
      </c>
      <c r="D4" s="28">
        <v>1.1000000000000001</v>
      </c>
      <c r="E4" s="28">
        <v>1439</v>
      </c>
      <c r="F4" s="28">
        <v>1788</v>
      </c>
      <c r="G4" s="55">
        <f t="shared" si="0"/>
        <v>3462.8</v>
      </c>
      <c r="H4" s="55">
        <v>3462.8</v>
      </c>
      <c r="I4" s="28">
        <v>1870</v>
      </c>
      <c r="J4" s="28">
        <v>2325</v>
      </c>
      <c r="K4" s="28">
        <f t="shared" si="1"/>
        <v>1534.5</v>
      </c>
      <c r="L4" s="28">
        <f t="shared" si="2"/>
        <v>1613.5</v>
      </c>
      <c r="M4" s="55">
        <f t="shared" si="3"/>
        <v>2097.5</v>
      </c>
      <c r="N4" s="65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</row>
    <row r="5" spans="1:59" ht="15.75" customHeight="1">
      <c r="A5" s="54" t="s">
        <v>352</v>
      </c>
      <c r="B5" s="28">
        <v>1137</v>
      </c>
      <c r="C5" s="28">
        <v>1702</v>
      </c>
      <c r="D5" s="28">
        <v>1.1499999999999999</v>
      </c>
      <c r="E5" s="28">
        <v>1439</v>
      </c>
      <c r="F5" s="28">
        <v>1788</v>
      </c>
      <c r="G5" s="55">
        <f t="shared" si="0"/>
        <v>3487.95</v>
      </c>
      <c r="H5" s="56" t="s">
        <v>353</v>
      </c>
      <c r="I5" s="28">
        <v>1870</v>
      </c>
      <c r="J5" s="28">
        <v>2325</v>
      </c>
      <c r="K5" s="28">
        <f t="shared" si="1"/>
        <v>1419.5</v>
      </c>
      <c r="L5" s="28">
        <f t="shared" si="2"/>
        <v>1613.5</v>
      </c>
      <c r="M5" s="55">
        <f t="shared" si="3"/>
        <v>2097.5</v>
      </c>
      <c r="N5" s="65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</row>
    <row r="6" spans="1:59" ht="15.75" customHeight="1">
      <c r="A6" s="54" t="s">
        <v>67</v>
      </c>
      <c r="B6" s="28">
        <v>192</v>
      </c>
      <c r="C6" s="28">
        <v>355</v>
      </c>
      <c r="D6" s="28">
        <v>1.4</v>
      </c>
      <c r="E6" s="28">
        <v>1199</v>
      </c>
      <c r="F6" s="28">
        <v>1490</v>
      </c>
      <c r="G6" s="55">
        <f t="shared" si="0"/>
        <v>2265.1999999999998</v>
      </c>
      <c r="H6" s="55">
        <v>2265.1999999999998</v>
      </c>
      <c r="I6" s="28">
        <v>1560</v>
      </c>
      <c r="J6" s="28">
        <v>1940</v>
      </c>
      <c r="K6" s="28">
        <f t="shared" si="1"/>
        <v>273.5</v>
      </c>
      <c r="L6" s="28">
        <f t="shared" si="2"/>
        <v>1344.5</v>
      </c>
      <c r="M6" s="55">
        <f t="shared" si="3"/>
        <v>1750</v>
      </c>
      <c r="N6" s="65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</row>
    <row r="7" spans="1:59" ht="15.75" customHeight="1">
      <c r="A7" s="54" t="s">
        <v>354</v>
      </c>
      <c r="B7" s="28">
        <v>1351</v>
      </c>
      <c r="C7" s="28">
        <v>1486</v>
      </c>
      <c r="D7" s="28">
        <v>1.1499999999999999</v>
      </c>
      <c r="E7" s="28">
        <v>1439</v>
      </c>
      <c r="F7" s="28">
        <v>1788</v>
      </c>
      <c r="G7" s="55">
        <f t="shared" si="0"/>
        <v>3486.7999999999997</v>
      </c>
      <c r="H7" s="56" t="s">
        <v>353</v>
      </c>
      <c r="I7" s="28">
        <v>1870</v>
      </c>
      <c r="J7" s="28">
        <v>2325</v>
      </c>
      <c r="K7" s="28">
        <f t="shared" si="1"/>
        <v>1418.5</v>
      </c>
      <c r="L7" s="28">
        <f t="shared" si="2"/>
        <v>1613.5</v>
      </c>
      <c r="M7" s="55">
        <f t="shared" si="3"/>
        <v>2097.5</v>
      </c>
      <c r="N7" s="65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</row>
    <row r="8" spans="1:59" ht="15.75" customHeight="1">
      <c r="A8" s="54" t="s">
        <v>355</v>
      </c>
      <c r="B8" s="28">
        <v>249</v>
      </c>
      <c r="C8" s="28">
        <v>461</v>
      </c>
      <c r="D8" s="28">
        <v>1.3</v>
      </c>
      <c r="E8" s="28">
        <v>1199</v>
      </c>
      <c r="F8" s="28">
        <v>1490</v>
      </c>
      <c r="G8" s="55">
        <f t="shared" si="0"/>
        <v>2209.35</v>
      </c>
      <c r="H8" s="55">
        <v>2209.4</v>
      </c>
      <c r="I8" s="28">
        <v>1560</v>
      </c>
      <c r="J8" s="28">
        <v>1940</v>
      </c>
      <c r="K8" s="28">
        <f t="shared" si="1"/>
        <v>355</v>
      </c>
      <c r="L8" s="28">
        <f t="shared" si="2"/>
        <v>1344.5</v>
      </c>
      <c r="M8" s="55">
        <f t="shared" si="3"/>
        <v>1750</v>
      </c>
      <c r="N8" s="65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</row>
    <row r="9" spans="1:59" ht="15.75" customHeight="1">
      <c r="A9" s="54" t="s">
        <v>356</v>
      </c>
      <c r="B9" s="28">
        <v>168</v>
      </c>
      <c r="C9" s="28">
        <v>392</v>
      </c>
      <c r="D9" s="28">
        <v>1.4</v>
      </c>
      <c r="E9" s="28">
        <v>1199</v>
      </c>
      <c r="F9" s="28">
        <v>1490</v>
      </c>
      <c r="G9" s="55">
        <f t="shared" si="0"/>
        <v>2274.2999999999997</v>
      </c>
      <c r="H9" s="55">
        <v>2274.3000000000002</v>
      </c>
      <c r="I9" s="28">
        <v>1560</v>
      </c>
      <c r="J9" s="28">
        <v>1940</v>
      </c>
      <c r="K9" s="28">
        <f t="shared" si="1"/>
        <v>280</v>
      </c>
      <c r="L9" s="28">
        <f t="shared" si="2"/>
        <v>1344.5</v>
      </c>
      <c r="M9" s="55">
        <f t="shared" si="3"/>
        <v>1750</v>
      </c>
      <c r="N9" s="65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</row>
    <row r="10" spans="1:59" ht="15.75" customHeight="1">
      <c r="A10" s="54" t="s">
        <v>357</v>
      </c>
      <c r="B10" s="28">
        <v>107</v>
      </c>
      <c r="C10" s="28">
        <v>321</v>
      </c>
      <c r="D10" s="28">
        <v>1.5</v>
      </c>
      <c r="E10" s="28">
        <v>1199</v>
      </c>
      <c r="F10" s="28">
        <v>1490</v>
      </c>
      <c r="G10" s="55">
        <f t="shared" si="0"/>
        <v>2337.75</v>
      </c>
      <c r="H10" s="56" t="s">
        <v>353</v>
      </c>
      <c r="I10" s="28">
        <v>1365</v>
      </c>
      <c r="J10" s="28">
        <v>1700</v>
      </c>
      <c r="K10" s="28">
        <f t="shared" si="1"/>
        <v>214</v>
      </c>
      <c r="L10" s="28">
        <f t="shared" si="2"/>
        <v>1344.5</v>
      </c>
      <c r="M10" s="55">
        <f t="shared" si="3"/>
        <v>1532.5</v>
      </c>
      <c r="N10" s="65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</row>
    <row r="11" spans="1:59" ht="15.75" customHeight="1">
      <c r="A11" s="54" t="s">
        <v>358</v>
      </c>
      <c r="B11" s="28">
        <v>353</v>
      </c>
      <c r="C11" s="28">
        <v>526</v>
      </c>
      <c r="D11" s="28">
        <v>1.2</v>
      </c>
      <c r="E11" s="28">
        <v>1199</v>
      </c>
      <c r="F11" s="28">
        <v>1490</v>
      </c>
      <c r="G11" s="55">
        <f t="shared" si="0"/>
        <v>2140.7999999999997</v>
      </c>
      <c r="H11" s="55">
        <v>2140.8000000000002</v>
      </c>
      <c r="I11" s="28">
        <v>1560</v>
      </c>
      <c r="J11" s="28">
        <v>1940</v>
      </c>
      <c r="K11" s="28">
        <f t="shared" si="1"/>
        <v>439.5</v>
      </c>
      <c r="L11" s="28">
        <f t="shared" si="2"/>
        <v>1344.5</v>
      </c>
      <c r="M11" s="55">
        <f t="shared" si="3"/>
        <v>1750</v>
      </c>
      <c r="N11" s="65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</row>
    <row r="12" spans="1:59" ht="15.75" customHeight="1">
      <c r="A12" s="54" t="s">
        <v>359</v>
      </c>
      <c r="B12" s="28">
        <v>1497</v>
      </c>
      <c r="C12" s="28">
        <v>1823</v>
      </c>
      <c r="D12" s="28">
        <v>1.05</v>
      </c>
      <c r="E12" s="28">
        <v>1439</v>
      </c>
      <c r="F12" s="28">
        <v>1788</v>
      </c>
      <c r="G12" s="55">
        <f t="shared" si="0"/>
        <v>3437.1750000000002</v>
      </c>
      <c r="H12" s="56" t="s">
        <v>353</v>
      </c>
      <c r="I12" s="28">
        <v>1870</v>
      </c>
      <c r="J12" s="28">
        <v>2325</v>
      </c>
      <c r="K12" s="28">
        <f t="shared" si="1"/>
        <v>1660</v>
      </c>
      <c r="L12" s="28">
        <f t="shared" si="2"/>
        <v>1613.5</v>
      </c>
      <c r="M12" s="55">
        <f t="shared" si="3"/>
        <v>2097.5</v>
      </c>
    </row>
    <row r="13" spans="1:59" ht="15.75" customHeight="1">
      <c r="A13" s="28"/>
      <c r="B13" s="28"/>
      <c r="C13" s="28"/>
      <c r="D13" s="28"/>
      <c r="E13" s="28"/>
      <c r="F13" s="28"/>
      <c r="G13" s="55"/>
      <c r="H13" s="28"/>
      <c r="I13" s="28"/>
      <c r="J13" s="28"/>
      <c r="K13" s="28"/>
      <c r="L13" s="28"/>
      <c r="M13" s="55"/>
    </row>
    <row r="14" spans="1:59" ht="15.75" customHeight="1">
      <c r="B14" s="28"/>
    </row>
    <row r="20" spans="1:1" ht="15.75" customHeight="1">
      <c r="A20" s="28"/>
    </row>
    <row r="21" spans="1:1" ht="15.75" customHeight="1">
      <c r="A21" s="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1"/>
  <sheetViews>
    <sheetView topLeftCell="A13" workbookViewId="0"/>
  </sheetViews>
  <sheetFormatPr baseColWidth="10" defaultRowHeight="12.75"/>
  <cols>
    <col min="1" max="1" width="29.140625" bestFit="1" customWidth="1"/>
    <col min="2" max="2" width="11.42578125" customWidth="1"/>
  </cols>
  <sheetData>
    <row r="1" spans="1:2">
      <c r="A1" t="s">
        <v>406</v>
      </c>
      <c r="B1" t="s">
        <v>421</v>
      </c>
    </row>
    <row r="2" spans="1:2">
      <c r="A2" t="s">
        <v>379</v>
      </c>
      <c r="B2" t="s">
        <v>419</v>
      </c>
    </row>
    <row r="3" spans="1:2">
      <c r="A3" t="s">
        <v>119</v>
      </c>
      <c r="B3" t="s">
        <v>420</v>
      </c>
    </row>
    <row r="4" spans="1:2">
      <c r="A4" t="s">
        <v>407</v>
      </c>
      <c r="B4" t="s">
        <v>422</v>
      </c>
    </row>
    <row r="5" spans="1:2">
      <c r="A5" t="s">
        <v>408</v>
      </c>
      <c r="B5" t="s">
        <v>423</v>
      </c>
    </row>
    <row r="6" spans="1:2">
      <c r="A6" t="s">
        <v>409</v>
      </c>
      <c r="B6" t="s">
        <v>424</v>
      </c>
    </row>
    <row r="7" spans="1:2">
      <c r="A7" t="s">
        <v>410</v>
      </c>
      <c r="B7" t="s">
        <v>425</v>
      </c>
    </row>
    <row r="8" spans="1:2">
      <c r="A8" t="s">
        <v>404</v>
      </c>
      <c r="B8" t="s">
        <v>426</v>
      </c>
    </row>
    <row r="9" spans="1:2">
      <c r="A9" t="s">
        <v>411</v>
      </c>
      <c r="B9" t="s">
        <v>427</v>
      </c>
    </row>
    <row r="10" spans="1:2">
      <c r="A10" t="s">
        <v>412</v>
      </c>
      <c r="B10" t="s">
        <v>428</v>
      </c>
    </row>
    <row r="11" spans="1:2">
      <c r="A11" t="s">
        <v>381</v>
      </c>
      <c r="B11" t="s">
        <v>429</v>
      </c>
    </row>
    <row r="12" spans="1:2">
      <c r="A12" t="s">
        <v>413</v>
      </c>
      <c r="B12" t="s">
        <v>430</v>
      </c>
    </row>
    <row r="13" spans="1:2">
      <c r="A13" t="s">
        <v>380</v>
      </c>
      <c r="B13" t="s">
        <v>431</v>
      </c>
    </row>
    <row r="14" spans="1:2">
      <c r="A14" t="s">
        <v>414</v>
      </c>
      <c r="B14" t="s">
        <v>432</v>
      </c>
    </row>
    <row r="15" spans="1:2">
      <c r="A15" t="s">
        <v>415</v>
      </c>
      <c r="B15" t="s">
        <v>433</v>
      </c>
    </row>
    <row r="16" spans="1:2">
      <c r="A16" t="s">
        <v>416</v>
      </c>
      <c r="B16" t="s">
        <v>434</v>
      </c>
    </row>
    <row r="17" spans="1:5">
      <c r="A17" t="s">
        <v>417</v>
      </c>
      <c r="B17" t="s">
        <v>435</v>
      </c>
    </row>
    <row r="18" spans="1:5">
      <c r="A18" t="s">
        <v>418</v>
      </c>
      <c r="B18" t="s">
        <v>436</v>
      </c>
    </row>
    <row r="21" spans="1:5">
      <c r="A21" t="s">
        <v>112</v>
      </c>
      <c r="B21" t="s">
        <v>111</v>
      </c>
      <c r="C21" t="s">
        <v>110</v>
      </c>
      <c r="D21" t="s">
        <v>109</v>
      </c>
    </row>
    <row r="22" spans="1:5">
      <c r="A22" t="s">
        <v>108</v>
      </c>
      <c r="B22">
        <v>10</v>
      </c>
      <c r="C22">
        <v>0.5</v>
      </c>
      <c r="D22">
        <v>75</v>
      </c>
      <c r="E22" t="s">
        <v>107</v>
      </c>
    </row>
    <row r="23" spans="1:5">
      <c r="A23" t="s">
        <v>106</v>
      </c>
      <c r="B23">
        <v>1200</v>
      </c>
      <c r="C23">
        <v>30</v>
      </c>
      <c r="D23">
        <v>3</v>
      </c>
      <c r="E23" t="s">
        <v>105</v>
      </c>
    </row>
    <row r="24" spans="1:5">
      <c r="A24" t="s">
        <v>104</v>
      </c>
      <c r="B24">
        <v>15</v>
      </c>
      <c r="C24">
        <v>0.3</v>
      </c>
      <c r="D24">
        <v>25</v>
      </c>
      <c r="E24" t="s">
        <v>103</v>
      </c>
    </row>
    <row r="25" spans="1:5">
      <c r="A25" t="s">
        <v>102</v>
      </c>
      <c r="B25">
        <v>600</v>
      </c>
      <c r="C25">
        <v>10</v>
      </c>
      <c r="D25">
        <v>25</v>
      </c>
      <c r="E25" t="s">
        <v>101</v>
      </c>
    </row>
    <row r="26" spans="1:5">
      <c r="A26" t="s">
        <v>100</v>
      </c>
      <c r="B26">
        <v>0.8</v>
      </c>
      <c r="C26">
        <v>0.01</v>
      </c>
      <c r="D26">
        <v>25</v>
      </c>
      <c r="E26" t="s">
        <v>99</v>
      </c>
    </row>
    <row r="27" spans="1:5">
      <c r="A27" t="s">
        <v>98</v>
      </c>
      <c r="B27">
        <v>30</v>
      </c>
      <c r="C27">
        <v>1</v>
      </c>
      <c r="D27">
        <v>15</v>
      </c>
      <c r="E27" t="s">
        <v>97</v>
      </c>
    </row>
    <row r="28" spans="1:5">
      <c r="A28" t="s">
        <v>96</v>
      </c>
      <c r="B28">
        <v>25</v>
      </c>
      <c r="C28">
        <v>0.5</v>
      </c>
      <c r="D28">
        <v>2</v>
      </c>
      <c r="E28" t="s">
        <v>95</v>
      </c>
    </row>
    <row r="29" spans="1:5">
      <c r="A29" t="s">
        <v>94</v>
      </c>
      <c r="B29">
        <v>10</v>
      </c>
      <c r="C29">
        <v>1</v>
      </c>
      <c r="E29" t="s">
        <v>93</v>
      </c>
    </row>
    <row r="30" spans="1:5">
      <c r="A30" t="s">
        <v>92</v>
      </c>
      <c r="B30">
        <v>500</v>
      </c>
      <c r="C30">
        <v>50</v>
      </c>
      <c r="E30" t="s">
        <v>91</v>
      </c>
    </row>
    <row r="31" spans="1:5">
      <c r="A31" t="s">
        <v>90</v>
      </c>
      <c r="B31">
        <v>2000</v>
      </c>
      <c r="C31">
        <v>50</v>
      </c>
      <c r="D31">
        <v>10</v>
      </c>
      <c r="E31" t="s">
        <v>89</v>
      </c>
    </row>
    <row r="32" spans="1:5">
      <c r="A32" t="s">
        <v>88</v>
      </c>
      <c r="B32">
        <v>30</v>
      </c>
      <c r="C32">
        <v>0.4</v>
      </c>
      <c r="D32">
        <v>20</v>
      </c>
      <c r="E32" t="s">
        <v>87</v>
      </c>
    </row>
    <row r="33" spans="1:5">
      <c r="A33" t="s">
        <v>86</v>
      </c>
      <c r="B33">
        <v>10000</v>
      </c>
      <c r="C33">
        <v>1000</v>
      </c>
      <c r="E33" t="s">
        <v>85</v>
      </c>
    </row>
    <row r="34" spans="1:5">
      <c r="A34" t="s">
        <v>84</v>
      </c>
      <c r="B34">
        <v>50</v>
      </c>
      <c r="C34">
        <v>1</v>
      </c>
      <c r="E34" t="s">
        <v>83</v>
      </c>
    </row>
    <row r="35" spans="1:5">
      <c r="A35" t="s">
        <v>82</v>
      </c>
      <c r="B35">
        <v>5</v>
      </c>
      <c r="C35">
        <v>0.4</v>
      </c>
      <c r="D35">
        <v>10</v>
      </c>
      <c r="E35" t="s">
        <v>81</v>
      </c>
    </row>
    <row r="36" spans="1:5">
      <c r="A36" t="s">
        <v>80</v>
      </c>
      <c r="B36">
        <v>2000</v>
      </c>
      <c r="C36">
        <v>40</v>
      </c>
      <c r="E36" t="s">
        <v>79</v>
      </c>
    </row>
    <row r="37" spans="1:5">
      <c r="A37" t="s">
        <v>78</v>
      </c>
      <c r="B37">
        <v>3</v>
      </c>
      <c r="C37">
        <v>0.1</v>
      </c>
      <c r="E37" t="s">
        <v>77</v>
      </c>
    </row>
    <row r="38" spans="1:5">
      <c r="A38" t="s">
        <v>76</v>
      </c>
      <c r="B38">
        <v>15</v>
      </c>
      <c r="C38">
        <v>0.3</v>
      </c>
      <c r="E38" t="s">
        <v>75</v>
      </c>
    </row>
    <row r="39" spans="1:5">
      <c r="A39" t="s">
        <v>74</v>
      </c>
      <c r="B39">
        <v>4</v>
      </c>
      <c r="C39">
        <v>0.05</v>
      </c>
      <c r="D39">
        <v>20</v>
      </c>
      <c r="E39" t="s">
        <v>73</v>
      </c>
    </row>
    <row r="40" spans="1:5">
      <c r="A40" t="s">
        <v>72</v>
      </c>
      <c r="B40">
        <v>20</v>
      </c>
      <c r="C40">
        <v>1</v>
      </c>
      <c r="E40" t="s">
        <v>71</v>
      </c>
    </row>
    <row r="41" spans="1:5">
      <c r="A41" t="s">
        <v>70</v>
      </c>
      <c r="B41">
        <v>25</v>
      </c>
      <c r="C41">
        <v>1.5</v>
      </c>
      <c r="D41">
        <v>30</v>
      </c>
      <c r="E41" t="s">
        <v>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Z215"/>
  <sheetViews>
    <sheetView workbookViewId="0">
      <selection activeCell="M13" sqref="M13"/>
    </sheetView>
  </sheetViews>
  <sheetFormatPr baseColWidth="10" defaultRowHeight="12.75"/>
  <cols>
    <col min="1" max="1" width="19.140625" bestFit="1" customWidth="1"/>
    <col min="2" max="2" width="10.7109375" bestFit="1" customWidth="1"/>
    <col min="3" max="3" width="12.7109375" bestFit="1" customWidth="1"/>
    <col min="4" max="4" width="14.140625" bestFit="1" customWidth="1"/>
    <col min="5" max="5" width="15.42578125" bestFit="1" customWidth="1"/>
    <col min="6" max="6" width="13.140625" bestFit="1" customWidth="1"/>
    <col min="7" max="8" width="15.5703125" bestFit="1" customWidth="1"/>
    <col min="9" max="9" width="18.140625" bestFit="1" customWidth="1"/>
    <col min="10" max="10" width="16.85546875" bestFit="1" customWidth="1"/>
    <col min="11" max="11" width="19.140625" bestFit="1" customWidth="1"/>
    <col min="12" max="12" width="17.42578125" bestFit="1" customWidth="1"/>
    <col min="13" max="13" width="15.7109375" bestFit="1" customWidth="1"/>
    <col min="14" max="14" width="14.42578125" bestFit="1" customWidth="1"/>
    <col min="15" max="15" width="15.7109375" bestFit="1" customWidth="1"/>
    <col min="16" max="16" width="17.28515625" bestFit="1" customWidth="1"/>
    <col min="18" max="22" width="20" bestFit="1" customWidth="1"/>
    <col min="24" max="26" width="20.7109375" bestFit="1" customWidth="1"/>
  </cols>
  <sheetData>
    <row r="1" spans="1:26">
      <c r="A1" t="s">
        <v>136</v>
      </c>
      <c r="B1" t="s">
        <v>151</v>
      </c>
      <c r="C1" t="s">
        <v>162</v>
      </c>
      <c r="D1" t="s">
        <v>171</v>
      </c>
      <c r="E1" s="51" t="s">
        <v>190</v>
      </c>
      <c r="F1" s="67" t="s">
        <v>203</v>
      </c>
      <c r="G1" s="51" t="s">
        <v>215</v>
      </c>
      <c r="H1" s="51" t="s">
        <v>228</v>
      </c>
      <c r="I1" s="51" t="s">
        <v>240</v>
      </c>
      <c r="J1" s="67" t="s">
        <v>543</v>
      </c>
      <c r="K1" s="51" t="s">
        <v>265</v>
      </c>
      <c r="L1" s="67" t="s">
        <v>539</v>
      </c>
      <c r="M1" s="67" t="s">
        <v>540</v>
      </c>
      <c r="N1" s="67" t="s">
        <v>541</v>
      </c>
      <c r="O1" s="51" t="s">
        <v>312</v>
      </c>
      <c r="P1" s="67" t="s">
        <v>538</v>
      </c>
      <c r="R1" t="s">
        <v>406</v>
      </c>
      <c r="S1" t="str">
        <f>IF(build!$E$10=Feuil5!R1,"",Feuil5!R1)</f>
        <v>force des cieux</v>
      </c>
      <c r="T1" t="str">
        <f>IF(build!$E$11=S1,"",S1)</f>
        <v>force des cieux</v>
      </c>
      <c r="U1" t="str">
        <f>IF(build!$E$12=T1,"",T1)</f>
        <v>force des cieux</v>
      </c>
      <c r="V1" t="str">
        <f>IF(build!$E$13=U1,"",U1)</f>
        <v>force des cieux</v>
      </c>
      <c r="X1" t="s">
        <v>108</v>
      </c>
      <c r="Y1" t="str">
        <f>IF(build!$E$17=Feuil5!X1,"",Feuil5!X1)</f>
        <v>altération ésotérique</v>
      </c>
      <c r="Z1" t="str">
        <f>IF(build!$E$18=Feuil5!Y1,"",Feuil5!Y1)</f>
        <v>altération ésotérique</v>
      </c>
    </row>
    <row r="2" spans="1:26">
      <c r="A2" t="s">
        <v>523</v>
      </c>
      <c r="B2" t="s">
        <v>524</v>
      </c>
      <c r="C2" t="s">
        <v>525</v>
      </c>
      <c r="D2" t="s">
        <v>526</v>
      </c>
      <c r="E2" s="67" t="s">
        <v>527</v>
      </c>
      <c r="F2" s="67" t="s">
        <v>203</v>
      </c>
      <c r="G2" s="67" t="s">
        <v>528</v>
      </c>
      <c r="H2" s="67" t="s">
        <v>529</v>
      </c>
      <c r="I2" s="67" t="s">
        <v>530</v>
      </c>
      <c r="J2" s="67" t="s">
        <v>531</v>
      </c>
      <c r="K2" s="67" t="s">
        <v>532</v>
      </c>
      <c r="L2" s="67" t="s">
        <v>533</v>
      </c>
      <c r="M2" s="67" t="s">
        <v>534</v>
      </c>
      <c r="N2" s="67" t="s">
        <v>535</v>
      </c>
      <c r="O2" s="67" t="s">
        <v>536</v>
      </c>
      <c r="P2" s="67" t="s">
        <v>537</v>
      </c>
      <c r="R2" t="s">
        <v>379</v>
      </c>
      <c r="S2" t="str">
        <f>IF(build!$E$10=Feuil5!R2,"",Feuil5!R2)</f>
        <v/>
      </c>
      <c r="T2" t="str">
        <f>IF(build!$E$11=S2,"",S2)</f>
        <v/>
      </c>
      <c r="U2" t="str">
        <f>IF(build!$E$12=T2,"",T2)</f>
        <v/>
      </c>
      <c r="V2" t="str">
        <f>IF(build!$E$13=U2,"",U2)</f>
        <v/>
      </c>
      <c r="X2" t="s">
        <v>106</v>
      </c>
      <c r="Y2" t="str">
        <f>IF(build!$E$17=Feuil5!X2,"",Feuil5!X2)</f>
        <v>amplificateur de douleur</v>
      </c>
      <c r="Z2" t="str">
        <f>IF(build!$E$18=Feuil5!Y2,"",Feuil5!Y2)</f>
        <v>amplificateur de douleur</v>
      </c>
    </row>
    <row r="3" spans="1:26">
      <c r="A3" t="s">
        <v>443</v>
      </c>
      <c r="B3" t="s">
        <v>448</v>
      </c>
      <c r="C3" t="s">
        <v>453</v>
      </c>
      <c r="D3" t="s">
        <v>458</v>
      </c>
      <c r="E3" s="67" t="s">
        <v>463</v>
      </c>
      <c r="F3" s="67" t="s">
        <v>468</v>
      </c>
      <c r="G3" s="51" t="s">
        <v>473</v>
      </c>
      <c r="H3" s="51" t="s">
        <v>478</v>
      </c>
      <c r="I3" s="51" t="s">
        <v>482</v>
      </c>
      <c r="J3" s="51" t="s">
        <v>487</v>
      </c>
      <c r="K3" s="51" t="s">
        <v>492</v>
      </c>
      <c r="L3" s="51" t="s">
        <v>497</v>
      </c>
      <c r="M3" s="51" t="s">
        <v>500</v>
      </c>
      <c r="N3" s="67" t="s">
        <v>519</v>
      </c>
      <c r="O3" s="51" t="s">
        <v>505</v>
      </c>
      <c r="P3" s="51" t="s">
        <v>510</v>
      </c>
      <c r="R3" t="s">
        <v>119</v>
      </c>
      <c r="S3" t="str">
        <f>IF(build!$E$10=Feuil5!R3,"",Feuil5!R3)</f>
        <v>vigilance</v>
      </c>
      <c r="T3" t="str">
        <f>IF(build!$E$11=S3,"",S3)</f>
        <v>vigilance</v>
      </c>
      <c r="U3" t="str">
        <f>IF(build!$E$12=T3,"",T3)</f>
        <v>vigilance</v>
      </c>
      <c r="V3" t="str">
        <f>IF(build!$E$13=U3,"",U3)</f>
        <v>vigilance</v>
      </c>
      <c r="X3" t="s">
        <v>104</v>
      </c>
      <c r="Y3" t="str">
        <f>IF(build!$E$17=Feuil5!X3,"",Feuil5!X3)</f>
        <v>cheville ouvrière</v>
      </c>
      <c r="Z3" t="str">
        <f>IF(build!$E$18=Feuil5!Y3,"",Feuil5!Y3)</f>
        <v>cheville ouvrière</v>
      </c>
    </row>
    <row r="4" spans="1:26">
      <c r="A4" t="s">
        <v>444</v>
      </c>
      <c r="B4" t="s">
        <v>449</v>
      </c>
      <c r="C4" t="s">
        <v>454</v>
      </c>
      <c r="D4" t="s">
        <v>459</v>
      </c>
      <c r="E4" s="67" t="s">
        <v>464</v>
      </c>
      <c r="F4" s="67" t="s">
        <v>469</v>
      </c>
      <c r="G4" s="51" t="s">
        <v>474</v>
      </c>
      <c r="H4" s="51" t="s">
        <v>479</v>
      </c>
      <c r="I4" s="51" t="s">
        <v>483</v>
      </c>
      <c r="J4" s="51" t="s">
        <v>488</v>
      </c>
      <c r="K4" s="51" t="s">
        <v>493</v>
      </c>
      <c r="L4" s="51" t="s">
        <v>498</v>
      </c>
      <c r="M4" s="51" t="s">
        <v>501</v>
      </c>
      <c r="N4" s="67" t="s">
        <v>515</v>
      </c>
      <c r="O4" s="51" t="s">
        <v>506</v>
      </c>
      <c r="P4" s="51" t="s">
        <v>511</v>
      </c>
      <c r="R4" t="s">
        <v>407</v>
      </c>
      <c r="S4" t="str">
        <f>IF(build!$E$10=Feuil5!R4,"",Feuil5!R4)</f>
        <v>vertu</v>
      </c>
      <c r="T4" t="str">
        <f>IF(build!$E$11=S4,"",S4)</f>
        <v>vertu</v>
      </c>
      <c r="U4" t="str">
        <f>IF(build!$E$12=T4,"",T4)</f>
        <v>vertu</v>
      </c>
      <c r="V4" t="str">
        <f>IF(build!$E$13=U4,"",U4)</f>
        <v>vertu</v>
      </c>
      <c r="X4" t="s">
        <v>102</v>
      </c>
      <c r="Y4" t="str">
        <f>IF(build!$E$17=Feuil5!X4,"",Feuil5!X4)</f>
        <v>couronne de foudre</v>
      </c>
      <c r="Z4" t="str">
        <f>IF(build!$E$18=Feuil5!Y4,"",Feuil5!Y4)</f>
        <v>couronne de foudre</v>
      </c>
    </row>
    <row r="5" spans="1:26">
      <c r="A5" t="s">
        <v>445</v>
      </c>
      <c r="B5" t="s">
        <v>450</v>
      </c>
      <c r="C5" t="s">
        <v>455</v>
      </c>
      <c r="D5" t="s">
        <v>460</v>
      </c>
      <c r="E5" s="67" t="s">
        <v>465</v>
      </c>
      <c r="F5" s="67" t="s">
        <v>470</v>
      </c>
      <c r="G5" s="51" t="s">
        <v>475</v>
      </c>
      <c r="H5" s="51" t="s">
        <v>480</v>
      </c>
      <c r="I5" s="51" t="s">
        <v>484</v>
      </c>
      <c r="J5" s="51" t="s">
        <v>489</v>
      </c>
      <c r="K5" s="51" t="s">
        <v>494</v>
      </c>
      <c r="L5" s="51" t="s">
        <v>360</v>
      </c>
      <c r="M5" s="51" t="s">
        <v>502</v>
      </c>
      <c r="N5" s="67" t="s">
        <v>516</v>
      </c>
      <c r="O5" s="51" t="s">
        <v>507</v>
      </c>
      <c r="P5" s="51" t="s">
        <v>512</v>
      </c>
      <c r="R5" t="s">
        <v>408</v>
      </c>
      <c r="S5" t="str">
        <f>IF(build!$E$10=Feuil5!R5,"",Feuil5!R5)</f>
        <v>insurmontable</v>
      </c>
      <c r="T5" t="str">
        <f>IF(build!$E$11=S5,"",S5)</f>
        <v>insurmontable</v>
      </c>
      <c r="U5" t="str">
        <f>IF(build!$E$12=T5,"",T5)</f>
        <v>insurmontable</v>
      </c>
      <c r="V5" t="str">
        <f>IF(build!$E$13=U5,"",U5)</f>
        <v>insurmontable</v>
      </c>
      <c r="X5" t="s">
        <v>100</v>
      </c>
      <c r="Y5" t="str">
        <f>IF(build!$E$17=Feuil5!X5,"",Feuil5!X5)</f>
        <v>fléau des accablés</v>
      </c>
      <c r="Z5" t="str">
        <f>IF(build!$E$18=Feuil5!Y5,"",Feuil5!Y5)</f>
        <v>fléau des accablés</v>
      </c>
    </row>
    <row r="6" spans="1:26">
      <c r="A6" t="s">
        <v>446</v>
      </c>
      <c r="B6" t="s">
        <v>451</v>
      </c>
      <c r="C6" t="s">
        <v>456</v>
      </c>
      <c r="D6" t="s">
        <v>461</v>
      </c>
      <c r="E6" s="67" t="s">
        <v>466</v>
      </c>
      <c r="F6" s="67" t="s">
        <v>471</v>
      </c>
      <c r="G6" s="51" t="s">
        <v>476</v>
      </c>
      <c r="H6" s="51" t="s">
        <v>481</v>
      </c>
      <c r="I6" s="51" t="s">
        <v>485</v>
      </c>
      <c r="J6" s="51" t="s">
        <v>490</v>
      </c>
      <c r="K6" s="51" t="s">
        <v>495</v>
      </c>
      <c r="L6" s="51" t="s">
        <v>382</v>
      </c>
      <c r="M6" s="51" t="s">
        <v>503</v>
      </c>
      <c r="N6" s="67" t="s">
        <v>517</v>
      </c>
      <c r="O6" s="51" t="s">
        <v>508</v>
      </c>
      <c r="P6" s="51" t="s">
        <v>513</v>
      </c>
      <c r="R6" t="s">
        <v>409</v>
      </c>
      <c r="S6" t="str">
        <f>IF(build!$E$10=Feuil5!R6,"",Feuil5!R6)</f>
        <v>fanatisme</v>
      </c>
      <c r="T6" t="str">
        <f>IF(build!$E$11=S6,"",S6)</f>
        <v>fanatisme</v>
      </c>
      <c r="U6" t="str">
        <f>IF(build!$E$12=T6,"",T6)</f>
        <v>fanatisme</v>
      </c>
      <c r="V6" t="str">
        <f>IF(build!$E$13=U6,"",U6)</f>
        <v>fanatisme</v>
      </c>
      <c r="X6" t="s">
        <v>98</v>
      </c>
      <c r="Y6" t="str">
        <f>IF(build!$E$17=Feuil5!X6,"",Feuil5!X6)</f>
        <v>fléau des puissants</v>
      </c>
      <c r="Z6" t="str">
        <f>IF(build!$E$18=Feuil5!Y6,"",Feuil5!Y6)</f>
        <v>fléau des puissants</v>
      </c>
    </row>
    <row r="7" spans="1:26">
      <c r="A7" t="s">
        <v>447</v>
      </c>
      <c r="B7" t="s">
        <v>452</v>
      </c>
      <c r="C7" t="s">
        <v>457</v>
      </c>
      <c r="D7" t="s">
        <v>462</v>
      </c>
      <c r="E7" s="67" t="s">
        <v>467</v>
      </c>
      <c r="F7" s="67" t="s">
        <v>472</v>
      </c>
      <c r="G7" s="51" t="s">
        <v>477</v>
      </c>
      <c r="H7" s="67" t="s">
        <v>503</v>
      </c>
      <c r="I7" s="51" t="s">
        <v>486</v>
      </c>
      <c r="J7" s="51" t="s">
        <v>491</v>
      </c>
      <c r="K7" s="51" t="s">
        <v>496</v>
      </c>
      <c r="L7" s="51" t="s">
        <v>499</v>
      </c>
      <c r="M7" s="51" t="s">
        <v>504</v>
      </c>
      <c r="N7" s="67" t="s">
        <v>518</v>
      </c>
      <c r="O7" s="51" t="s">
        <v>509</v>
      </c>
      <c r="P7" s="51" t="s">
        <v>514</v>
      </c>
      <c r="R7" t="s">
        <v>410</v>
      </c>
      <c r="S7" t="str">
        <f>IF(build!$E$10=Feuil5!R7,"",Feuil5!R7)</f>
        <v>indestructible</v>
      </c>
      <c r="T7" t="str">
        <f>IF(build!$E$11=S7,"",S7)</f>
        <v>indestructible</v>
      </c>
      <c r="U7" t="str">
        <f>IF(build!$E$12=T7,"",T7)</f>
        <v>indestructible</v>
      </c>
      <c r="V7" t="str">
        <f>IF(build!$E$13=U7,"",U7)</f>
        <v>indestructible</v>
      </c>
      <c r="X7" t="s">
        <v>96</v>
      </c>
      <c r="Y7" t="str">
        <f>IF(build!$E$17=Feuil5!X7,"",Feuil5!X7)</f>
        <v>force de la simplicité</v>
      </c>
      <c r="Z7" t="str">
        <f>IF(build!$E$18=Feuil5!Y7,"",Feuil5!Y7)</f>
        <v>force de la simplicité</v>
      </c>
    </row>
    <row r="8" spans="1:26">
      <c r="E8" s="67"/>
      <c r="F8" s="67"/>
      <c r="G8" s="51"/>
      <c r="H8" s="51"/>
      <c r="I8" s="51"/>
      <c r="J8" s="51"/>
      <c r="K8" s="51"/>
      <c r="L8" s="51"/>
      <c r="M8" s="51"/>
      <c r="N8" s="67"/>
      <c r="O8" s="51"/>
      <c r="P8" s="51"/>
      <c r="R8" t="s">
        <v>404</v>
      </c>
      <c r="S8" t="str">
        <f>IF(build!$E$10=Feuil5!R8,"",Feuil5!R8)</f>
        <v>cause sacrée</v>
      </c>
      <c r="T8" t="str">
        <f>IF(build!$E$11=S8,"",S8)</f>
        <v/>
      </c>
      <c r="U8" t="str">
        <f>IF(build!$E$12=T8,"",T8)</f>
        <v/>
      </c>
      <c r="V8" t="str">
        <f>IF(build!$E$13=U8,"",U8)</f>
        <v/>
      </c>
      <c r="X8" t="s">
        <v>94</v>
      </c>
      <c r="Y8" t="str">
        <f>IF(build!$E$17=Feuil5!X8,"",Feuil5!X8)</f>
        <v>garde mutilatrice</v>
      </c>
      <c r="Z8" t="str">
        <f>IF(build!$E$18=Feuil5!Y8,"",Feuil5!Y8)</f>
        <v>garde mutilatrice</v>
      </c>
    </row>
    <row r="9" spans="1:26">
      <c r="A9" t="s">
        <v>561</v>
      </c>
      <c r="B9">
        <f>SUM('mappeur (objets)'!B24:N25)/2</f>
        <v>2105</v>
      </c>
      <c r="R9" t="s">
        <v>411</v>
      </c>
      <c r="S9" t="str">
        <f>IF(build!$E$10=Feuil5!R9,"",Feuil5!R9)</f>
        <v>hargneux</v>
      </c>
      <c r="T9" t="str">
        <f>IF(build!$E$11=S9,"",S9)</f>
        <v>hargneux</v>
      </c>
      <c r="U9" t="str">
        <f>IF(build!$E$12=T9,"",T9)</f>
        <v>hargneux</v>
      </c>
      <c r="V9" t="str">
        <f>IF(build!$E$13=U9,"",U9)</f>
        <v>hargneux</v>
      </c>
      <c r="X9" t="s">
        <v>92</v>
      </c>
      <c r="Y9" t="str">
        <f>IF(build!$E$17=Feuil5!X9,"",Feuil5!X9)</f>
        <v>gemme d'aisance</v>
      </c>
      <c r="Z9" t="str">
        <f>IF(build!$E$18=Feuil5!Y9,"",Feuil5!Y9)</f>
        <v>gemme d'aisance</v>
      </c>
    </row>
    <row r="10" spans="1:26">
      <c r="A10" t="s">
        <v>116</v>
      </c>
      <c r="B10" s="72">
        <f>(1-((1-build!B25/(50*70+build!B25))*((1-build!B32/(5*70+build!B32))*(1-build!B36/6*5/100)*(1-build!B34/3/100)*(1-build!B33/3/100)*(1-build!B35/3/100))))</f>
        <v>0.98318592363931834</v>
      </c>
      <c r="R10" t="s">
        <v>412</v>
      </c>
      <c r="S10" t="str">
        <f>IF(build!$E$10=Feuil5!R10,"",Feuil5!R10)</f>
        <v>forteresse divine</v>
      </c>
      <c r="T10" t="str">
        <f>IF(build!$E$11=S10,"",S10)</f>
        <v>forteresse divine</v>
      </c>
      <c r="U10" t="str">
        <f>IF(build!$E$12=T10,"",T10)</f>
        <v>forteresse divine</v>
      </c>
      <c r="V10" t="str">
        <f>IF(build!$E$13=U10,"",U10)</f>
        <v>forteresse divine</v>
      </c>
      <c r="X10" t="s">
        <v>88</v>
      </c>
      <c r="Y10" t="str">
        <f>IF(build!$E$17=Feuil5!X10,"",Feuil5!X10)</f>
        <v>gemme vivifiante</v>
      </c>
      <c r="Z10" t="str">
        <f>IF(build!$E$18=Feuil5!Y10,"",Feuil5!Y10)</f>
        <v>gemme vivifiante</v>
      </c>
    </row>
    <row r="11" spans="1:26">
      <c r="A11" t="s">
        <v>573</v>
      </c>
      <c r="B11" s="72">
        <f>(1-((1-build!B25/(50*70+build!B25))*((1-build!B32/(5*70+build!B32))*(1-build!B36/6*5/100)*(1-build!B34/3/100)*(1-build!B33/3/100)*(1-build!B35/3/100)*(1-build!B37))))</f>
        <v>0.99579648090982964</v>
      </c>
      <c r="R11" t="s">
        <v>381</v>
      </c>
      <c r="S11" t="str">
        <f>IF(build!$E$10=Feuil5!R11,"",Feuil5!R11)</f>
        <v>commandant en chef</v>
      </c>
      <c r="T11" t="str">
        <f>IF(build!$E$11=S11,"",S11)</f>
        <v>commandant en chef</v>
      </c>
      <c r="U11" t="str">
        <f>IF(build!$E$12=T11,"",T11)</f>
        <v>commandant en chef</v>
      </c>
      <c r="V11" t="str">
        <f>IF(build!$E$13=U11,"",U11)</f>
        <v>commandant en chef</v>
      </c>
      <c r="X11" t="s">
        <v>86</v>
      </c>
      <c r="Y11" t="str">
        <f>IF(build!$E$17=Feuil5!X11,"",Feuil5!X11)</f>
        <v>gésier de gnou ardent</v>
      </c>
      <c r="Z11" t="str">
        <f>IF(build!$E$18=Feuil5!Y11,"",Feuil5!Y11)</f>
        <v>gésier de gnou ardent</v>
      </c>
    </row>
    <row r="12" spans="1:26">
      <c r="R12" t="s">
        <v>413</v>
      </c>
      <c r="S12" t="str">
        <f>IF(build!$E$10=Feuil5!R12,"",Feuil5!R12)</f>
        <v>inflexible</v>
      </c>
      <c r="T12" t="str">
        <f>IF(build!$E$11=S12,"",S12)</f>
        <v>inflexible</v>
      </c>
      <c r="U12" t="str">
        <f>IF(build!$E$12=T12,"",T12)</f>
        <v>inflexible</v>
      </c>
      <c r="V12" t="str">
        <f>IF(build!$E$13=U12,"",U12)</f>
        <v>inflexible</v>
      </c>
      <c r="X12" t="s">
        <v>84</v>
      </c>
      <c r="Y12" t="str">
        <f>IF(build!$E$17=Feuil5!X12,"",Feuil5!X12)</f>
        <v>gogok de vivacité</v>
      </c>
      <c r="Z12" t="str">
        <f>IF(build!$E$18=Feuil5!Y12,"",Feuil5!Y12)</f>
        <v>gogok de vivacité</v>
      </c>
    </row>
    <row r="13" spans="1:26">
      <c r="R13" t="s">
        <v>380</v>
      </c>
      <c r="S13" t="str">
        <f>IF(build!$E$10=Feuil5!R13,"",Feuil5!R13)</f>
        <v>bras armé de la justice</v>
      </c>
      <c r="T13" t="str">
        <f>IF(build!$E$11=S13,"",S13)</f>
        <v>bras armé de la justice</v>
      </c>
      <c r="U13" t="str">
        <f>IF(build!$E$12=T13,"",T13)</f>
        <v>bras armé de la justice</v>
      </c>
      <c r="V13" t="str">
        <f>IF(build!$E$13=U13,"",U13)</f>
        <v>bras armé de la justice</v>
      </c>
      <c r="X13" t="s">
        <v>82</v>
      </c>
      <c r="Y13" t="str">
        <f>IF(build!$E$17=Feuil5!X13,"",Feuil5!X13)</f>
        <v>instagel</v>
      </c>
      <c r="Z13" t="str">
        <f>IF(build!$E$18=Feuil5!Y13,"",Feuil5!Y13)</f>
        <v>instagel</v>
      </c>
    </row>
    <row r="14" spans="1:26">
      <c r="R14" t="s">
        <v>414</v>
      </c>
      <c r="S14" t="str">
        <f>IF(build!$E$10=Feuil5!R14,"",Feuil5!R14)</f>
        <v>vierge de fer</v>
      </c>
      <c r="T14" t="str">
        <f>IF(build!$E$11=S14,"",S14)</f>
        <v>vierge de fer</v>
      </c>
      <c r="U14" t="str">
        <f>IF(build!$E$12=T14,"",T14)</f>
        <v>vierge de fer</v>
      </c>
      <c r="V14" t="str">
        <f>IF(build!$E$13=U14,"",U14)</f>
        <v>vierge de fer</v>
      </c>
      <c r="X14" t="s">
        <v>437</v>
      </c>
      <c r="Y14" t="str">
        <f>IF(build!$E$17=Feuil5!X14,"",Feuil5!X14)</f>
        <v>mirinae</v>
      </c>
      <c r="Z14" t="str">
        <f>IF(build!$E$18=Feuil5!Y14,"",Feuil5!Y14)</f>
        <v>mirinae</v>
      </c>
    </row>
    <row r="15" spans="1:26">
      <c r="B15" t="s">
        <v>122</v>
      </c>
      <c r="C15" t="s">
        <v>384</v>
      </c>
      <c r="D15" t="s">
        <v>383</v>
      </c>
      <c r="E15" t="s">
        <v>576</v>
      </c>
      <c r="F15" t="s">
        <v>558</v>
      </c>
      <c r="G15" s="74" t="s">
        <v>559</v>
      </c>
      <c r="H15" s="119" t="s">
        <v>562</v>
      </c>
      <c r="I15" t="s">
        <v>565</v>
      </c>
      <c r="K15" s="122">
        <f>IF(VLOOKUP(build!E2,A16:I133,2,FALSE)&gt;0,1,0)</f>
        <v>0</v>
      </c>
      <c r="R15" t="s">
        <v>415</v>
      </c>
      <c r="S15" t="str">
        <f>IF(build!$E$10=Feuil5!R15,"",Feuil5!R15)</f>
        <v>renouveau</v>
      </c>
      <c r="T15" t="str">
        <f>IF(build!$E$11=S15,"",S15)</f>
        <v>renouveau</v>
      </c>
      <c r="U15" t="str">
        <f>IF(build!$E$12=T15,"",T15)</f>
        <v>renouveau</v>
      </c>
      <c r="V15" t="str">
        <f>IF(build!$E$13=U15,"",U15)</f>
        <v>renouveau</v>
      </c>
      <c r="X15" t="s">
        <v>78</v>
      </c>
      <c r="Y15" t="str">
        <f>IF(build!$E$17=Feuil5!X15,"",Feuil5!X15)</f>
        <v>moratoire</v>
      </c>
      <c r="Z15" t="str">
        <f>IF(build!$E$18=Feuil5!Y15,"",Feuil5!Y15)</f>
        <v>moratoire</v>
      </c>
    </row>
    <row r="16" spans="1:26">
      <c r="A16" t="s">
        <v>136</v>
      </c>
      <c r="B16" s="50"/>
      <c r="D16" s="77"/>
      <c r="F16" s="75">
        <v>3.35</v>
      </c>
      <c r="G16" s="74">
        <f>F16*bonuscomp*(1+élément)*(1+IF(validélite,élite/100,0))*IF(multiplicatif&gt;0,multiplicatif,1)*(1+IF(validboss,boss/100,0))</f>
        <v>17.878355040000002</v>
      </c>
      <c r="H16" s="119">
        <f>G16*Feuil5!$B$9*bonusforce*(1+(build!$B$19/100)*(build!$B$20/100))</f>
        <v>19073755.900530811</v>
      </c>
      <c r="I16" s="77">
        <f>H16*build!$B$17</f>
        <v>37193824.006035082</v>
      </c>
      <c r="K16" s="123">
        <f>IF(VLOOKUP(build!E3,A16:I133,2,FALSE)&gt;0,1,0)</f>
        <v>1</v>
      </c>
      <c r="R16" t="s">
        <v>416</v>
      </c>
      <c r="S16" t="str">
        <f>IF(build!$E$10=Feuil5!R16,"",Feuil5!R16)</f>
        <v>opulence</v>
      </c>
      <c r="T16" t="str">
        <f>IF(build!$E$11=S16,"",S16)</f>
        <v>opulence</v>
      </c>
      <c r="U16" t="str">
        <f>IF(build!$E$12=T16,"",T16)</f>
        <v/>
      </c>
      <c r="V16" t="str">
        <f>IF(build!$E$13=U16,"",U16)</f>
        <v/>
      </c>
      <c r="X16" t="s">
        <v>76</v>
      </c>
      <c r="Y16" t="str">
        <f>IF(build!$E$17=Feuil5!X16,"",Feuil5!X16)</f>
        <v>perte du piégé</v>
      </c>
      <c r="Z16" t="str">
        <f>IF(build!$E$18=Feuil5!Y16,"",Feuil5!Y16)</f>
        <v/>
      </c>
    </row>
    <row r="17" spans="1:26">
      <c r="A17" t="s">
        <v>443</v>
      </c>
      <c r="B17" s="50"/>
      <c r="D17" s="77"/>
      <c r="F17" s="75">
        <v>3.35</v>
      </c>
      <c r="G17" s="74">
        <f>F17*bonuscomp*(1+élément)*(1+IF(validélite,élite/100,0))*IF(multiplicatif&gt;0,multiplicatif,1)*(1+IF(validboss,boss/100,0))</f>
        <v>17.878355040000002</v>
      </c>
      <c r="H17" s="119">
        <f>G17*Feuil5!$B$9*bonusforce*(1+(build!$B$19/100)*(build!$B$20/100))</f>
        <v>19073755.900530811</v>
      </c>
      <c r="I17" s="77">
        <f>H17*build!$B$17</f>
        <v>37193824.006035082</v>
      </c>
      <c r="K17" s="123">
        <f>IF(VLOOKUP(build!E4,A16:I133,2,FALSE)&gt;0,1,0)</f>
        <v>1</v>
      </c>
      <c r="R17" t="s">
        <v>417</v>
      </c>
      <c r="S17" t="str">
        <f>IF(build!$E$10=Feuil5!R17,"",Feuil5!R17)</f>
        <v>contondance</v>
      </c>
      <c r="T17" t="str">
        <f>IF(build!$E$11=S17,"",S17)</f>
        <v>contondance</v>
      </c>
      <c r="U17" t="str">
        <f>IF(build!$E$12=T17,"",T17)</f>
        <v>contondance</v>
      </c>
      <c r="V17" t="str">
        <f>IF(build!$E$13=U17,"",U17)</f>
        <v/>
      </c>
      <c r="X17" t="s">
        <v>72</v>
      </c>
      <c r="Y17" t="str">
        <f>IF(build!$E$17=Feuil5!X17,"",Feuil5!X17)</f>
        <v/>
      </c>
      <c r="Z17" t="str">
        <f>IF(build!$E$18=Feuil5!Y17,"",Feuil5!Y17)</f>
        <v/>
      </c>
    </row>
    <row r="18" spans="1:26">
      <c r="A18" t="s">
        <v>444</v>
      </c>
      <c r="B18" s="50"/>
      <c r="D18" s="77"/>
      <c r="F18" s="75">
        <v>3.35</v>
      </c>
      <c r="G18" s="74">
        <f>F18*bonuscomp*(1+élément)*(1+IF(validélite,élite/100,0))*IF(multiplicatif&gt;0,multiplicatif,1)*(1+IF(validboss,boss/100,0))</f>
        <v>17.878355040000002</v>
      </c>
      <c r="H18" s="119">
        <f>G18*Feuil5!$B$9*bonusforce*(1+(build!$B$19/100)*(build!$B$20/100))</f>
        <v>19073755.900530811</v>
      </c>
      <c r="I18" s="77">
        <f>H18*build!$B$17</f>
        <v>37193824.006035082</v>
      </c>
      <c r="K18" s="123">
        <f>IF(VLOOKUP(build!E5,A16:I133,2,FALSE)&gt;0,1,0)</f>
        <v>1</v>
      </c>
      <c r="R18" t="s">
        <v>418</v>
      </c>
      <c r="S18" t="str">
        <f>IF(build!$E$10=Feuil5!R18,"",Feuil5!R18)</f>
        <v>bouclier inné</v>
      </c>
      <c r="T18" t="str">
        <f>IF(build!$E$11=S18,"",S18)</f>
        <v>bouclier inné</v>
      </c>
      <c r="U18" t="str">
        <f>IF(build!$E$12=T18,"",T18)</f>
        <v>bouclier inné</v>
      </c>
      <c r="V18" t="str">
        <f>IF(build!$E$13=U18,"",U18)</f>
        <v>bouclier inné</v>
      </c>
      <c r="X18" t="s">
        <v>439</v>
      </c>
      <c r="Y18" t="str">
        <f>IF(build!$E$17=Feuil5!X18,"",Feuil5!X18)</f>
        <v>thésauriseur</v>
      </c>
      <c r="Z18" t="str">
        <f>IF(build!$E$18=Feuil5!Y18,"",Feuil5!Y18)</f>
        <v>thésauriseur</v>
      </c>
    </row>
    <row r="19" spans="1:26">
      <c r="A19" t="s">
        <v>445</v>
      </c>
      <c r="B19" s="50"/>
      <c r="D19" s="77"/>
      <c r="F19" s="75">
        <v>3.35</v>
      </c>
      <c r="G19" s="74">
        <f>F19*bonuscomp*(1+élément)*(1+IF(validélite,élite/100,0))*IF(multiplicatif&gt;0,multiplicatif,1)*(1+IF(validboss,boss/100,0))</f>
        <v>17.878355040000002</v>
      </c>
      <c r="H19" s="119">
        <f>G19*Feuil5!$B$9*bonusforce*(1+(build!$B$19/100)*(build!$B$20/100))</f>
        <v>19073755.900530811</v>
      </c>
      <c r="I19" s="77">
        <f>H19*build!$B$17</f>
        <v>37193824.006035082</v>
      </c>
      <c r="K19" s="123">
        <f>IF(VLOOKUP(build!E6,A16:I133,2,FALSE)&gt;0,1,0)</f>
        <v>1</v>
      </c>
      <c r="X19" t="s">
        <v>403</v>
      </c>
      <c r="Y19" t="str">
        <f>IF(build!$E$17=Feuil5!X19,"",Feuil5!X19)</f>
        <v>toxine</v>
      </c>
      <c r="Z19" t="str">
        <f>IF(build!$E$18=Feuil5!Y19,"",Feuil5!Y19)</f>
        <v>toxine</v>
      </c>
    </row>
    <row r="20" spans="1:26">
      <c r="A20" t="s">
        <v>446</v>
      </c>
      <c r="B20" s="50"/>
      <c r="D20" s="77"/>
      <c r="F20" s="75">
        <v>3.35</v>
      </c>
      <c r="G20" s="74">
        <f>F20*bonuscomp*(1+élément)*(1+IF(validélite,élite/100,0))*IF(multiplicatif&gt;0,multiplicatif,1)*(1+IF(validboss,boss/100,0))</f>
        <v>17.878355040000002</v>
      </c>
      <c r="H20" s="119">
        <f>G20*Feuil5!$B$9*bonusforce*(1+(build!$B$19/100)*(build!$B$20/100))</f>
        <v>19073755.900530811</v>
      </c>
      <c r="I20" s="77">
        <f>H20*build!$B$17</f>
        <v>37193824.006035082</v>
      </c>
      <c r="K20" s="124">
        <f>IF(VLOOKUP(build!E7,A16:I133,2,FALSE)&gt;0,1,0)</f>
        <v>1</v>
      </c>
      <c r="X20" t="s">
        <v>438</v>
      </c>
      <c r="Y20" t="str">
        <f>IF(build!$E$17=Feuil5!X20,"",Feuil5!X20)</f>
        <v xml:space="preserve"> zei</v>
      </c>
      <c r="Z20" t="str">
        <f>IF(build!$E$18=Feuil5!Y20,"",Feuil5!Y20)</f>
        <v xml:space="preserve"> zei</v>
      </c>
    </row>
    <row r="21" spans="1:26">
      <c r="A21" t="s">
        <v>447</v>
      </c>
      <c r="B21" s="50"/>
      <c r="D21" s="77"/>
      <c r="F21" s="75">
        <v>3.35</v>
      </c>
      <c r="G21" s="74">
        <f>F21*bonuscomp*(1+élément)*(1+IF(validélite,élite/100,0))*IF(multiplicatif&gt;0,multiplicatif,1)*(1+IF(validboss,boss/100,0))</f>
        <v>17.878355040000002</v>
      </c>
      <c r="H21" s="119">
        <f>G21*Feuil5!$B$9*bonusforce*(1+(build!$B$19/100)*(build!$B$20/100))</f>
        <v>19073755.900530811</v>
      </c>
      <c r="I21" s="77">
        <f>H21*build!$B$17</f>
        <v>37193824.006035082</v>
      </c>
      <c r="K21" s="125">
        <f>SUM(K15:K20)</f>
        <v>5</v>
      </c>
    </row>
    <row r="22" spans="1:26">
      <c r="B22" s="50"/>
      <c r="D22" s="77"/>
      <c r="F22" s="75"/>
      <c r="G22" s="74"/>
      <c r="H22" s="119"/>
      <c r="I22" s="77"/>
      <c r="K22">
        <f>1*(((build!B17*IF(validargument_johanna,2,1))/K21+1))</f>
        <v>1.78</v>
      </c>
    </row>
    <row r="23" spans="1:26">
      <c r="A23" t="s">
        <v>151</v>
      </c>
      <c r="B23" s="50"/>
      <c r="D23" s="77"/>
      <c r="F23" s="75">
        <v>2.2999999999999998</v>
      </c>
      <c r="G23" s="74">
        <f>F23*bonuscomp*(1+élément)*(1+IF(validélite,élite/100,0))*IF(multiplicatif&gt;0,multiplicatif,1)*(1+IF(validboss,boss/100,0))</f>
        <v>12.274691519999998</v>
      </c>
      <c r="H23" s="119">
        <f>G23*Feuil5!$B$9*bonusforce*(1+(build!$B$19/100)*(build!$B$20/100))</f>
        <v>13095414.498871895</v>
      </c>
      <c r="I23" s="77">
        <f>H23*build!$B$17</f>
        <v>25536058.272800196</v>
      </c>
    </row>
    <row r="24" spans="1:26">
      <c r="A24" t="s">
        <v>448</v>
      </c>
      <c r="B24" s="50"/>
      <c r="D24" s="77"/>
      <c r="F24" s="75">
        <v>2.2999999999999998</v>
      </c>
      <c r="G24" s="74">
        <f>F24*bonuscomp*(1+élément)*(1+IF(validélite,élite/100,0))*IF(multiplicatif&gt;0,multiplicatif,1)*(1+IF(validboss,boss/100,0))</f>
        <v>12.274691519999998</v>
      </c>
      <c r="H24" s="119">
        <f>G24*Feuil5!$B$9*bonusforce*(1+(build!$B$19/100)*(build!$B$20/100))</f>
        <v>13095414.498871895</v>
      </c>
      <c r="I24" s="77">
        <f>H24*build!$B$17</f>
        <v>25536058.272800196</v>
      </c>
    </row>
    <row r="25" spans="1:26">
      <c r="A25" t="s">
        <v>449</v>
      </c>
      <c r="B25" s="50"/>
      <c r="D25" s="77"/>
      <c r="F25" s="75">
        <v>2.2999999999999998</v>
      </c>
      <c r="G25" s="74">
        <f>F25*bonuscomp*(1+élément)*(1+IF(validélite,élite/100,0))*IF(multiplicatif&gt;0,multiplicatif,1)*(1+IF(validboss,boss/100,0))</f>
        <v>12.274691519999998</v>
      </c>
      <c r="H25" s="119">
        <f>G25*Feuil5!$B$9*bonusforce*(1+(build!$B$19/100)*(build!$B$20/100))</f>
        <v>13095414.498871895</v>
      </c>
      <c r="I25" s="77">
        <f>H25*build!$B$17</f>
        <v>25536058.272800196</v>
      </c>
    </row>
    <row r="26" spans="1:26">
      <c r="A26" t="s">
        <v>450</v>
      </c>
      <c r="B26" s="50"/>
      <c r="D26" s="77"/>
      <c r="F26" s="75">
        <v>2.2999999999999998</v>
      </c>
      <c r="G26" s="74">
        <f>F26*bonuscomp*(1+élément)*(1+IF(validélite,élite/100,0))*IF(multiplicatif&gt;0,multiplicatif,1)*(1+IF(validboss,boss/100,0))</f>
        <v>12.274691519999998</v>
      </c>
      <c r="H26" s="119">
        <f>G26*Feuil5!$B$9*bonusforce*(1+(build!$B$19/100)*(build!$B$20/100))</f>
        <v>13095414.498871895</v>
      </c>
      <c r="I26" s="77">
        <f>H26*build!$B$17</f>
        <v>25536058.272800196</v>
      </c>
    </row>
    <row r="27" spans="1:26">
      <c r="A27" t="s">
        <v>451</v>
      </c>
      <c r="B27" s="50"/>
      <c r="D27" s="77"/>
      <c r="F27" s="75">
        <v>2.2999999999999998</v>
      </c>
      <c r="G27" s="74">
        <f>F27*bonuscomp*(1+élément)*(1+IF(validélite,élite/100,0))*IF(multiplicatif&gt;0,multiplicatif,1)*(1+IF(validboss,boss/100,0))</f>
        <v>12.274691519999998</v>
      </c>
      <c r="H27" s="119">
        <f>G27*Feuil5!$B$9*bonusforce*(1+(build!$B$19/100)*(build!$B$20/100))</f>
        <v>13095414.498871895</v>
      </c>
      <c r="I27" s="77">
        <f>H27*build!$B$17</f>
        <v>25536058.272800196</v>
      </c>
      <c r="K27">
        <f>(-(build!$B$22-1)*B51)</f>
        <v>8.0324999999999989</v>
      </c>
    </row>
    <row r="28" spans="1:26">
      <c r="A28" t="s">
        <v>452</v>
      </c>
      <c r="B28" s="50"/>
      <c r="D28" s="77"/>
      <c r="F28" s="75">
        <v>2.2999999999999998</v>
      </c>
      <c r="G28" s="74">
        <f>F28*bonuscomp*(1+élément)*(1+IF(validélite,élite/100,0))*IF(multiplicatif&gt;0,multiplicatif,1)*(1+IF(validboss,boss/100,0))</f>
        <v>12.274691519999998</v>
      </c>
      <c r="H28" s="119">
        <f>G28*Feuil5!$B$9*bonusforce*(1+(build!$B$19/100)*(build!$B$20/100))</f>
        <v>13095414.498871895</v>
      </c>
      <c r="I28" s="77">
        <f>H28*build!$B$17</f>
        <v>25536058.272800196</v>
      </c>
    </row>
    <row r="29" spans="1:26">
      <c r="B29" s="50"/>
      <c r="D29" s="77"/>
      <c r="F29" s="75"/>
      <c r="G29" s="74"/>
      <c r="H29" s="119"/>
      <c r="I29" s="77"/>
    </row>
    <row r="30" spans="1:26">
      <c r="A30" t="s">
        <v>162</v>
      </c>
      <c r="B30" s="50"/>
      <c r="D30" s="77"/>
      <c r="F30" s="75">
        <v>1.75</v>
      </c>
      <c r="G30" s="74">
        <f>F30*bonuscomp*(1+élément)*(1+IF(validélite,élite/100,0))*IF(multiplicatif&gt;0,multiplicatif,1)*(1+IF(validboss,boss/100,0))</f>
        <v>9.3394392000000011</v>
      </c>
      <c r="H30" s="119">
        <f>G30*Feuil5!$B$9*bonusforce*(1+(build!$B$19/100)*(build!$B$20/100))</f>
        <v>9963902.3360981867</v>
      </c>
      <c r="I30" s="77">
        <f>H30*build!$B$17</f>
        <v>19429609.555391464</v>
      </c>
      <c r="K30">
        <f>K27/K22</f>
        <v>4.5126404494382015</v>
      </c>
    </row>
    <row r="31" spans="1:26">
      <c r="A31" t="s">
        <v>453</v>
      </c>
      <c r="B31" s="50"/>
      <c r="D31" s="77"/>
      <c r="F31" s="75">
        <v>1.75</v>
      </c>
      <c r="G31" s="74">
        <f>F31*bonuscomp*(1+élément)*(1+IF(validélite,élite/100,0))*IF(multiplicatif&gt;0,multiplicatif,1)*(1+IF(validboss,boss/100,0))</f>
        <v>9.3394392000000011</v>
      </c>
      <c r="H31" s="119">
        <f>G31*Feuil5!$B$9*bonusforce*(1+(build!$B$19/100)*(build!$B$20/100))</f>
        <v>9963902.3360981867</v>
      </c>
      <c r="I31" s="77">
        <f>H31*build!$B$17</f>
        <v>19429609.555391464</v>
      </c>
    </row>
    <row r="32" spans="1:26">
      <c r="A32" t="s">
        <v>454</v>
      </c>
      <c r="B32" s="50"/>
      <c r="D32" s="77"/>
      <c r="F32" s="75">
        <v>1.75</v>
      </c>
      <c r="G32" s="74">
        <f>F32*bonuscomp*(1+élément)*(1+IF(validélite,élite/100,0))*IF(multiplicatif&gt;0,multiplicatif,1)*(1+IF(validboss,boss/100,0))</f>
        <v>9.3394392000000011</v>
      </c>
      <c r="H32" s="119">
        <f>G32*Feuil5!$B$9*bonusforce*(1+(build!$B$19/100)*(build!$B$20/100))</f>
        <v>9963902.3360981867</v>
      </c>
      <c r="I32" s="77">
        <f>H32*build!$B$17</f>
        <v>19429609.555391464</v>
      </c>
    </row>
    <row r="33" spans="1:9">
      <c r="A33" t="s">
        <v>455</v>
      </c>
      <c r="B33" s="50"/>
      <c r="D33" s="77"/>
      <c r="F33" s="75">
        <v>1.75</v>
      </c>
      <c r="G33" s="74">
        <f>F33*bonuscomp*(1+élément)*(1+IF(validélite,élite/100,0))*IF(multiplicatif&gt;0,multiplicatif,1)*(1+IF(validboss,boss/100,0))</f>
        <v>9.3394392000000011</v>
      </c>
      <c r="H33" s="119">
        <f>G33*Feuil5!$B$9*bonusforce*(1+(build!$B$19/100)*(build!$B$20/100))</f>
        <v>9963902.3360981867</v>
      </c>
      <c r="I33" s="77">
        <f>H33*build!$B$17</f>
        <v>19429609.555391464</v>
      </c>
    </row>
    <row r="34" spans="1:9">
      <c r="A34" t="s">
        <v>456</v>
      </c>
      <c r="B34" s="50"/>
      <c r="D34" s="77"/>
      <c r="F34" s="75">
        <v>1.75</v>
      </c>
      <c r="G34" s="74">
        <f>F34*bonuscomp*(1+élément)*(1+IF(validélite,élite/100,0))*IF(multiplicatif&gt;0,multiplicatif,1)*(1+IF(validboss,boss/100,0))</f>
        <v>9.3394392000000011</v>
      </c>
      <c r="H34" s="119">
        <f>G34*Feuil5!$B$9*bonusforce*(1+(build!$B$19/100)*(build!$B$20/100))</f>
        <v>9963902.3360981867</v>
      </c>
      <c r="I34" s="77">
        <f>H34*build!$B$17</f>
        <v>19429609.555391464</v>
      </c>
    </row>
    <row r="35" spans="1:9">
      <c r="A35" t="s">
        <v>457</v>
      </c>
      <c r="B35" s="50"/>
      <c r="D35" s="77"/>
      <c r="F35" s="75">
        <v>1.75</v>
      </c>
      <c r="G35" s="74">
        <f>F35*bonuscomp*(1+élément)*(1+IF(validélite,élite/100,0))*IF(multiplicatif&gt;0,multiplicatif,1)*(1+IF(validboss,boss/100,0))</f>
        <v>9.3394392000000011</v>
      </c>
      <c r="H35" s="119">
        <f>G35*Feuil5!$B$9*bonusforce*(1+(build!$B$19/100)*(build!$B$20/100))</f>
        <v>9963902.3360981867</v>
      </c>
      <c r="I35" s="77">
        <f>H35*build!$B$17</f>
        <v>19429609.555391464</v>
      </c>
    </row>
    <row r="36" spans="1:9">
      <c r="B36" s="50"/>
      <c r="D36" s="77"/>
      <c r="F36" s="75"/>
      <c r="G36" s="74"/>
      <c r="H36" s="119"/>
      <c r="I36" s="77"/>
    </row>
    <row r="37" spans="1:9">
      <c r="A37" t="s">
        <v>171</v>
      </c>
      <c r="B37" s="50"/>
      <c r="D37" s="77"/>
      <c r="F37" s="75">
        <v>2.4500000000000002</v>
      </c>
      <c r="G37" s="74">
        <f>F37*bonuscomp*(1+élément)*(1+IF(validélite,élite/100,0))*IF(multiplicatif&gt;0,multiplicatif,1)*(1+IF(validboss,boss/100,0))</f>
        <v>13.075214880000001</v>
      </c>
      <c r="H37" s="119">
        <f>G37*Feuil5!$B$9*bonusforce*(1+(build!$B$19/100)*(build!$B$20/100))</f>
        <v>13949463.270537456</v>
      </c>
      <c r="I37" s="77">
        <f>H37*build!$B$17</f>
        <v>27201453.377548043</v>
      </c>
    </row>
    <row r="38" spans="1:9">
      <c r="A38" t="s">
        <v>458</v>
      </c>
      <c r="B38" s="50"/>
      <c r="D38" s="77"/>
      <c r="F38" s="75">
        <v>2.4500000000000002</v>
      </c>
      <c r="G38" s="74">
        <f>F38*bonuscomp*(1+élément)*(1+IF(validélite,élite/100,0))*IF(multiplicatif&gt;0,multiplicatif,1)*(1+IF(validboss,boss/100,0))</f>
        <v>13.075214880000001</v>
      </c>
      <c r="H38" s="119">
        <f>G38*Feuil5!$B$9*bonusforce*(1+(build!$B$19/100)*(build!$B$20/100))</f>
        <v>13949463.270537456</v>
      </c>
      <c r="I38" s="77">
        <f>H38*build!$B$17</f>
        <v>27201453.377548043</v>
      </c>
    </row>
    <row r="39" spans="1:9">
      <c r="A39" t="s">
        <v>459</v>
      </c>
      <c r="B39" s="50"/>
      <c r="D39" s="77"/>
      <c r="F39" s="75">
        <v>2.4500000000000002</v>
      </c>
      <c r="G39" s="74">
        <f>F39*bonuscomp*(1+élément)*(1+IF(validélite,élite/100,0))*IF(multiplicatif&gt;0,multiplicatif,1)*(1+IF(validboss,boss/100,0))</f>
        <v>13.075214880000001</v>
      </c>
      <c r="H39" s="119">
        <f>G39*Feuil5!$B$9*bonusforce*(1+(build!$B$19/100)*(build!$B$20/100))</f>
        <v>13949463.270537456</v>
      </c>
      <c r="I39" s="77">
        <f>H39*build!$B$17</f>
        <v>27201453.377548043</v>
      </c>
    </row>
    <row r="40" spans="1:9">
      <c r="A40" t="s">
        <v>460</v>
      </c>
      <c r="B40" s="50"/>
      <c r="D40" s="77"/>
      <c r="F40" s="75">
        <v>3.35</v>
      </c>
      <c r="G40" s="74">
        <f>F40*bonuscomp*(1+élément)*(1+IF(validélite,élite/100,0))*IF(multiplicatif&gt;0,multiplicatif,1)*(1+IF(validboss,boss/100,0))</f>
        <v>17.878355040000002</v>
      </c>
      <c r="H40" s="119">
        <f>G40*Feuil5!$B$9*bonusforce*(1+(build!$B$19/100)*(build!$B$20/100))</f>
        <v>19073755.900530811</v>
      </c>
      <c r="I40" s="77">
        <f>H40*build!$B$17</f>
        <v>37193824.006035082</v>
      </c>
    </row>
    <row r="41" spans="1:9">
      <c r="A41" t="s">
        <v>461</v>
      </c>
      <c r="B41" s="50"/>
      <c r="D41" s="77"/>
      <c r="F41" s="75">
        <v>2.4500000000000002</v>
      </c>
      <c r="G41" s="74">
        <f>F41*bonuscomp*(1+élément)*(1+IF(validélite,élite/100,0))*IF(multiplicatif&gt;0,multiplicatif,1)*(1+IF(validboss,boss/100,0))</f>
        <v>13.075214880000001</v>
      </c>
      <c r="H41" s="119">
        <f>G41*Feuil5!$B$9*bonusforce*(1+(build!$B$19/100)*(build!$B$20/100))</f>
        <v>13949463.270537456</v>
      </c>
      <c r="I41" s="77">
        <f>H41*build!$B$17</f>
        <v>27201453.377548043</v>
      </c>
    </row>
    <row r="42" spans="1:9">
      <c r="A42" t="s">
        <v>462</v>
      </c>
      <c r="B42" s="50"/>
      <c r="D42" s="77"/>
      <c r="F42" s="75">
        <v>2.4500000000000002</v>
      </c>
      <c r="G42" s="74">
        <f>F42*bonuscomp*(1+élément)*(1+IF(validélite,élite/100,0))*IF(multiplicatif&gt;0,multiplicatif,1)*(1+IF(validboss,boss/100,0))</f>
        <v>13.075214880000001</v>
      </c>
      <c r="H42" s="119">
        <f>G42*Feuil5!$B$9*bonusforce*(1+(build!$B$19/100)*(build!$B$20/100))</f>
        <v>13949463.270537456</v>
      </c>
      <c r="I42" s="77">
        <f>H42*build!$B$17</f>
        <v>27201453.377548043</v>
      </c>
    </row>
    <row r="43" spans="1:9">
      <c r="B43" s="50"/>
      <c r="D43" s="77"/>
      <c r="F43" s="75"/>
      <c r="G43" s="74"/>
      <c r="H43" s="119"/>
      <c r="I43" s="77"/>
    </row>
    <row r="44" spans="1:9">
      <c r="A44" s="51" t="s">
        <v>183</v>
      </c>
      <c r="B44" s="50"/>
      <c r="D44" s="77"/>
      <c r="F44" s="75">
        <v>3.2</v>
      </c>
      <c r="G44" s="74">
        <f>F44*(bonuscomp+skill)*8.5*(1+élément)*(1+IF(validgarde_johanna,garde_johanna/100,0))*(1+IF(validélite,élite/100,0))*IF(multiplicatif&gt;0,multiplicatif,1)*(1+IF(validboss,boss/100,0))</f>
        <v>519.23176704000002</v>
      </c>
      <c r="H44" s="119">
        <f>G44*Feuil5!$B$9*bonusforce*(1+(build!$B$19/100)*(build!$B$20/100))</f>
        <v>553949172.51415312</v>
      </c>
      <c r="I44" s="77">
        <f>H44*build!$B$17*IF(validargument_johanna,2,1)</f>
        <v>2160401772.8051972</v>
      </c>
    </row>
    <row r="45" spans="1:9">
      <c r="A45" s="51" t="s">
        <v>397</v>
      </c>
      <c r="B45" s="50"/>
      <c r="D45" s="77"/>
      <c r="F45" s="75">
        <v>3.2</v>
      </c>
      <c r="G45" s="74">
        <f>F45*(bonuscomp+skill)*8.5*(1+élément)*(1+IF(validgarde_johanna,garde_johanna/100,0))*(1+IF(validélite,élite/100,0))*IF(multiplicatif&gt;0,multiplicatif,1)*(1+IF(validboss,boss/100,0))</f>
        <v>519.23176704000002</v>
      </c>
      <c r="H45" s="119">
        <f>G45*Feuil5!$B$9*bonusforce*(1+(build!$B$19/100)*(build!$B$20/100))</f>
        <v>553949172.51415312</v>
      </c>
      <c r="I45" s="77">
        <f>H45*build!$B$17*IF(validargument_johanna,2,1)</f>
        <v>2160401772.8051972</v>
      </c>
    </row>
    <row r="46" spans="1:9">
      <c r="A46" s="51" t="s">
        <v>398</v>
      </c>
      <c r="B46" s="50"/>
      <c r="D46" s="77"/>
      <c r="F46" s="75">
        <v>3.2</v>
      </c>
      <c r="G46" s="74">
        <f>F46*(bonuscomp+skill)*8.5*(1+élément)*(1+IF(validgarde_johanna,garde_johanna/100,0))*(1+IF(validélite,élite/100,0))*IF(multiplicatif&gt;0,multiplicatif,1)*(1+IF(validboss,boss/100,0))</f>
        <v>519.23176704000002</v>
      </c>
      <c r="H46" s="119">
        <f>G46*Feuil5!$B$9*bonusforce*(1+(build!$B$19/100)*(build!$B$20/100))</f>
        <v>553949172.51415312</v>
      </c>
      <c r="I46" s="77">
        <f>H46*build!$B$17*IF(validargument_johanna,2,1)</f>
        <v>2160401772.8051972</v>
      </c>
    </row>
    <row r="47" spans="1:9">
      <c r="A47" s="51" t="s">
        <v>399</v>
      </c>
      <c r="B47" s="50"/>
      <c r="D47" s="77"/>
      <c r="F47" s="75">
        <v>3.2</v>
      </c>
      <c r="G47" s="74">
        <f>F47*(bonuscomp+skill)*8.5*(1+élément)*(1+IF(validgarde_johanna,garde_johanna/100,0))*(1+IF(validélite,élite/100,0))*IF(multiplicatif&gt;0,multiplicatif,1)*(1+IF(validboss,boss/100,0))</f>
        <v>519.23176704000002</v>
      </c>
      <c r="H47" s="119">
        <f>G47*Feuil5!$B$9*bonusforce*(1+(build!$B$19/100)*(build!$B$20/100))</f>
        <v>553949172.51415312</v>
      </c>
      <c r="I47" s="77">
        <f>H47*build!$B$17*IF(validargument_johanna,2,1)</f>
        <v>2160401772.8051972</v>
      </c>
    </row>
    <row r="48" spans="1:9">
      <c r="A48" s="51" t="s">
        <v>400</v>
      </c>
      <c r="B48" s="50"/>
      <c r="D48" s="77"/>
      <c r="F48" s="75">
        <v>3.2</v>
      </c>
      <c r="G48" s="74">
        <f>F48*(bonuscomp+skill)*8.5*(1+élément)*(1+IF(validgarde_johanna,garde_johanna/100,0))*(1+IF(validélite,élite/100,0))*IF(multiplicatif&gt;0,multiplicatif,1)*(1+IF(validboss,boss/100,0))</f>
        <v>519.23176704000002</v>
      </c>
      <c r="H48" s="119">
        <f>G48*Feuil5!$B$9*bonusforce*(1+(build!$B$19/100)*(build!$B$20/100))</f>
        <v>553949172.51415312</v>
      </c>
      <c r="I48" s="77">
        <f>H48*build!$B$17*IF(validargument_johanna,2,1)</f>
        <v>2160401772.8051972</v>
      </c>
    </row>
    <row r="49" spans="1:9">
      <c r="A49" s="51" t="s">
        <v>401</v>
      </c>
      <c r="B49" s="50"/>
      <c r="D49" s="77"/>
      <c r="F49" s="75">
        <v>3.2</v>
      </c>
      <c r="G49" s="74">
        <f>F49*(bonuscomp+skill)*8.5*(1+élément)*(1+IF(validgarde_johanna,garde_johanna/100,0))*(1+IF(validélite,élite/100,0))*IF(multiplicatif&gt;0,multiplicatif,1)*(1+IF(validboss,boss/100,0))</f>
        <v>519.23176704000002</v>
      </c>
      <c r="H49" s="119">
        <f>G49*Feuil5!$B$9*bonusforce*(1+(build!$B$19/100)*(build!$B$20/100))</f>
        <v>553949172.51415312</v>
      </c>
      <c r="I49" s="77">
        <f>H49*build!$B$17*IF(validargument_johanna,2,1)</f>
        <v>2160401772.8051972</v>
      </c>
    </row>
    <row r="50" spans="1:9">
      <c r="B50" s="50"/>
      <c r="D50" s="77"/>
      <c r="F50" s="50"/>
      <c r="G50" s="74"/>
      <c r="H50" s="119"/>
      <c r="I50" s="77"/>
    </row>
    <row r="51" spans="1:9">
      <c r="A51" s="51" t="s">
        <v>190</v>
      </c>
      <c r="B51" s="50">
        <v>12</v>
      </c>
      <c r="C51" s="58">
        <f>(-(build!$B$22-1)*B51)/IF(build!$G$33,(1*(((build!$B$17*IF(validargument_johanna,2,1))/$K$21+1))),1)</f>
        <v>4.5126404494382015</v>
      </c>
      <c r="D51" s="77">
        <v>4</v>
      </c>
      <c r="E51" s="74">
        <f>D51/C51</f>
        <v>0.88639900404606298</v>
      </c>
      <c r="F51" s="50"/>
      <c r="G51" s="74"/>
      <c r="H51" s="119"/>
      <c r="I51" s="77"/>
    </row>
    <row r="52" spans="1:9">
      <c r="A52" s="67" t="s">
        <v>463</v>
      </c>
      <c r="B52" s="50">
        <v>12</v>
      </c>
      <c r="C52" s="58">
        <f>(-(build!$B$22-1)*B52)/IF(build!$G$33,(1*(((build!$B$17*IF(validargument_johanna,2,1))/$K$21+1))),1)</f>
        <v>4.5126404494382015</v>
      </c>
      <c r="D52" s="77">
        <v>4</v>
      </c>
      <c r="E52" s="74">
        <f>D52/C52</f>
        <v>0.88639900404606298</v>
      </c>
      <c r="F52" s="50"/>
      <c r="G52" s="74"/>
      <c r="H52" s="119"/>
      <c r="I52" s="77"/>
    </row>
    <row r="53" spans="1:9">
      <c r="A53" s="67" t="s">
        <v>464</v>
      </c>
      <c r="B53" s="50">
        <v>12</v>
      </c>
      <c r="C53" s="58">
        <f>(-(build!$B$22-1)*B53)/IF(build!$G$33,(1*(((build!$B$17*IF(validargument_johanna,2,1))/$K$21+1))),1)</f>
        <v>4.5126404494382015</v>
      </c>
      <c r="D53" s="77">
        <v>8</v>
      </c>
      <c r="E53" s="74">
        <f>D53/C53</f>
        <v>1.772798008092126</v>
      </c>
      <c r="F53" s="50"/>
      <c r="G53" s="74"/>
      <c r="H53" s="119"/>
      <c r="I53" s="77"/>
    </row>
    <row r="54" spans="1:9">
      <c r="A54" s="67" t="s">
        <v>465</v>
      </c>
      <c r="B54" s="50">
        <v>12</v>
      </c>
      <c r="C54" s="58">
        <f>(-(build!$B$22-1)*B54)/IF(build!$G$33,(1*(((build!$B$17*IF(validargument_johanna,2,1))/$K$21+1))),1)</f>
        <v>4.5126404494382015</v>
      </c>
      <c r="D54" s="77">
        <v>4</v>
      </c>
      <c r="E54" s="74">
        <f>D54/C54</f>
        <v>0.88639900404606298</v>
      </c>
      <c r="F54" s="50"/>
      <c r="G54" s="74"/>
      <c r="H54" s="119"/>
      <c r="I54" s="77"/>
    </row>
    <row r="55" spans="1:9">
      <c r="A55" s="67" t="s">
        <v>466</v>
      </c>
      <c r="B55" s="50">
        <v>12</v>
      </c>
      <c r="C55" s="58">
        <f>(-(build!$B$22-1)*B55)/IF(build!$G$33,(1*(((build!$B$17*IF(validargument_johanna,2,1))/$K$21+1))),1)</f>
        <v>4.5126404494382015</v>
      </c>
      <c r="D55" s="77">
        <v>4</v>
      </c>
      <c r="E55" s="74">
        <f>D55/C55</f>
        <v>0.88639900404606298</v>
      </c>
      <c r="F55" s="50"/>
      <c r="G55" s="74"/>
      <c r="H55" s="119"/>
      <c r="I55" s="77"/>
    </row>
    <row r="56" spans="1:9">
      <c r="A56" s="67" t="s">
        <v>467</v>
      </c>
      <c r="B56" s="50">
        <v>12</v>
      </c>
      <c r="C56" s="58">
        <f>(-(build!$B$22-1)*B56)/IF(build!$G$33,(1*(((build!$B$17*IF(validargument_johanna,2,1))/$K$21+1))),1)</f>
        <v>4.5126404494382015</v>
      </c>
      <c r="D56" s="77">
        <v>6</v>
      </c>
      <c r="E56" s="74">
        <f>D56/C56</f>
        <v>1.3295985060690945</v>
      </c>
      <c r="F56" s="50"/>
      <c r="G56" s="74"/>
      <c r="H56" s="119"/>
      <c r="I56" s="77"/>
    </row>
    <row r="57" spans="1:9">
      <c r="A57" s="67"/>
      <c r="B57" s="50"/>
      <c r="C57" s="58"/>
      <c r="D57" s="77"/>
      <c r="E57" s="74"/>
      <c r="F57" s="50"/>
      <c r="G57" s="74"/>
      <c r="H57" s="119"/>
      <c r="I57" s="77"/>
    </row>
    <row r="58" spans="1:9">
      <c r="A58" s="67" t="s">
        <v>203</v>
      </c>
      <c r="B58" s="50">
        <v>30</v>
      </c>
      <c r="C58" s="58">
        <f>(-(build!$B$22-1)*B58)/IF(build!$G$33,(1*(((build!$B$17*IF(validargument_johanna,2,1))/$K$21+1))),1)</f>
        <v>11.281601123595504</v>
      </c>
      <c r="D58" s="77">
        <v>4</v>
      </c>
      <c r="E58" s="74">
        <f>D58/C58</f>
        <v>0.3545596016184252</v>
      </c>
      <c r="F58" s="50"/>
      <c r="G58" s="74"/>
      <c r="H58" s="119"/>
      <c r="I58" s="77"/>
    </row>
    <row r="59" spans="1:9">
      <c r="A59" s="67" t="s">
        <v>468</v>
      </c>
      <c r="B59" s="50">
        <v>30</v>
      </c>
      <c r="C59" s="58">
        <f>(-(build!$B$22-1)*B59)/IF(build!$G$33,(1*(((build!$B$17*IF(validargument_johanna,2,1))/$K$21+1))),1)</f>
        <v>11.281601123595504</v>
      </c>
      <c r="D59" s="77">
        <v>4</v>
      </c>
      <c r="E59" s="74">
        <f>D59/C59</f>
        <v>0.3545596016184252</v>
      </c>
      <c r="F59" s="50"/>
      <c r="G59" s="74"/>
      <c r="H59" s="119"/>
      <c r="I59" s="77"/>
    </row>
    <row r="60" spans="1:9">
      <c r="A60" s="67" t="s">
        <v>469</v>
      </c>
      <c r="B60" s="50">
        <v>30</v>
      </c>
      <c r="C60" s="58">
        <f>(-(build!$B$22-1)*B60)/IF(build!$G$33,(1*(((build!$B$17*IF(validargument_johanna,2,1))/$K$21+1))),1)</f>
        <v>11.281601123595504</v>
      </c>
      <c r="D60" s="77">
        <v>7</v>
      </c>
      <c r="E60" s="74">
        <f>D60/C60</f>
        <v>0.62047930283224406</v>
      </c>
      <c r="F60" s="50"/>
      <c r="G60" s="74"/>
      <c r="H60" s="119"/>
      <c r="I60" s="77"/>
    </row>
    <row r="61" spans="1:9">
      <c r="A61" s="67" t="s">
        <v>470</v>
      </c>
      <c r="B61" s="50">
        <v>30</v>
      </c>
      <c r="C61" s="58">
        <f>(-(build!$B$22-1)*B61)/IF(build!$G$33,(1*(((build!$B$17*IF(validargument_johanna,2,1))/$K$21+1))),1)</f>
        <v>11.281601123595504</v>
      </c>
      <c r="D61" s="77">
        <v>4</v>
      </c>
      <c r="E61" s="74">
        <f>D61/C61</f>
        <v>0.3545596016184252</v>
      </c>
      <c r="F61" s="75">
        <v>14</v>
      </c>
      <c r="G61" s="74">
        <f>F61*bonuscomp*(1+élément)*(1+IF(validélite,élite/100,0))*IF(multiplicatif&gt;0,multiplicatif,1)*(1+IF(validboss,boss/100,0))</f>
        <v>74.715513600000008</v>
      </c>
      <c r="H61" s="119">
        <f>G61*Feuil5!$B$9*bonusforce*(1+(build!$B$19/100)*(build!$B$20/100))</f>
        <v>79711218.688785493</v>
      </c>
      <c r="I61" s="77">
        <f>H61*D61/60</f>
        <v>5314081.245919033</v>
      </c>
    </row>
    <row r="62" spans="1:9">
      <c r="A62" s="67" t="s">
        <v>471</v>
      </c>
      <c r="B62" s="50">
        <v>30</v>
      </c>
      <c r="C62" s="58">
        <f>(-(build!$B$22-1)*B62)/IF(build!$G$33,(1*(((build!$B$17*IF(validargument_johanna,2,1))/$K$21+1))),1)</f>
        <v>11.281601123595504</v>
      </c>
      <c r="D62" s="77">
        <v>4</v>
      </c>
      <c r="E62" s="74">
        <f>D62/C62</f>
        <v>0.3545596016184252</v>
      </c>
      <c r="F62" s="50"/>
      <c r="G62" s="74"/>
      <c r="H62" s="119"/>
      <c r="I62" s="77"/>
    </row>
    <row r="63" spans="1:9">
      <c r="A63" s="67" t="s">
        <v>472</v>
      </c>
      <c r="B63" s="50">
        <v>30</v>
      </c>
      <c r="C63" s="58">
        <f>(-(build!$B$22-1)*B63)/IF(build!$G$33,(1*(((build!$B$17*IF(validargument_johanna,2,1))/$K$21+1))),1)</f>
        <v>11.281601123595504</v>
      </c>
      <c r="D63" s="77">
        <v>4</v>
      </c>
      <c r="E63" s="74">
        <f>D63/C63</f>
        <v>0.3545596016184252</v>
      </c>
      <c r="F63" s="50"/>
      <c r="G63" s="74"/>
      <c r="H63" s="119"/>
      <c r="I63" s="77"/>
    </row>
    <row r="64" spans="1:9">
      <c r="A64" s="67"/>
      <c r="B64" s="50"/>
      <c r="C64" s="58"/>
      <c r="D64" s="77"/>
      <c r="E64" s="74"/>
      <c r="F64" s="50"/>
      <c r="G64" s="74"/>
      <c r="H64" s="119"/>
      <c r="I64" s="77"/>
    </row>
    <row r="65" spans="1:9">
      <c r="A65" s="51" t="s">
        <v>215</v>
      </c>
      <c r="B65" s="50">
        <v>30</v>
      </c>
      <c r="C65" s="58">
        <f>(-(build!$B$22-1)*B65)/IF(build!$G$33,(1*(((build!$B$17*IF(validargument_johanna,2,1))/$K$21+1))),1)</f>
        <v>11.281601123595504</v>
      </c>
      <c r="D65" s="77">
        <v>10</v>
      </c>
      <c r="E65" s="74">
        <f>D65/C65</f>
        <v>0.88639900404606298</v>
      </c>
      <c r="F65" s="50"/>
      <c r="G65" s="74"/>
      <c r="H65" s="119"/>
      <c r="I65" s="77"/>
    </row>
    <row r="66" spans="1:9">
      <c r="A66" s="51" t="s">
        <v>473</v>
      </c>
      <c r="B66" s="50">
        <v>30</v>
      </c>
      <c r="C66" s="58">
        <f>(-(build!$B$22-1)*B66)/IF(build!$G$33,(1*(((build!$B$17*IF(validargument_johanna,2,1))/$K$21+1))),1)</f>
        <v>11.281601123595504</v>
      </c>
      <c r="D66" s="77">
        <v>10</v>
      </c>
      <c r="E66" s="74">
        <f>D66/C66</f>
        <v>0.88639900404606298</v>
      </c>
      <c r="F66" s="50"/>
      <c r="G66" s="74"/>
      <c r="H66" s="119"/>
      <c r="I66" s="77"/>
    </row>
    <row r="67" spans="1:9">
      <c r="A67" s="51" t="s">
        <v>474</v>
      </c>
      <c r="B67" s="50">
        <v>30</v>
      </c>
      <c r="C67" s="58">
        <f>(-(build!$B$22-1)*B67)/IF(build!$G$33,(1*(((build!$B$17*IF(validargument_johanna,2,1))/$K$21+1))),1)</f>
        <v>11.281601123595504</v>
      </c>
      <c r="D67" s="77">
        <v>10</v>
      </c>
      <c r="E67" s="74">
        <f>D67/C67</f>
        <v>0.88639900404606298</v>
      </c>
      <c r="F67" s="50"/>
      <c r="G67" s="74"/>
      <c r="H67" s="119"/>
      <c r="I67" s="77"/>
    </row>
    <row r="68" spans="1:9">
      <c r="A68" s="51" t="s">
        <v>475</v>
      </c>
      <c r="B68" s="50">
        <v>30</v>
      </c>
      <c r="C68" s="58">
        <f>(-(build!$B$22-1)*B68)/IF(build!$G$33,(1*(((build!$B$17*IF(validargument_johanna,2,1))/$K$21+1))),1)</f>
        <v>11.281601123595504</v>
      </c>
      <c r="D68" s="77">
        <v>10</v>
      </c>
      <c r="E68" s="74">
        <f>D68/C68</f>
        <v>0.88639900404606298</v>
      </c>
      <c r="F68" s="50"/>
      <c r="G68" s="74"/>
      <c r="H68" s="119"/>
      <c r="I68" s="77"/>
    </row>
    <row r="69" spans="1:9">
      <c r="A69" s="51" t="s">
        <v>476</v>
      </c>
      <c r="B69" s="50">
        <v>30</v>
      </c>
      <c r="C69" s="58">
        <f>(-(build!$B$22-1)*B69)/IF(build!$G$33,(1*(((build!$B$17*IF(validargument_johanna,2,1))/$K$21+1))),1)</f>
        <v>11.281601123595504</v>
      </c>
      <c r="D69" s="77">
        <v>10</v>
      </c>
      <c r="E69" s="74">
        <f>D69/C69</f>
        <v>0.88639900404606298</v>
      </c>
      <c r="F69" s="75">
        <f>1.55</f>
        <v>1.55</v>
      </c>
      <c r="G69" s="74">
        <f>F69*bonuscomp*(1+élément)*(1+IF(validélite,élite/100,0))*IF(multiplicatif&gt;0,multiplicatif,1)*(1+IF(validboss,boss/100,0))</f>
        <v>8.2720747199999991</v>
      </c>
      <c r="H69" s="119">
        <f>G69*Feuil5!$B$9*bonusforce*(1+(build!$B$19/100)*(build!$B$20/100))</f>
        <v>8825170.6405441053</v>
      </c>
      <c r="I69" s="77">
        <f>H69*E69</f>
        <v>7822622.4663148504</v>
      </c>
    </row>
    <row r="70" spans="1:9">
      <c r="A70" s="51" t="s">
        <v>477</v>
      </c>
      <c r="B70" s="50">
        <v>30</v>
      </c>
      <c r="C70" s="58">
        <f>(-(build!$B$22-1)*B70)/IF(build!$G$33,(1*(((build!$B$17*IF(validargument_johanna,2,1))/$K$21+1))),1)</f>
        <v>11.281601123595504</v>
      </c>
      <c r="D70" s="77">
        <v>10</v>
      </c>
      <c r="E70" s="74">
        <f>D70/C70</f>
        <v>0.88639900404606298</v>
      </c>
      <c r="F70" s="50"/>
      <c r="G70" s="74"/>
      <c r="H70" s="119"/>
      <c r="I70" s="77"/>
    </row>
    <row r="71" spans="1:9">
      <c r="A71" s="51"/>
      <c r="B71" s="50"/>
      <c r="C71" s="58"/>
      <c r="D71" s="77"/>
      <c r="E71" s="74"/>
      <c r="F71" s="50"/>
      <c r="G71" s="74"/>
      <c r="H71" s="119"/>
      <c r="I71" s="77"/>
    </row>
    <row r="72" spans="1:9">
      <c r="A72" s="51" t="s">
        <v>228</v>
      </c>
      <c r="B72" s="50">
        <v>20</v>
      </c>
      <c r="C72" s="58">
        <f>(-(build!$B$22-1)*B72)/IF(build!$G$33,(1*(((build!$B$17*IF(validargument_johanna,2,1))/$K$21+1))),1)</f>
        <v>7.5210674157303368</v>
      </c>
      <c r="D72" s="77">
        <v>6</v>
      </c>
      <c r="E72" s="74">
        <f>D72/C72</f>
        <v>0.79775910364145664</v>
      </c>
      <c r="F72" s="50"/>
      <c r="G72" s="74"/>
      <c r="H72" s="119"/>
      <c r="I72" s="77"/>
    </row>
    <row r="73" spans="1:9">
      <c r="A73" s="51" t="s">
        <v>478</v>
      </c>
      <c r="B73" s="50">
        <v>20</v>
      </c>
      <c r="C73" s="58">
        <f>(-(build!$B$22-1)*B73)/IF(build!$G$33,(1*(((build!$B$17*IF(validargument_johanna,2,1))/$K$21+1))),1)</f>
        <v>7.5210674157303368</v>
      </c>
      <c r="D73" s="77">
        <v>6</v>
      </c>
      <c r="E73" s="74">
        <f>D73/C73</f>
        <v>0.79775910364145664</v>
      </c>
      <c r="F73" s="50"/>
      <c r="G73" s="74"/>
      <c r="H73" s="119"/>
      <c r="I73" s="77"/>
    </row>
    <row r="74" spans="1:9">
      <c r="A74" s="51" t="s">
        <v>479</v>
      </c>
      <c r="B74" s="50">
        <v>20</v>
      </c>
      <c r="C74" s="58">
        <f>(-(build!$B$22-1)*B74)/IF(build!$G$33,(1*(((build!$B$17*IF(validargument_johanna,2,1))/$K$21+1))),1)</f>
        <v>7.5210674157303368</v>
      </c>
      <c r="D74" s="77">
        <v>6</v>
      </c>
      <c r="E74" s="74">
        <f>D74/C74</f>
        <v>0.79775910364145664</v>
      </c>
      <c r="F74" s="50"/>
      <c r="G74" s="74"/>
      <c r="H74" s="119"/>
      <c r="I74" s="77"/>
    </row>
    <row r="75" spans="1:9">
      <c r="A75" s="51" t="s">
        <v>480</v>
      </c>
      <c r="B75" s="50">
        <v>20</v>
      </c>
      <c r="C75" s="58">
        <f>(-(build!$B$22-1)*B75)/IF(build!$G$33,(1*(((build!$B$17*IF(validargument_johanna,2,1))/$K$21+1))),1)</f>
        <v>7.5210674157303368</v>
      </c>
      <c r="D75" s="77">
        <v>6</v>
      </c>
      <c r="E75" s="74">
        <f>D75/C75</f>
        <v>0.79775910364145664</v>
      </c>
      <c r="F75" s="50"/>
      <c r="G75" s="74"/>
      <c r="H75" s="119"/>
      <c r="I75" s="77"/>
    </row>
    <row r="76" spans="1:9">
      <c r="A76" s="51" t="s">
        <v>481</v>
      </c>
      <c r="B76" s="50">
        <v>20</v>
      </c>
      <c r="C76" s="58">
        <f>(-(build!$B$22-1)*B76)/IF(build!$G$33,(1*(((build!$B$17*IF(validargument_johanna,2,1))/$K$21+1))),1)</f>
        <v>7.5210674157303368</v>
      </c>
      <c r="D76" s="77">
        <v>6</v>
      </c>
      <c r="E76" s="74">
        <f>D76/C76</f>
        <v>0.79775910364145664</v>
      </c>
      <c r="F76" s="50"/>
      <c r="G76" s="74"/>
      <c r="H76" s="119"/>
      <c r="I76" s="77"/>
    </row>
    <row r="77" spans="1:9">
      <c r="A77" s="67" t="s">
        <v>503</v>
      </c>
      <c r="B77" s="50">
        <v>20</v>
      </c>
      <c r="C77" s="58">
        <f>(-(build!$B$22-1)*B77)/IF(build!$G$33,(1*(((build!$B$17*IF(validargument_johanna,2,1))/$K$21+1))),1)</f>
        <v>7.5210674157303368</v>
      </c>
      <c r="D77" s="77">
        <v>6</v>
      </c>
      <c r="E77" s="74">
        <f>D77/C77</f>
        <v>0.79775910364145664</v>
      </c>
      <c r="F77" s="50"/>
      <c r="G77" s="74"/>
      <c r="H77" s="119"/>
      <c r="I77" s="77"/>
    </row>
    <row r="78" spans="1:9">
      <c r="A78" s="51"/>
      <c r="B78" s="50"/>
      <c r="C78" s="58"/>
      <c r="D78" s="77"/>
      <c r="E78" s="74"/>
      <c r="F78" s="50"/>
      <c r="G78" s="74"/>
      <c r="H78" s="119"/>
      <c r="I78" s="77"/>
    </row>
    <row r="79" spans="1:9">
      <c r="A79" s="51" t="s">
        <v>240</v>
      </c>
      <c r="B79" s="50">
        <v>20</v>
      </c>
      <c r="C79" s="58">
        <f>(-(build!$B$22-1)*B79)/IF(build!$G$33,(1*(((build!$B$17*IF(validargument_johanna,2,1))/$K$21+1))),1)</f>
        <v>7.5210674157303368</v>
      </c>
      <c r="D79" s="77">
        <v>4</v>
      </c>
      <c r="E79" s="74">
        <f>D79/C79</f>
        <v>0.53183940242763772</v>
      </c>
      <c r="F79" s="50"/>
      <c r="G79" s="74"/>
      <c r="H79" s="119"/>
      <c r="I79" s="77"/>
    </row>
    <row r="80" spans="1:9">
      <c r="A80" s="51" t="s">
        <v>482</v>
      </c>
      <c r="B80" s="50">
        <v>20</v>
      </c>
      <c r="C80" s="58">
        <f>(-(build!$B$22-1)*B80)/IF(build!$G$33,(1*(((build!$B$17*IF(validargument_johanna,2,1))/$K$21+1))),1)</f>
        <v>7.5210674157303368</v>
      </c>
      <c r="D80" s="77">
        <v>4</v>
      </c>
      <c r="E80" s="74">
        <f>D80/C80</f>
        <v>0.53183940242763772</v>
      </c>
      <c r="F80" s="50"/>
      <c r="G80" s="74"/>
      <c r="H80" s="119"/>
      <c r="I80" s="77"/>
    </row>
    <row r="81" spans="1:9">
      <c r="A81" s="51" t="s">
        <v>483</v>
      </c>
      <c r="B81" s="50">
        <v>20</v>
      </c>
      <c r="C81" s="58">
        <f>(-(build!$B$22-1)*B81)/IF(build!$G$33,(1*(((build!$B$17*IF(validargument_johanna,2,1))/$K$21+1))),1)</f>
        <v>7.5210674157303368</v>
      </c>
      <c r="D81" s="77">
        <v>8</v>
      </c>
      <c r="E81" s="74">
        <f>D81/C81</f>
        <v>1.0636788048552754</v>
      </c>
      <c r="F81" s="50"/>
      <c r="G81" s="74"/>
      <c r="H81" s="119"/>
      <c r="I81" s="77"/>
    </row>
    <row r="82" spans="1:9">
      <c r="A82" s="51" t="s">
        <v>484</v>
      </c>
      <c r="B82" s="50">
        <v>20</v>
      </c>
      <c r="C82" s="58">
        <f>(-(build!$B$22-1)*B82)/IF(build!$G$33,(1*(((build!$B$17*IF(validargument_johanna,2,1))/$K$21+1))),1)</f>
        <v>7.5210674157303368</v>
      </c>
      <c r="D82" s="77">
        <v>4</v>
      </c>
      <c r="E82" s="74">
        <f>D82/C82</f>
        <v>0.53183940242763772</v>
      </c>
      <c r="F82" s="50"/>
      <c r="G82" s="74"/>
      <c r="H82" s="119"/>
      <c r="I82" s="77"/>
    </row>
    <row r="83" spans="1:9">
      <c r="A83" s="51" t="s">
        <v>485</v>
      </c>
      <c r="B83" s="50">
        <v>20</v>
      </c>
      <c r="C83" s="58">
        <f>(-(build!$B$22-1)*B83)/IF(build!$G$33,(1*(((build!$B$17*IF(validargument_johanna,2,1))/$K$21+1))),1)</f>
        <v>7.5210674157303368</v>
      </c>
      <c r="D83" s="77">
        <v>4</v>
      </c>
      <c r="E83" s="74">
        <f>D83/C83</f>
        <v>0.53183940242763772</v>
      </c>
      <c r="F83" s="75">
        <v>0.5</v>
      </c>
      <c r="G83" s="74">
        <f>F83*bonuscomp*(1+élément)*(1+IF(validélite,élite/100,0))*IF(multiplicatif&gt;0,multiplicatif,1)*(1+IF(validboss,boss/100,0))</f>
        <v>2.6684112</v>
      </c>
      <c r="H83" s="119">
        <f>G83*Feuil5!$B$9*bonusforce*(1+(build!$B$19/100)*(build!$B$20/100))</f>
        <v>2846829.2388851955</v>
      </c>
      <c r="I83" s="77">
        <f>H83*build!$B$17*IF(validargument_johanna,2,1)*E83</f>
        <v>5904818.2487666933</v>
      </c>
    </row>
    <row r="84" spans="1:9">
      <c r="A84" s="51" t="s">
        <v>486</v>
      </c>
      <c r="B84" s="50">
        <v>20</v>
      </c>
      <c r="C84" s="58">
        <f>(-(build!$B$22-1)*B84)/IF(build!$G$33,(1*(((build!$B$17*IF(validargument_johanna,2,1))/$K$21+1))),1)</f>
        <v>7.5210674157303368</v>
      </c>
      <c r="D84" s="77">
        <v>4</v>
      </c>
      <c r="E84" s="74">
        <f>D84/C84</f>
        <v>0.53183940242763772</v>
      </c>
      <c r="F84" s="75"/>
      <c r="G84" s="74"/>
      <c r="H84" s="119"/>
      <c r="I84" s="77"/>
    </row>
    <row r="85" spans="1:9">
      <c r="A85" s="51"/>
      <c r="B85" s="50"/>
      <c r="C85" s="58"/>
      <c r="D85" s="77"/>
      <c r="E85" s="74"/>
      <c r="F85" s="75"/>
      <c r="G85" s="74"/>
      <c r="H85" s="119"/>
      <c r="I85" s="77"/>
    </row>
    <row r="86" spans="1:9">
      <c r="A86" s="67" t="s">
        <v>543</v>
      </c>
      <c r="B86" s="50">
        <v>16</v>
      </c>
      <c r="C86" s="58">
        <f>(-(build!$B$22-1)*B86)/IF(build!$G$33,(1*(((build!$B$17*IF(validargument_johanna,2,1))/$K$21+1))),1)</f>
        <v>6.0168539325842687</v>
      </c>
      <c r="D86" s="77">
        <v>2</v>
      </c>
      <c r="E86" s="74">
        <f>D86/C86</f>
        <v>0.33239962651727362</v>
      </c>
      <c r="F86" s="75"/>
      <c r="G86" s="74"/>
      <c r="H86" s="119"/>
      <c r="I86" s="77"/>
    </row>
    <row r="87" spans="1:9">
      <c r="A87" s="51" t="s">
        <v>487</v>
      </c>
      <c r="B87" s="50">
        <v>16</v>
      </c>
      <c r="C87" s="58">
        <f>(-(build!$B$22-1)*B87)/IF(build!$G$33,(1*(((build!$B$17*IF(validargument_johanna,2,1))/$K$21+1))),1)</f>
        <v>6.0168539325842687</v>
      </c>
      <c r="D87" s="77">
        <v>2</v>
      </c>
      <c r="E87" s="74">
        <f>D87/C87</f>
        <v>0.33239962651727362</v>
      </c>
      <c r="F87" s="75">
        <v>5.15</v>
      </c>
      <c r="G87" s="74">
        <f>F87*bonuscomp*(1+élément)*(1+IF(validélite,élite/100,0))*IF(multiplicatif&gt;0,multiplicatif,1)*(1+IF(validboss,boss/100,0))</f>
        <v>27.484635360000006</v>
      </c>
      <c r="H87" s="119">
        <f>G87*Feuil5!$B$9*bonusforce*(1+(build!$B$19/100)*(build!$B$20/100))</f>
        <v>29322341.160517517</v>
      </c>
      <c r="I87" s="77">
        <f>H87*E87</f>
        <v>9746735.2503681015</v>
      </c>
    </row>
    <row r="88" spans="1:9">
      <c r="A88" s="51" t="s">
        <v>488</v>
      </c>
      <c r="B88" s="50">
        <v>16</v>
      </c>
      <c r="C88" s="58">
        <f>(-(build!$B$22-1)*B88)/IF(build!$G$33,(1*(((build!$B$17*IF(validargument_johanna,2,1))/$K$21+1))),1)</f>
        <v>6.0168539325842687</v>
      </c>
      <c r="D88" s="77">
        <v>2</v>
      </c>
      <c r="E88" s="74">
        <f>D88/C88</f>
        <v>0.33239962651727362</v>
      </c>
      <c r="F88" s="75">
        <f>550/200</f>
        <v>2.75</v>
      </c>
      <c r="G88" s="74">
        <f>F88*bonuscomp*(1+élément)*(1+IF(validélite,élite/100,0))*IF(multiplicatif&gt;0,multiplicatif,1)*(1+IF(validboss,boss/100,0))</f>
        <v>14.6762616</v>
      </c>
      <c r="H88" s="119">
        <f>G88*Feuil5!$B$9*bonusforce*(1+(build!$B$19/100)*(build!$B$20/100))</f>
        <v>15657560.813868575</v>
      </c>
      <c r="I88" s="77">
        <f>H88*E88</f>
        <v>5204567.3667014129</v>
      </c>
    </row>
    <row r="89" spans="1:9">
      <c r="A89" s="51" t="s">
        <v>489</v>
      </c>
      <c r="B89" s="50">
        <v>16</v>
      </c>
      <c r="C89" s="58">
        <f>(-(build!$B$22-1)*B89)/IF(build!$G$33,(1*(((build!$B$17*IF(validargument_johanna,2,1))/$K$21+1))),1)</f>
        <v>6.0168539325842687</v>
      </c>
      <c r="D89" s="77">
        <v>2</v>
      </c>
      <c r="E89" s="74">
        <f>D89/C89</f>
        <v>0.33239962651727362</v>
      </c>
      <c r="F89" s="50"/>
      <c r="G89" s="74"/>
      <c r="H89" s="119"/>
      <c r="I89" s="77"/>
    </row>
    <row r="90" spans="1:9">
      <c r="A90" s="51" t="s">
        <v>490</v>
      </c>
      <c r="B90" s="50">
        <v>16</v>
      </c>
      <c r="C90" s="58">
        <f>(-(build!$B$22-1)*B90)/IF(build!$G$33,(1*(((build!$B$17*IF(validargument_johanna,2,1))/$K$21+1))),1)</f>
        <v>6.0168539325842687</v>
      </c>
      <c r="D90" s="77">
        <v>3</v>
      </c>
      <c r="E90" s="74">
        <f>D90/C90</f>
        <v>0.49859943977591042</v>
      </c>
      <c r="F90" s="50"/>
      <c r="G90" s="74"/>
      <c r="H90" s="119"/>
      <c r="I90" s="77"/>
    </row>
    <row r="91" spans="1:9">
      <c r="A91" s="51" t="s">
        <v>491</v>
      </c>
      <c r="B91" s="50">
        <v>16</v>
      </c>
      <c r="C91" s="58">
        <f>(-(build!$B$22-1)*B91)/IF(build!$G$33,(1*(((build!$B$17*IF(validargument_johanna,2,1))/$K$21+1))),1)</f>
        <v>6.0168539325842687</v>
      </c>
      <c r="D91" s="77">
        <v>2</v>
      </c>
      <c r="E91" s="74">
        <f>D91/C91</f>
        <v>0.33239962651727362</v>
      </c>
      <c r="F91" s="75">
        <v>1.85</v>
      </c>
      <c r="G91" s="74">
        <f>F91*bonuscomp*(1+élément)*(1+IF(validélite,élite/100,0))*IF(multiplicatif&gt;0,multiplicatif,1)*(1+IF(validboss,boss/100,0))</f>
        <v>9.873121440000002</v>
      </c>
      <c r="H91" s="119">
        <f>G91*Feuil5!$B$9*bonusforce*(1+(build!$B$19/100)*(build!$B$20/100))</f>
        <v>10533268.183875225</v>
      </c>
      <c r="I91" s="77">
        <f>H91*E91</f>
        <v>3501254.4103264059</v>
      </c>
    </row>
    <row r="92" spans="1:9">
      <c r="A92" s="51"/>
      <c r="B92" s="50"/>
      <c r="C92" s="58"/>
      <c r="D92" s="77"/>
      <c r="E92" s="74"/>
      <c r="F92" s="75"/>
      <c r="G92" s="74"/>
      <c r="H92" s="119"/>
      <c r="I92" s="77"/>
    </row>
    <row r="93" spans="1:9">
      <c r="A93" s="51" t="s">
        <v>265</v>
      </c>
      <c r="B93" s="50">
        <v>15</v>
      </c>
      <c r="C93" s="58">
        <f>(-(build!$B$22-1)*B93)/IF(build!$G$33,(1*(((build!$B$17*IF(validargument_johanna,2,1))/$K$21+1))),1)</f>
        <v>5.6408005617977519</v>
      </c>
      <c r="D93" s="77"/>
      <c r="E93" s="74"/>
      <c r="F93" s="75">
        <v>11.6</v>
      </c>
      <c r="G93" s="74">
        <f>F93*bonuscomp*(1+élément)*(1+IF(validélite,élite/100,0))*IF(multiplicatif&gt;0,multiplicatif,1)*(1+IF(validboss,boss/100,0))</f>
        <v>61.907139839999992</v>
      </c>
      <c r="H93" s="119">
        <f>G93*Feuil5!$B$9*bonusforce*(1+(build!$B$19/100)*(build!$B$20/100))</f>
        <v>66046438.342136525</v>
      </c>
      <c r="I93" s="77">
        <f>H93*C93/60</f>
        <v>6209246.4417510722</v>
      </c>
    </row>
    <row r="94" spans="1:9">
      <c r="A94" s="51" t="s">
        <v>492</v>
      </c>
      <c r="B94" s="50">
        <v>15</v>
      </c>
      <c r="C94" s="58">
        <f>(-(build!$B$22-1)*B94)/IF(build!$G$33,(1*(((build!$B$17*IF(validargument_johanna,2,1))/$K$21+1))),1)</f>
        <v>5.6408005617977519</v>
      </c>
      <c r="D94" s="77"/>
      <c r="E94" s="74"/>
      <c r="F94" s="75">
        <v>11.6</v>
      </c>
      <c r="G94" s="74">
        <f>F94*bonuscomp*(1+élément)*(1+IF(validélite,élite/100,0))*IF(multiplicatif&gt;0,multiplicatif,1)*(1+IF(validboss,boss/100,0))</f>
        <v>61.907139839999992</v>
      </c>
      <c r="H94" s="119">
        <f>G94*Feuil5!$B$9*bonusforce*(1+(build!$B$19/100)*(build!$B$20/100))</f>
        <v>66046438.342136525</v>
      </c>
      <c r="I94" s="77">
        <f>H94*C94/60</f>
        <v>6209246.4417510722</v>
      </c>
    </row>
    <row r="95" spans="1:9">
      <c r="A95" s="51" t="s">
        <v>493</v>
      </c>
      <c r="B95" s="50">
        <v>15</v>
      </c>
      <c r="C95" s="58">
        <f>(-(build!$B$22-1)*B95)/IF(build!$G$33,(1*(((build!$B$17*IF(validargument_johanna,2,1))/$K$21+1))),1)</f>
        <v>5.6408005617977519</v>
      </c>
      <c r="D95" s="77"/>
      <c r="E95" s="74"/>
      <c r="F95" s="75">
        <v>11.6</v>
      </c>
      <c r="G95" s="74">
        <f>F95*bonuscomp*(1+élément)*(1+IF(validélite,élite/100,0))*IF(multiplicatif&gt;0,multiplicatif,1)*(1+IF(validboss,boss/100,0))</f>
        <v>61.907139839999992</v>
      </c>
      <c r="H95" s="119">
        <f>G95*Feuil5!$B$9*bonusforce*(1+(build!$B$19/100)*(build!$B$20/100))</f>
        <v>66046438.342136525</v>
      </c>
      <c r="I95" s="77">
        <f>H95*C95/60</f>
        <v>6209246.4417510722</v>
      </c>
    </row>
    <row r="96" spans="1:9">
      <c r="A96" s="51" t="s">
        <v>494</v>
      </c>
      <c r="B96" s="50">
        <v>15</v>
      </c>
      <c r="C96" s="58">
        <f>(-(build!$B$22-1)*B96)/IF(build!$G$33,(1*(((build!$B$17*IF(validargument_johanna,2,1))/$K$21+1))),1)</f>
        <v>5.6408005617977519</v>
      </c>
      <c r="D96" s="77"/>
      <c r="E96" s="74"/>
      <c r="F96" s="75">
        <v>11.6</v>
      </c>
      <c r="G96" s="74">
        <f>F96*bonuscomp*(1+élément)*(1+IF(validélite,élite/100,0))*IF(multiplicatif&gt;0,multiplicatif,1)*(1+IF(validboss,boss/100,0))</f>
        <v>61.907139839999992</v>
      </c>
      <c r="H96" s="119">
        <f>G96*Feuil5!$B$9*bonusforce*(1+(build!$B$19/100)*(build!$B$20/100))</f>
        <v>66046438.342136525</v>
      </c>
      <c r="I96" s="77">
        <f>H96*C96/60</f>
        <v>6209246.4417510722</v>
      </c>
    </row>
    <row r="97" spans="1:9">
      <c r="A97" s="51" t="s">
        <v>495</v>
      </c>
      <c r="B97" s="50">
        <v>15</v>
      </c>
      <c r="C97" s="58">
        <f>(-(build!$B$22-1)*B97)/IF(build!$G$33,(1*(((build!$B$17*IF(validargument_johanna,2,1))/$K$21+1))),1)</f>
        <v>5.6408005617977519</v>
      </c>
      <c r="D97" s="77"/>
      <c r="E97" s="74"/>
      <c r="F97" s="75">
        <v>11.6</v>
      </c>
      <c r="G97" s="74">
        <f>F97*bonuscomp*(1+élément)*(1+IF(validélite,élite/100,0))*IF(multiplicatif&gt;0,multiplicatif,1)*(1+IF(validboss,boss/100,0))</f>
        <v>61.907139839999992</v>
      </c>
      <c r="H97" s="119">
        <f>G97*Feuil5!$B$9*bonusforce*(1+(build!$B$19/100)*(build!$B$20/100))</f>
        <v>66046438.342136525</v>
      </c>
      <c r="I97" s="77">
        <f>H97*C97/60</f>
        <v>6209246.4417510722</v>
      </c>
    </row>
    <row r="98" spans="1:9">
      <c r="A98" s="51" t="s">
        <v>496</v>
      </c>
      <c r="B98" s="50">
        <v>15</v>
      </c>
      <c r="C98" s="58">
        <f>(-(build!$B$22-1)*B98)/IF(build!$G$33,(1*(((build!$B$17*IF(validargument_johanna,2,1))/$K$21+1))),1)</f>
        <v>5.6408005617977519</v>
      </c>
      <c r="D98" s="77"/>
      <c r="E98" s="74"/>
      <c r="F98" s="75">
        <v>11.6</v>
      </c>
      <c r="G98" s="74">
        <f>F98*bonuscomp*(1+élément)*(1+IF(validélite,élite/100,0))*IF(multiplicatif&gt;0,multiplicatif,1)*(1+IF(validboss,boss/100,0))</f>
        <v>61.907139839999992</v>
      </c>
      <c r="H98" s="119">
        <f>G98*Feuil5!$B$9*bonusforce*(1+(build!$B$19/100)*(build!$B$20/100))</f>
        <v>66046438.342136525</v>
      </c>
      <c r="I98" s="77">
        <f>H98*C98/60</f>
        <v>6209246.4417510722</v>
      </c>
    </row>
    <row r="99" spans="1:9">
      <c r="A99" s="51"/>
      <c r="B99" s="50"/>
      <c r="C99" s="58"/>
      <c r="D99" s="77"/>
      <c r="E99" s="74"/>
      <c r="F99" s="75"/>
      <c r="G99" s="74"/>
      <c r="H99" s="119"/>
      <c r="I99" s="77"/>
    </row>
    <row r="100" spans="1:9">
      <c r="A100" s="67" t="s">
        <v>539</v>
      </c>
      <c r="B100" s="50">
        <v>30</v>
      </c>
      <c r="C100" s="58">
        <f>(-(build!$B$22-1)*B100)/IF(build!$G$33,(1*(((build!$B$17*IF(validargument_johanna,2,1))/$K$21+1))),1)</f>
        <v>11.281601123595504</v>
      </c>
      <c r="D100" s="77">
        <f>IF(OR(build!E10="bras armé de la justice",build!E11="bras armé de la justice",build!E12="bras armé de la justice",build!E13="bras armé de la justice",build!E14="bras armé de la justice"),10,5)</f>
        <v>5</v>
      </c>
      <c r="E100" s="74">
        <f>D100/C100</f>
        <v>0.44319950202303149</v>
      </c>
      <c r="F100" s="75"/>
      <c r="G100" s="74"/>
      <c r="H100" s="119"/>
      <c r="I100" s="77"/>
    </row>
    <row r="101" spans="1:9">
      <c r="A101" s="51" t="s">
        <v>497</v>
      </c>
      <c r="B101" s="50">
        <v>30</v>
      </c>
      <c r="C101" s="58">
        <f>(-(build!$B$22-1)*B101)/IF(build!$G$33,(1*(((build!$B$17*IF(validargument_johanna,2,1))/$K$21+1))),1)</f>
        <v>11.281601123595504</v>
      </c>
      <c r="D101" s="77">
        <f>IF(OR(build!E10="bras armé de la justice",build!E11="bras armé de la justice",build!E12="bras armé de la justice",build!E13="bras armé de la justice",build!E14="bras armé de la justice"),10,5)</f>
        <v>5</v>
      </c>
      <c r="E101" s="74">
        <f>D101/C101</f>
        <v>0.44319950202303149</v>
      </c>
      <c r="F101" s="75"/>
      <c r="G101" s="74"/>
      <c r="H101" s="119"/>
      <c r="I101" s="77"/>
    </row>
    <row r="102" spans="1:9">
      <c r="A102" s="51" t="s">
        <v>498</v>
      </c>
      <c r="B102" s="50">
        <v>30</v>
      </c>
      <c r="C102" s="58">
        <f>(-(build!$B$22-1)*B102)/IF(build!$G$33,(1*(((build!$B$17*IF(validargument_johanna,2,1))/$K$21+1))),1)</f>
        <v>11.281601123595504</v>
      </c>
      <c r="D102" s="77">
        <f>IF(OR(build!E10="bras armé de la justice",build!E11="bras armé de la justice",build!E12="bras armé de la justice",build!E13="bras armé de la justice",build!E14="bras armé de la justice"),10,5)</f>
        <v>5</v>
      </c>
      <c r="E102" s="74">
        <f>D102/C102</f>
        <v>0.44319950202303149</v>
      </c>
      <c r="F102" s="75"/>
      <c r="G102" s="74"/>
      <c r="H102" s="119"/>
      <c r="I102" s="77"/>
    </row>
    <row r="103" spans="1:9">
      <c r="A103" s="51" t="s">
        <v>360</v>
      </c>
      <c r="B103" s="50">
        <v>30</v>
      </c>
      <c r="C103" s="58">
        <f>(-(build!$B$22-1)*B103)/IF(build!$G$33,(1*(((build!$B$17*IF(validargument_johanna,2,1))/$K$21+1))),1)</f>
        <v>11.281601123595504</v>
      </c>
      <c r="D103" s="77">
        <f>IF(OR(build!E10="bras armé de la justice",build!E11="bras armé de la justice",build!E12="bras armé de la justice",build!E13="bras armé de la justice",build!E14="bras armé de la justice"),10,5)</f>
        <v>5</v>
      </c>
      <c r="E103" s="74">
        <f>D103/C103</f>
        <v>0.44319950202303149</v>
      </c>
      <c r="F103" s="75"/>
      <c r="G103" s="74"/>
      <c r="H103" s="119"/>
      <c r="I103" s="77"/>
    </row>
    <row r="104" spans="1:9">
      <c r="A104" s="51" t="s">
        <v>382</v>
      </c>
      <c r="B104" s="50">
        <v>30</v>
      </c>
      <c r="C104" s="58">
        <f>(-(build!$B$22-1)*B104)/IF(build!$G$33,(1*(((build!$B$17*IF(validargument_johanna,2,1))/$K$21+1))),1)</f>
        <v>11.281601123595504</v>
      </c>
      <c r="D104" s="77">
        <f>IF(OR(build!E10="bras armé de la justice",build!E11="bras armé de la justice",build!E12="bras armé de la justice",build!E13="bras armé de la justice",build!E14="bras armé de la justice"),10,5)</f>
        <v>5</v>
      </c>
      <c r="E104" s="74">
        <f>D104/C104</f>
        <v>0.44319950202303149</v>
      </c>
      <c r="F104" s="75"/>
      <c r="G104" s="74"/>
      <c r="H104" s="119"/>
      <c r="I104" s="77"/>
    </row>
    <row r="105" spans="1:9">
      <c r="A105" s="51" t="s">
        <v>499</v>
      </c>
      <c r="B105" s="50">
        <v>30</v>
      </c>
      <c r="C105" s="58">
        <f>(-(build!$B$22-1)*B105)/IF(build!$G$33,(1*(((build!$B$17*IF(validargument_johanna,2,1))/$K$21+1))),1)</f>
        <v>11.281601123595504</v>
      </c>
      <c r="D105" s="77">
        <f>IF(OR(build!E10="bras armé de la justice",build!E11="bras armé de la justice",build!E12="bras armé de la justice",build!E13="bras armé de la justice",build!E14="bras armé de la justice"),10,5)</f>
        <v>5</v>
      </c>
      <c r="E105" s="74">
        <f>D105/C105</f>
        <v>0.44319950202303149</v>
      </c>
      <c r="F105" s="75"/>
      <c r="G105" s="74"/>
      <c r="H105" s="119"/>
      <c r="I105" s="77"/>
    </row>
    <row r="106" spans="1:9">
      <c r="A106" s="51"/>
      <c r="B106" s="50"/>
      <c r="C106" s="58"/>
      <c r="D106" s="77"/>
      <c r="E106" s="74"/>
      <c r="F106" s="75"/>
      <c r="G106" s="74"/>
      <c r="H106" s="119"/>
      <c r="I106" s="77"/>
    </row>
    <row r="107" spans="1:9">
      <c r="A107" s="67" t="s">
        <v>540</v>
      </c>
      <c r="B107" s="50">
        <v>30</v>
      </c>
      <c r="C107" s="58">
        <f>(-(build!$B$22-1)*B107)/IF(build!$G$33,(1*(((build!$B$17*IF(validargument_johanna,2,1))/$K$21+1))),1)</f>
        <v>11.281601123595504</v>
      </c>
      <c r="D107" s="77">
        <f>IF(OR(build!E10="bras armé de la justice",build!E11="bras armé de la justice",build!E12="bras armé de la justice",build!E13="bras armé de la justice",build!E14="bras armé de la justice"),10,5)</f>
        <v>5</v>
      </c>
      <c r="E107" s="74">
        <f>D107/C107</f>
        <v>0.44319950202303149</v>
      </c>
      <c r="F107" s="75"/>
      <c r="G107" s="74"/>
      <c r="H107" s="119"/>
      <c r="I107" s="77"/>
    </row>
    <row r="108" spans="1:9">
      <c r="A108" s="51" t="s">
        <v>500</v>
      </c>
      <c r="B108" s="50">
        <v>30</v>
      </c>
      <c r="C108" s="58">
        <f>(-(build!$B$22-1)*B108)/IF(build!$G$33,(1*(((build!$B$17*IF(validargument_johanna,2,1))/$K$21+1))),1)</f>
        <v>11.281601123595504</v>
      </c>
      <c r="D108" s="77">
        <f>IF(OR(build!E10="bras armé de la justice",build!E11="bras armé de la justice",build!E12="bras armé de la justice",build!E13="bras armé de la justice",build!E14="bras armé de la justice"),10,5)</f>
        <v>5</v>
      </c>
      <c r="E108" s="74">
        <f>D108/C108</f>
        <v>0.44319950202303149</v>
      </c>
      <c r="F108" s="75"/>
      <c r="G108" s="74"/>
      <c r="H108" s="119"/>
      <c r="I108" s="77"/>
    </row>
    <row r="109" spans="1:9">
      <c r="A109" s="51" t="s">
        <v>501</v>
      </c>
      <c r="B109" s="50">
        <v>30</v>
      </c>
      <c r="C109" s="58">
        <f>(-(build!$B$22-1)*B109)/IF(build!$G$33,(1*(((build!$B$17*IF(validargument_johanna,2,1))/$K$21+1))),1)</f>
        <v>11.281601123595504</v>
      </c>
      <c r="D109" s="77">
        <f>IF(OR(build!E10="bras armé de la justice",build!E11="bras armé de la justice",build!E12="bras armé de la justice",build!E13="bras armé de la justice",build!E14="bras armé de la justice"),10,5)</f>
        <v>5</v>
      </c>
      <c r="E109" s="74">
        <f>D109/C109</f>
        <v>0.44319950202303149</v>
      </c>
      <c r="F109" s="75"/>
      <c r="G109" s="74"/>
      <c r="H109" s="119"/>
      <c r="I109" s="77"/>
    </row>
    <row r="110" spans="1:9">
      <c r="A110" s="51" t="s">
        <v>502</v>
      </c>
      <c r="B110" s="50">
        <v>30</v>
      </c>
      <c r="C110" s="58">
        <f>(-(build!$B$22-1)*B110)/IF(build!$G$33,(1*(((build!$B$17*IF(validargument_johanna,2,1))/$K$21+1))),1)</f>
        <v>11.281601123595504</v>
      </c>
      <c r="D110" s="77">
        <f>IF(OR(build!E10="bras armé de la justice",build!E11="bras armé de la justice",build!E12="bras armé de la justice",build!E13="bras armé de la justice",build!E14="bras armé de la justice"),10,5)</f>
        <v>5</v>
      </c>
      <c r="E110" s="74">
        <f>D110/C110</f>
        <v>0.44319950202303149</v>
      </c>
      <c r="F110" s="75"/>
      <c r="G110" s="74"/>
      <c r="H110" s="119"/>
      <c r="I110" s="77"/>
    </row>
    <row r="111" spans="1:9">
      <c r="A111" s="51" t="s">
        <v>503</v>
      </c>
      <c r="B111" s="50">
        <v>30</v>
      </c>
      <c r="C111" s="58">
        <f>(-(build!$B$22-1)*B111)/IF(build!$G$33,(1*(((build!$B$17*IF(validargument_johanna,2,1))/$K$21+1))),1)</f>
        <v>11.281601123595504</v>
      </c>
      <c r="D111" s="77">
        <f>IF(OR(build!E10="bras armé de la justice",build!E11="bras armé de la justice",build!E12="bras armé de la justice",build!E13="bras armé de la justice",build!E14="bras armé de la justice"),10,5)</f>
        <v>5</v>
      </c>
      <c r="E111" s="74">
        <f>D111/C111</f>
        <v>0.44319950202303149</v>
      </c>
      <c r="F111" s="75"/>
      <c r="G111" s="74"/>
      <c r="H111" s="119"/>
      <c r="I111" s="77"/>
    </row>
    <row r="112" spans="1:9">
      <c r="A112" s="51" t="s">
        <v>504</v>
      </c>
      <c r="B112" s="50">
        <v>30</v>
      </c>
      <c r="C112" s="58">
        <f>(-(build!$B$22-1)*B112)/IF(build!$G$33,(1*(((build!$B$17*IF(validargument_johanna,2,1))/$K$21+1))),1)</f>
        <v>11.281601123595504</v>
      </c>
      <c r="D112" s="77">
        <f>IF(OR(build!E10="bras armé de la justice",build!E11="bras armé de la justice",build!E12="bras armé de la justice",build!E13="bras armé de la justice",build!E14="bras armé de la justice"),10,5)</f>
        <v>5</v>
      </c>
      <c r="E112" s="74">
        <f>D112/C112</f>
        <v>0.44319950202303149</v>
      </c>
      <c r="F112" s="75"/>
      <c r="G112" s="74"/>
      <c r="H112" s="119"/>
      <c r="I112" s="77"/>
    </row>
    <row r="113" spans="1:9">
      <c r="A113" s="51"/>
      <c r="B113" s="50"/>
      <c r="C113" s="58"/>
      <c r="D113" s="77"/>
      <c r="E113" s="74"/>
      <c r="F113" s="75"/>
      <c r="G113" s="74"/>
      <c r="H113" s="119"/>
      <c r="I113" s="77"/>
    </row>
    <row r="114" spans="1:9">
      <c r="A114" s="67" t="s">
        <v>541</v>
      </c>
      <c r="B114" s="50">
        <v>30</v>
      </c>
      <c r="C114" s="58">
        <f>(-(build!$B$22-1)*B114)/IF(build!$G$33,(1*(((build!$B$17*IF(validargument_johanna,2,1))/$K$21+1))),1)</f>
        <v>11.281601123595504</v>
      </c>
      <c r="D114" s="77">
        <f>IF(OR(build!E10="bras armé de la justice",build!E11="bras armé de la justice",build!E12="bras armé de la justice",build!E13="bras armé de la justice",build!E14="bras armé de la justice"),10,5)</f>
        <v>5</v>
      </c>
      <c r="E114" s="74">
        <f>D114/C114</f>
        <v>0.44319950202303149</v>
      </c>
      <c r="F114" s="75"/>
      <c r="G114" s="74"/>
      <c r="H114" s="119"/>
      <c r="I114" s="77"/>
    </row>
    <row r="115" spans="1:9">
      <c r="A115" s="67" t="s">
        <v>519</v>
      </c>
      <c r="B115" s="50">
        <v>30</v>
      </c>
      <c r="C115" s="58">
        <f>(-(build!$B$22-1)*B115)/IF(build!$G$33,(1*(((build!$B$17*IF(validargument_johanna,2,1))/$K$21+1))),1)</f>
        <v>11.281601123595504</v>
      </c>
      <c r="D115" s="77">
        <f>IF(OR(build!E10="bras armé de la justice",build!E11="bras armé de la justice",build!E12="bras armé de la justice",build!E13="bras armé de la justice",build!E14="bras armé de la justice"),10,5)</f>
        <v>5</v>
      </c>
      <c r="E115" s="74">
        <f>D115/C115</f>
        <v>0.44319950202303149</v>
      </c>
      <c r="F115" s="75"/>
      <c r="G115" s="74"/>
      <c r="H115" s="119"/>
      <c r="I115" s="77"/>
    </row>
    <row r="116" spans="1:9">
      <c r="A116" s="67" t="s">
        <v>515</v>
      </c>
      <c r="B116" s="50">
        <v>30</v>
      </c>
      <c r="C116" s="58">
        <f>(-(build!$B$22-1)*B116)/IF(build!$G$33,(1*(((build!$B$17*IF(validargument_johanna,2,1))/$K$21+1))),1)</f>
        <v>11.281601123595504</v>
      </c>
      <c r="D116" s="77">
        <f>IF(OR(build!E10="bras armé de la justice",build!E11="bras armé de la justice",build!E12="bras armé de la justice",build!E13="bras armé de la justice",build!E14="bras armé de la justice"),10,5)</f>
        <v>5</v>
      </c>
      <c r="E116" s="74">
        <f>D116/C116</f>
        <v>0.44319950202303149</v>
      </c>
      <c r="F116" s="75"/>
      <c r="G116" s="74"/>
      <c r="H116" s="119"/>
      <c r="I116" s="77"/>
    </row>
    <row r="117" spans="1:9">
      <c r="A117" s="67" t="s">
        <v>516</v>
      </c>
      <c r="B117" s="50">
        <v>30</v>
      </c>
      <c r="C117" s="58">
        <f>(-(build!$B$22-1)*B117)/IF(build!$G$33,(1*(((build!$B$17*IF(validargument_johanna,2,1))/$K$21+1))),1)</f>
        <v>11.281601123595504</v>
      </c>
      <c r="D117" s="77">
        <f>IF(OR(build!E10="bras armé de la justice",build!E11="bras armé de la justice",build!E12="bras armé de la justice",build!E13="bras armé de la justice",build!E14="bras armé de la justice"),10,5)</f>
        <v>5</v>
      </c>
      <c r="E117" s="74">
        <f>D117/C117</f>
        <v>0.44319950202303149</v>
      </c>
      <c r="F117" s="75"/>
      <c r="G117" s="74"/>
      <c r="H117" s="119"/>
      <c r="I117" s="77"/>
    </row>
    <row r="118" spans="1:9">
      <c r="A118" s="67" t="s">
        <v>517</v>
      </c>
      <c r="B118" s="50">
        <v>30</v>
      </c>
      <c r="C118" s="58">
        <f>(-(build!$B$22-1)*B118)/IF(build!$G$33,(1*(((build!$B$17*IF(validargument_johanna,2,1))/$K$21+1))),1)</f>
        <v>11.281601123595504</v>
      </c>
      <c r="D118" s="77">
        <f>IF(OR(build!E10="bras armé de la justice",build!E11="bras armé de la justice",build!E12="bras armé de la justice",build!E13="bras armé de la justice",build!E14="bras armé de la justice"),10,5)</f>
        <v>5</v>
      </c>
      <c r="E118" s="74">
        <f>D118/C118</f>
        <v>0.44319950202303149</v>
      </c>
      <c r="F118" s="75"/>
      <c r="G118" s="74"/>
      <c r="H118" s="119"/>
      <c r="I118" s="77"/>
    </row>
    <row r="119" spans="1:9">
      <c r="A119" s="67" t="s">
        <v>518</v>
      </c>
      <c r="B119" s="50">
        <v>30</v>
      </c>
      <c r="C119" s="58">
        <f>(-(build!$B$22-1)*B119)/IF(build!$G$33,(1*(((build!$B$17*IF(validargument_johanna,2,1))/$K$21+1))),1)</f>
        <v>11.281601123595504</v>
      </c>
      <c r="D119" s="77">
        <f>IF(OR(build!E10="bras armé de la justice",build!E11="bras armé de la justice",build!E12="bras armé de la justice",build!E13="bras armé de la justice",build!E14="bras armé de la justice"),10,5)</f>
        <v>5</v>
      </c>
      <c r="E119" s="74">
        <f>D119/C119</f>
        <v>0.44319950202303149</v>
      </c>
      <c r="F119" s="75"/>
      <c r="G119" s="74"/>
      <c r="H119" s="119"/>
      <c r="I119" s="77"/>
    </row>
    <row r="120" spans="1:9">
      <c r="A120" s="67"/>
      <c r="B120" s="50"/>
      <c r="C120" s="58"/>
      <c r="D120" s="77"/>
      <c r="E120" s="74"/>
      <c r="F120" s="75"/>
      <c r="G120" s="74"/>
      <c r="H120" s="119"/>
      <c r="I120" s="77"/>
    </row>
    <row r="121" spans="1:9">
      <c r="A121" s="51" t="s">
        <v>312</v>
      </c>
      <c r="B121" s="50">
        <v>30</v>
      </c>
      <c r="C121" s="58">
        <f>(-(build!$B$22-1)*B121)/IF(build!$G$33,(1*(((build!$B$17*IF(validargument_johanna,2,1))/$K$21+1))),1)</f>
        <v>11.281601123595504</v>
      </c>
      <c r="D121" s="77">
        <v>8</v>
      </c>
      <c r="E121" s="74">
        <f>D121/C121</f>
        <v>0.7091192032368504</v>
      </c>
      <c r="F121" s="75">
        <v>17</v>
      </c>
      <c r="G121" s="74">
        <f>F121*bonuscomp*6*(1+élément)*(1+IF(validélite,élite/100,0))*IF(multiplicatif&gt;0,multiplicatif,1)*(1+IF(validboss,boss/100,0))</f>
        <v>544.35588480000001</v>
      </c>
      <c r="H121" s="119">
        <f>G121*Feuil5!$B$9*bonusforce*(1+(build!$B$19/100)*(build!$B$20/100))</f>
        <v>580753164.73257983</v>
      </c>
      <c r="I121" s="77">
        <f>H121*C121/60</f>
        <v>109197092.59631196</v>
      </c>
    </row>
    <row r="122" spans="1:9">
      <c r="A122" s="51" t="s">
        <v>505</v>
      </c>
      <c r="B122" s="50">
        <v>30</v>
      </c>
      <c r="C122" s="58">
        <f>(-(build!$B$22-1)*B122)/IF(build!$G$33,(1*(((build!$B$17*IF(validargument_johanna,2,1))/$K$21+1))),1)</f>
        <v>11.281601123595504</v>
      </c>
      <c r="D122" s="77">
        <v>8</v>
      </c>
      <c r="E122" s="74">
        <f>D122/C122</f>
        <v>0.7091192032368504</v>
      </c>
      <c r="F122" s="75">
        <v>17</v>
      </c>
      <c r="G122" s="74">
        <f>F122*bonuscomp*6*(1+élément)*(1+IF(validélite,élite/100,0))*IF(multiplicatif&gt;0,multiplicatif,1)*(1+IF(validboss,boss/100,0))</f>
        <v>544.35588480000001</v>
      </c>
      <c r="H122" s="119">
        <f>G122*Feuil5!$B$9*bonusforce*(1+(build!$B$19/100)*(build!$B$20/100))</f>
        <v>580753164.73257983</v>
      </c>
      <c r="I122" s="77">
        <f>H122*C122/60</f>
        <v>109197092.59631196</v>
      </c>
    </row>
    <row r="123" spans="1:9">
      <c r="A123" s="51" t="s">
        <v>506</v>
      </c>
      <c r="B123" s="50">
        <v>30</v>
      </c>
      <c r="C123" s="58">
        <f>(-(build!$B$22-1)*B123)/IF(build!$G$33,(1*(((build!$B$17*IF(validargument_johanna,2,1))/$K$21+1))),1)</f>
        <v>11.281601123595504</v>
      </c>
      <c r="D123" s="77">
        <v>8</v>
      </c>
      <c r="E123" s="74">
        <f>D123/C123</f>
        <v>0.7091192032368504</v>
      </c>
      <c r="F123" s="75">
        <v>17</v>
      </c>
      <c r="G123" s="74">
        <f>F123*bonuscomp*6*(1+élément)*(1+IF(validélite,élite/100,0))*IF(multiplicatif&gt;0,multiplicatif,1)*(1+IF(validboss,boss/100,0))</f>
        <v>544.35588480000001</v>
      </c>
      <c r="H123" s="119">
        <f>G123*Feuil5!$B$9*bonusforce*(1+(build!$B$19/100)*(build!$B$20/100))</f>
        <v>580753164.73257983</v>
      </c>
      <c r="I123" s="77">
        <f>H123*C123/60</f>
        <v>109197092.59631196</v>
      </c>
    </row>
    <row r="124" spans="1:9">
      <c r="A124" s="51" t="s">
        <v>507</v>
      </c>
      <c r="B124" s="50">
        <v>30</v>
      </c>
      <c r="C124" s="58">
        <f>(-(build!$B$22-1)*B124)/IF(build!$G$33,(1*(((build!$B$17*IF(validargument_johanna,2,1))/$K$21+1))),1)</f>
        <v>11.281601123595504</v>
      </c>
      <c r="D124" s="77">
        <v>8</v>
      </c>
      <c r="E124" s="74">
        <f>D124/C124</f>
        <v>0.7091192032368504</v>
      </c>
      <c r="F124" s="75">
        <v>17</v>
      </c>
      <c r="G124" s="74">
        <f>F124*bonuscomp*6*(1+élément)*(1+IF(validélite,élite/100,0))*IF(multiplicatif&gt;0,multiplicatif,1)*(1+IF(validboss,boss/100,0))</f>
        <v>544.35588480000001</v>
      </c>
      <c r="H124" s="119">
        <f>G124*Feuil5!$B$9*bonusforce*(1+(build!$B$19/100)*(build!$B$20/100))</f>
        <v>580753164.73257983</v>
      </c>
      <c r="I124" s="77">
        <f>H124*C124/60</f>
        <v>109197092.59631196</v>
      </c>
    </row>
    <row r="125" spans="1:9">
      <c r="A125" s="51" t="s">
        <v>508</v>
      </c>
      <c r="B125" s="50">
        <v>30</v>
      </c>
      <c r="C125" s="58">
        <f>(-(build!$B$22-1)*B125)/IF(build!$G$33,(1*(((build!$B$17*IF(validargument_johanna,2,1))/$K$21+1))),1)</f>
        <v>11.281601123595504</v>
      </c>
      <c r="D125" s="77">
        <v>8</v>
      </c>
      <c r="E125" s="74">
        <f>D125/C125</f>
        <v>0.7091192032368504</v>
      </c>
      <c r="F125" s="75">
        <v>17</v>
      </c>
      <c r="G125" s="74">
        <f>F125*bonuscomp*6*(1+élément)*(1+IF(validélite,élite/100,0))*IF(multiplicatif&gt;0,multiplicatif,1)*(1+IF(validboss,boss/100,0))</f>
        <v>544.35588480000001</v>
      </c>
      <c r="H125" s="119">
        <f>G125*Feuil5!$B$9*bonusforce*(1+(build!$B$19/100)*(build!$B$20/100))</f>
        <v>580753164.73257983</v>
      </c>
      <c r="I125" s="77">
        <f>H125*C125/60</f>
        <v>109197092.59631196</v>
      </c>
    </row>
    <row r="126" spans="1:9">
      <c r="A126" s="51" t="s">
        <v>509</v>
      </c>
      <c r="B126" s="50">
        <v>30</v>
      </c>
      <c r="C126" s="58">
        <f>(-(build!$B$22-1)*B126)/IF(build!$G$33,(1*(((build!$B$17*IF(validargument_johanna,2,1))/$K$21+1))),1)</f>
        <v>11.281601123595504</v>
      </c>
      <c r="D126" s="77">
        <v>8</v>
      </c>
      <c r="E126" s="74">
        <f>D126/C126</f>
        <v>0.7091192032368504</v>
      </c>
      <c r="F126" s="75">
        <v>17</v>
      </c>
      <c r="G126" s="74">
        <f>F126*bonuscomp*6*(1+élément)*(1+IF(validélite,élite/100,0))*IF(multiplicatif&gt;0,multiplicatif,1)*(1+IF(validboss,boss/100,0))</f>
        <v>544.35588480000001</v>
      </c>
      <c r="H126" s="119">
        <f>G126*Feuil5!$B$9*bonusforce*(1+(build!$B$19/100)*(build!$B$20/100))</f>
        <v>580753164.73257983</v>
      </c>
      <c r="I126" s="77">
        <f>H126*C126/60</f>
        <v>109197092.59631196</v>
      </c>
    </row>
    <row r="127" spans="1:9">
      <c r="A127" s="51"/>
      <c r="B127" s="50"/>
      <c r="C127" s="58"/>
      <c r="D127" s="77"/>
      <c r="E127" s="74"/>
      <c r="F127" s="50"/>
      <c r="G127" s="74"/>
      <c r="H127" s="119"/>
      <c r="I127" s="77"/>
    </row>
    <row r="128" spans="1:9">
      <c r="A128" s="67" t="s">
        <v>538</v>
      </c>
      <c r="B128" s="50">
        <v>90</v>
      </c>
      <c r="C128" s="58">
        <f>(-(build!$B$22-1)*B128)/IF(build!$G$33,(1*(((build!$B$17*IF(validargument_johanna,2,1))/$K$21+1))),1)</f>
        <v>33.844803370786515</v>
      </c>
      <c r="D128" s="77">
        <v>20</v>
      </c>
      <c r="E128" s="74">
        <f>D128/C128</f>
        <v>0.59093266936404198</v>
      </c>
      <c r="F128" s="50"/>
      <c r="G128" s="74"/>
      <c r="H128" s="119"/>
      <c r="I128" s="77"/>
    </row>
    <row r="129" spans="1:9">
      <c r="A129" s="51" t="s">
        <v>510</v>
      </c>
      <c r="B129" s="50">
        <v>90</v>
      </c>
      <c r="C129" s="58">
        <f>(-(build!$B$22-1)*B129)/IF(build!$G$33,(1*(((build!$B$17*IF(validargument_johanna,2,1))/$K$21+1))),1)</f>
        <v>33.844803370786515</v>
      </c>
      <c r="D129" s="77">
        <v>20</v>
      </c>
      <c r="E129" s="74">
        <f>D129/C129</f>
        <v>0.59093266936404198</v>
      </c>
      <c r="F129" s="75">
        <f>460/300</f>
        <v>1.5333333333333334</v>
      </c>
      <c r="G129" s="74">
        <f>F129*bonuscomp*(1+élément)*(1+IF(validélite,élite/100,0))*IF(multiplicatif&gt;0,multiplicatif,1)*(1+IF(validboss,boss/100,0))</f>
        <v>8.1831276800000001</v>
      </c>
      <c r="H129" s="119">
        <f>G129*Feuil5!$B$9*bonusforce*(1+(build!$B$19/100)*(build!$B$20/100))</f>
        <v>8730276.3325812649</v>
      </c>
      <c r="I129" s="77">
        <f>H129*build!$B$17*IF(validargument_johanna,2,1)*E129</f>
        <v>20120121.440242067</v>
      </c>
    </row>
    <row r="130" spans="1:9">
      <c r="A130" s="51" t="s">
        <v>511</v>
      </c>
      <c r="B130" s="50">
        <v>90</v>
      </c>
      <c r="C130" s="58">
        <f>(-(build!$B$22-1)*B130)/IF(build!$G$33,(1*(((build!$B$17*IF(validargument_johanna,2,1))/$K$21+1))),1)</f>
        <v>33.844803370786515</v>
      </c>
      <c r="D130" s="77">
        <v>20</v>
      </c>
      <c r="E130" s="74">
        <f>D130/C130</f>
        <v>0.59093266936404198</v>
      </c>
      <c r="F130" s="50"/>
      <c r="G130" s="74"/>
      <c r="H130" s="119"/>
      <c r="I130" s="77"/>
    </row>
    <row r="131" spans="1:9">
      <c r="A131" s="51" t="s">
        <v>512</v>
      </c>
      <c r="B131" s="50">
        <v>90</v>
      </c>
      <c r="C131" s="58">
        <f>(-(build!$B$22-1)*B131)/IF(build!$G$33,(1*(((build!$B$17*IF(validargument_johanna,2,1))/$K$21+1))),1)</f>
        <v>33.844803370786515</v>
      </c>
      <c r="D131" s="77">
        <v>20</v>
      </c>
      <c r="E131" s="74">
        <f>D131/C131</f>
        <v>0.59093266936404198</v>
      </c>
      <c r="F131" s="50"/>
      <c r="G131" s="74"/>
      <c r="H131" s="119"/>
      <c r="I131" s="77"/>
    </row>
    <row r="132" spans="1:9">
      <c r="A132" s="51" t="s">
        <v>513</v>
      </c>
      <c r="B132" s="50">
        <v>90</v>
      </c>
      <c r="C132" s="58">
        <f>(-(build!$B$22-1)*B132)/IF(build!$G$33,(1*(((build!$B$17*IF(validargument_johanna,2,1))/$K$21+1))),1)</f>
        <v>33.844803370786515</v>
      </c>
      <c r="D132" s="77">
        <v>20</v>
      </c>
      <c r="E132" s="74">
        <f>D132/C132</f>
        <v>0.59093266936404198</v>
      </c>
      <c r="F132" s="50"/>
      <c r="G132" s="74"/>
      <c r="H132" s="119"/>
      <c r="I132" s="77"/>
    </row>
    <row r="133" spans="1:9">
      <c r="A133" s="51" t="s">
        <v>514</v>
      </c>
      <c r="B133" s="50">
        <v>90</v>
      </c>
      <c r="C133" s="58">
        <f>(-(build!$B$22-1)*B133)/IF(build!$G$33,(1*(((build!$B$17*IF(validargument_johanna,2,1))/$K$21+1))),1)</f>
        <v>33.844803370786515</v>
      </c>
      <c r="D133" s="77">
        <v>20</v>
      </c>
      <c r="E133" s="74">
        <f>D133/C133</f>
        <v>0.59093266936404198</v>
      </c>
      <c r="F133" s="50"/>
      <c r="G133" s="74"/>
      <c r="H133" s="119"/>
      <c r="I133" s="77"/>
    </row>
    <row r="191" spans="5:8">
      <c r="F191" s="81" t="s">
        <v>113</v>
      </c>
      <c r="G191" s="81"/>
      <c r="H191" s="81"/>
    </row>
    <row r="192" spans="5:8">
      <c r="E192" s="5" t="s">
        <v>114</v>
      </c>
      <c r="F192" s="5" t="s">
        <v>115</v>
      </c>
      <c r="G192" s="5" t="s">
        <v>116</v>
      </c>
      <c r="H192" s="5" t="s">
        <v>117</v>
      </c>
    </row>
    <row r="193" spans="5:8">
      <c r="E193" s="42">
        <v>1</v>
      </c>
      <c r="F193" s="44" t="e">
        <f>(((B210+B211)/2)*(B209*(1+B208/100))*((100+(B206*(B207/100)))/100)*(1+((B193+E193)/100))*additiff)-(((B210+B211)/2)*(B209*(1+B208/100))*((100+(B206*(B207/100)))/100)*(1+(B193/100))*additiff)</f>
        <v>#NAME?</v>
      </c>
      <c r="G193" s="45">
        <f>(1-((1-((B193+E193)+B194+B198)*(1+B199/100)/(50*70+((B193+E193)+B194+B198)*(1+B199/100)))*((1-B224/(5*70+B224))*(1-B205/6*5/100)*(1-B201/100)*(1-B202/3/100)*(1-B203/3/100)*(1-B204/3/100))))-(1-((1-(B193+B194+B198)*(1+B199/100)/(50*70+(B193+B194+B198)*(1+B199/100)))*((1-B224/(5*70+B224))*(1-B205/6*5/100)*(1-B201/100)*(1-B202/3/100)*(1-B203/3/100)*(1-B204/3/100))))</f>
        <v>2.8563267637815581E-4</v>
      </c>
      <c r="H193" s="44">
        <f>$B$225*(1/(1-($B$226+G193)))-$B$225*(1/(1-$B$226))</f>
        <v>0</v>
      </c>
    </row>
    <row r="194" spans="5:8">
      <c r="E194" s="42">
        <v>1</v>
      </c>
      <c r="G194" s="45">
        <f>(1-((1-(B193+(B194+E194)+B198)*(1+B199/100)/(50*70+(B193+(B194+E194)+B198)*(1+B199/100)))*((1-B224/(5*70+B224))*(1-B205/6*5/100)*(1-B201/100)*(1-B202/3/100)*(1-B203/3/100)*(1-B204/3/100))))-(1-((1-(B193+B194+B198)*(1+B199/100)/(50*70+(B193+B194+B198)*(1+B199/100)))*((1-B224/(5*70+B224))*(1-B205/6*5/100)*(1-B201/100)*(1-B202/3/100)*(1-B203/3/100)*(1-B204/3/100))))</f>
        <v>2.8563267637815581E-4</v>
      </c>
      <c r="H194" s="44">
        <f>$B$225*(1/(1-($B$226+G194)))-$B$225*(1/(1-$B$226))</f>
        <v>0</v>
      </c>
    </row>
    <row r="195" spans="5:8">
      <c r="E195" s="42">
        <v>1</v>
      </c>
      <c r="G195" s="45">
        <f>(1-((1-(B193+B194+B198)*(1+B199/100)/(50*70+(B193+B194+B198)*(1+B199/100)))*((1-(B224+E195/100)/(5*70+(B224+E195/100)))*(1-B205/6*5/100)*(1-B201/100)*(1-B202/3/100)*(1-B203/3/100)*(1-B204/3/100))))-(1-((1-(B193+B194+B198)*(1+B199/100)/(50*70+(B193+B194+B198)*(1+B199/100)))*((1-B224/(5*70+B224))*(1-B205/6*5/100)*(1-B201/100)*(1-B202/3/100)*(1-B203/3/100)*(1-B204/3/100))))</f>
        <v>2.8570612268241646E-5</v>
      </c>
      <c r="H195" s="44">
        <f>$B$225*(1/(1-($B$226+G195)))-$B$225*(1/(1-$B$226))</f>
        <v>0</v>
      </c>
    </row>
    <row r="196" spans="5:8">
      <c r="E196" s="42">
        <v>1</v>
      </c>
      <c r="G196" s="45"/>
      <c r="H196" s="44">
        <f>((36+4*70)+(100*($B$196+E196))*(1+($B$197/100)))*(1/(1-$B$226))-$B$225*(1/(1-$B$226))</f>
        <v>416</v>
      </c>
    </row>
    <row r="197" spans="5:8">
      <c r="E197" s="42">
        <v>1</v>
      </c>
      <c r="G197" s="45"/>
      <c r="H197" s="44">
        <f>((36+4*70)+(100*$B$196)*(1+(($B$197+E197)/100)))*(1/(1-$B$226))-$B$225*(1/(1-$B$226))</f>
        <v>316</v>
      </c>
    </row>
    <row r="198" spans="5:8">
      <c r="E198" s="42">
        <v>1</v>
      </c>
      <c r="G198" s="45">
        <f>(1-((1-(B193+B194+(B198+E198))*(1+B199/100)/(50*70+(B193+B194+(B198+E198))*(1+B199/100)))*((1-B224/(5*70+B224))*(1-B205/6*5/100)*(1-B201/100)*(1-B202/3/100)*(1-B203/3/100)*(1-B204/3/100))))-(1-((1-(B193+B194+B198)*(1+B199/100)/(50*70+(B193+B194+B198)*(1+B199/100)))*((1-B224/(5*70+B224))*(1-B205/6*5/100)*(1-B201/100)*(1-B202/3/100)*(1-B203/3/100)*(1-B204/3/100))))</f>
        <v>2.8563267637815581E-4</v>
      </c>
      <c r="H198" s="44">
        <f>$B$225*(1/(1-($B$226+G198)))-$B$225*(1/(1-$B$226))</f>
        <v>0</v>
      </c>
    </row>
    <row r="199" spans="5:8">
      <c r="E199" s="42">
        <v>1</v>
      </c>
      <c r="G199" s="45">
        <f>(1-((1-(B193+B194+B198)*(1+(B199+E199)/100)/(50*70+(B193+B194+B198)*(1+(B199+E199)/100)))*((1-B224/(5*70+B224))*(1-B205/6*5/100)*(1-B201/100)*(1-B202/3/100)*(1-B203/3/100)*(1-B204/3/100))))-(1-((1-(B193+B194+B198)*(1+B199/100)/(50*70+(B193+B194+B198)*(1+B199/100)))*((1-B224/(5*70+B224))*(1-B205/6*5/100)*(1-B201/100)*(1-B202/3/100)*(1-B203/3/100)*(1-B204/3/100))))</f>
        <v>0</v>
      </c>
      <c r="H199" s="44">
        <f>$B$225*(1/(1-($B$226+G199)))-$B$225*(1/(1-$B$226))</f>
        <v>0</v>
      </c>
    </row>
    <row r="200" spans="5:8">
      <c r="E200" s="42">
        <v>1</v>
      </c>
      <c r="G200" s="45"/>
      <c r="H200" s="44"/>
    </row>
    <row r="201" spans="5:8">
      <c r="E201" s="42">
        <v>1</v>
      </c>
      <c r="G201" s="45">
        <f>(1-((1-(B193+B194+B198)*(1+B199/100)/(50*70+(B193+B194+B198)*(1+B199/100)))*((1-B224/(5*70+B224))*(1-B205/6*5/100)*(1-(B201+E201)/100)*(1-B202/3/100)*(1-B203/3/100)*(1-B204/3/100))))-(1-((1-(B193+B194+B198)*(1+B199/100)/(50*70+(B193+B194+B198)*(1+B199/100)))*((1-B224/(5*70+B224))*(1-B205/6*5/100)*(1-B201/100)*(1-B202/3/100)*(1-B203/3/100)*(1-B204/3/100))))</f>
        <v>1.0000000000000009E-2</v>
      </c>
      <c r="H201" s="44">
        <f>$B$225*(1/(1-($B$226+G201)))-$B$225*(1/(1-$B$226))</f>
        <v>0</v>
      </c>
    </row>
    <row r="202" spans="5:8">
      <c r="E202" s="42">
        <v>1</v>
      </c>
      <c r="G202" s="45">
        <f>(1-((1-(B193+B194+B198)*(1+B199/100)/(50*70+(B193+B194+B198)*(1+B199/100)))*((1-B224/(5*70+B224))*(1-B205/6*5/100)*(1-B201/100)*(1-(B202+E202)/3/100)*(1-B203/3/100)*(1-B204/3/100))))-(1-((1-(B193+B194+B198)*(1+B199/100)/(50*70+(B193+B194+B198)*(1+B199/100)))*((1-B224/(5*70+B224))*(1-B205/6*5/100)*(1-B201/100)*(1-B202/3/100)*(1-B203/3/100)*(1-B204/3/100))))</f>
        <v>3.3333333333332993E-3</v>
      </c>
      <c r="H202" s="44">
        <f>$B$225*(1/(1-($B$226+G202)))-$B$225*(1/(1-$B$226))</f>
        <v>0</v>
      </c>
    </row>
    <row r="203" spans="5:8">
      <c r="E203" s="42">
        <v>1</v>
      </c>
      <c r="G203" s="45">
        <f>(1-((1-(B193+B194+B198)*(1+B199/100)/(50*70+(B193+B194+B198)*(1+B199/100)))*((1-B224/(5*70+B224))*(1-B205/6*5/100)*(1-B201/100)*(1-B202/3/100)*(1-(B203+E203)/3/100)*(1-B204/3/100))))-(1-((1-(B193+B194+B198)*(1+B199/100)/(50*70+(B193+B194+B198)*(1+B199/100)))*((1-B224/(5*70+B224))*(1-B205/6*5/100)*(1-B201/100)*(1-B202/3/100)*(1-B203/3/100)*(1-B204/3/100))))</f>
        <v>3.3333333333332993E-3</v>
      </c>
      <c r="H203" s="46">
        <f>$B$225*(1/(1-($B$226+G203)))-$B$225*(1/(1-$B$226))</f>
        <v>0</v>
      </c>
    </row>
    <row r="204" spans="5:8">
      <c r="E204" s="42">
        <v>1</v>
      </c>
      <c r="G204" s="45">
        <f>(1-((1-(B193+B194+B198)*(1+B199/100)/(50*70+(B193+B194+B198)*(1+B199/100)))*((1-B224/(5*70+B224))*(1-B205/6*5/100)*(1-B201/100)*(1-B202/3/100)*(1-B203/3/100)*(1-(B204+E204)/3/100))))-(1-((1-(B193+B194+B198)*(1+B199/100)/(50*70+(B193+B194+B198)*(1+B199/100)))*((1-B224/(5*70+B224))*(1-B205/6*5/100)*(1-B201/100)*(1-B202/3/100)*(1-B203/3/100)*(1-B204/3/100))))</f>
        <v>3.3333333333332993E-3</v>
      </c>
      <c r="H204" s="44">
        <f>$B$225*(1/(1-($B$226+G204)))-$B$225*(1/(1-$B$226))</f>
        <v>0</v>
      </c>
    </row>
    <row r="205" spans="5:8">
      <c r="E205" s="42">
        <v>1</v>
      </c>
      <c r="G205" s="45">
        <f>(1-((1-(B193+B194+B198)*(1+B199/100)/(50*70+(B193+B194+B198)*(1+B199/100)))*((1-B224/(5*70+B224))*(1-(B205+E205)/6*5/100)*(1-B201/100)*(1-B202/3/100)*(1-B203/3/100)*(1-B204/3/100))))-(1-((1-(B193+B194+B198)*(1+B199/100)/(50*70+(B193+B194+B198)*(1+B199/100)))*((1-B224/(5*70+B224))*(1-B205/6*5/100)*(1-B201/100)*(1-B202/3/100)*(1-B203/3/100)*(1-B204/3/100))))</f>
        <v>8.3333333333333037E-3</v>
      </c>
      <c r="H205" s="44">
        <f>$B$225*(1/(1-($B$226+G205)))-$B$225*(1/(1-$B$226))</f>
        <v>0</v>
      </c>
    </row>
    <row r="206" spans="5:8">
      <c r="E206" s="42">
        <v>1</v>
      </c>
      <c r="F206" s="44" t="e">
        <f>(((B210+B211)/2)*(B209*(1+B208/100))*((100+((B206+E206)*(B207/100)))/100)*(1+(B193/100))*additiff)-(((B210+B211)/2)*(B209*(1+B208/100))*((100+(B206*(B207/100)))/100)*(1+(B193/100))*additiff)</f>
        <v>#NAME?</v>
      </c>
      <c r="G206" s="45"/>
      <c r="H206" s="44"/>
    </row>
    <row r="207" spans="5:8">
      <c r="E207" s="42">
        <v>1</v>
      </c>
      <c r="F207" s="44" t="e">
        <f>(((B210+B211)/2)*(B209*(1+B208/100))*((100+(B206*((B207+E207)/100)))/100)*(1+(B193/100))*additiff)-(((B210+B211)/2)*(B209*(1+B208/100))*((100+(B206*(B207/100)))/100)*(1+(B193/100))*additiff)</f>
        <v>#NAME?</v>
      </c>
      <c r="G207" s="45"/>
      <c r="H207" s="44"/>
    </row>
    <row r="208" spans="5:8">
      <c r="E208" s="42">
        <v>1</v>
      </c>
      <c r="F208" s="44" t="e">
        <f>(((B210+B211)/2)*(B209*(1+(B208+E208)/100))*((100+(B206*(B207/100)))/100)*(1+(B193/100))*additiff)-(((B210+B211)/2)*(B209*(1+B208/100))*((100+(B206*(B207/100)))/100)*(1+(B193/100))*additiff)</f>
        <v>#NAME?</v>
      </c>
      <c r="G208" s="45"/>
      <c r="H208" s="44"/>
    </row>
    <row r="209" spans="5:8">
      <c r="E209" s="42">
        <v>0.1</v>
      </c>
      <c r="F209" s="44" t="e">
        <f>(((B210+B211)/2)*((B209+E209)*(1+B208/100))*((100+(B206*(B207/100)))/100)*(1+(B193/100))*additiff)-(((B210+B211)/2)*(B209*(1+B208/100))*((100+(B206*(B207/100)))/100)*(1+(B193/100))*additiff)</f>
        <v>#NAME?</v>
      </c>
      <c r="G209" s="45"/>
      <c r="H209" s="44"/>
    </row>
    <row r="210" spans="5:8">
      <c r="E210" s="42">
        <v>1</v>
      </c>
      <c r="F210" s="44" t="e">
        <f>((((B210+E210)+B211)/2)*(B209*(1+B208/100))*((100+(B206*(B207/100)))/100)*(1+(B193/100))*additiff)-(((B210+B211)/2)*(B209*(1+B208/100))*((100+(B206*(B207/100)))/100)*(1+(B193/100))*additiff)</f>
        <v>#NAME?</v>
      </c>
      <c r="G210" s="45"/>
      <c r="H210" s="44"/>
    </row>
    <row r="211" spans="5:8">
      <c r="E211" s="42">
        <v>1</v>
      </c>
      <c r="F211" s="44" t="e">
        <f>(((B210+(B211+E211))/2)*(B209*(1+B208/100))*((100+(B206*(B207/100)))/100)*(1+(B193/100))*additiff)-(((B210+B211)/2)*(B209*(1+B208/100))*((100+(B206*(B207/100)))/100)*(1+(B193/100))*additiff)</f>
        <v>#NAME?</v>
      </c>
      <c r="G211" s="45"/>
      <c r="H211" s="44"/>
    </row>
    <row r="212" spans="5:8">
      <c r="G212" s="45"/>
      <c r="H212" s="44"/>
    </row>
    <row r="213" spans="5:8">
      <c r="F213" s="44"/>
    </row>
    <row r="214" spans="5:8">
      <c r="F214" s="44"/>
    </row>
    <row r="215" spans="5:8">
      <c r="F215" s="44"/>
    </row>
  </sheetData>
  <mergeCells count="1">
    <mergeCell ref="F191:H1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41</vt:i4>
      </vt:variant>
    </vt:vector>
  </HeadingPairs>
  <TitlesOfParts>
    <vt:vector size="49" baseType="lpstr">
      <vt:lpstr>build</vt:lpstr>
      <vt:lpstr>mappeur (objets)</vt:lpstr>
      <vt:lpstr>mappeur (paragons)</vt:lpstr>
      <vt:lpstr>reroll arme</vt:lpstr>
      <vt:lpstr>infos sorts</vt:lpstr>
      <vt:lpstr>Data</vt:lpstr>
      <vt:lpstr>infos passif &amp; cube &amp; gemmes</vt:lpstr>
      <vt:lpstr>Feuil5</vt:lpstr>
      <vt:lpstr>blâme</vt:lpstr>
      <vt:lpstr>bonuscomp</vt:lpstr>
      <vt:lpstr>bonusforce</vt:lpstr>
      <vt:lpstr>boss</vt:lpstr>
      <vt:lpstr>cautère</vt:lpstr>
      <vt:lpstr>champion_d_akarat</vt:lpstr>
      <vt:lpstr>charge_de_destrier</vt:lpstr>
      <vt:lpstr>correction</vt:lpstr>
      <vt:lpstr>couperet</vt:lpstr>
      <vt:lpstr>éblouissement</vt:lpstr>
      <vt:lpstr>élément</vt:lpstr>
      <vt:lpstr>élite</vt:lpstr>
      <vt:lpstr>expiation</vt:lpstr>
      <vt:lpstr>galvanisation</vt:lpstr>
      <vt:lpstr>garde_johanna</vt:lpstr>
      <vt:lpstr>gemmes1</vt:lpstr>
      <vt:lpstr>gemmes2</vt:lpstr>
      <vt:lpstr>gemmes3</vt:lpstr>
      <vt:lpstr>jugement</vt:lpstr>
      <vt:lpstr>justice</vt:lpstr>
      <vt:lpstr>loi_de_l_espoir</vt:lpstr>
      <vt:lpstr>lois_de_la_justice</vt:lpstr>
      <vt:lpstr>lois_de_la_vaillance</vt:lpstr>
      <vt:lpstr>multiplicatif</vt:lpstr>
      <vt:lpstr>passifs</vt:lpstr>
      <vt:lpstr>passifs2</vt:lpstr>
      <vt:lpstr>passifs3</vt:lpstr>
      <vt:lpstr>passifs4</vt:lpstr>
      <vt:lpstr>passifs5</vt:lpstr>
      <vt:lpstr>persiflage</vt:lpstr>
      <vt:lpstr>sacre</vt:lpstr>
      <vt:lpstr>skill</vt:lpstr>
      <vt:lpstr>sorts</vt:lpstr>
      <vt:lpstr>validargument_johanna</vt:lpstr>
      <vt:lpstr>validbastion</vt:lpstr>
      <vt:lpstr>validboss</vt:lpstr>
      <vt:lpstr>validconclave</vt:lpstr>
      <vt:lpstr>validélite</vt:lpstr>
      <vt:lpstr>validgarde_johanna</vt:lpstr>
      <vt:lpstr>validunicité</vt:lpstr>
      <vt:lpstr>validzodiac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Ramsamy</dc:creator>
  <cp:lastModifiedBy>Amaury Ramsamy</cp:lastModifiedBy>
  <dcterms:created xsi:type="dcterms:W3CDTF">2015-09-12T18:38:35Z</dcterms:created>
  <dcterms:modified xsi:type="dcterms:W3CDTF">2015-09-19T10:15:39Z</dcterms:modified>
</cp:coreProperties>
</file>