
<file path=[Content_Types].xml><?xml version="1.0" encoding="utf-8"?>
<Types xmlns="http://schemas.openxmlformats.org/package/2006/content-types">
  <Override PartName="/xl/tables/table25.xml" ContentType="application/vnd.openxmlformats-officedocument.spreadsheetml.table+xml"/>
  <Override PartName="/xl/tables/table72.xml" ContentType="application/vnd.openxmlformats-officedocument.spreadsheetml.table+xml"/>
  <Override PartName="/xl/tables/table101.xml" ContentType="application/vnd.openxmlformats-officedocument.spreadsheetml.table+xml"/>
  <Override PartName="/xl/worksheets/sheet13.xml" ContentType="application/vnd.openxmlformats-officedocument.spreadsheetml.worksheet+xml"/>
  <Override PartName="/xl/styles.xml" ContentType="application/vnd.openxmlformats-officedocument.spreadsheetml.styles+xml"/>
  <Override PartName="/xl/tables/table14.xml" ContentType="application/vnd.openxmlformats-officedocument.spreadsheetml.table+xml"/>
  <Override PartName="/xl/tables/table61.xml" ContentType="application/vnd.openxmlformats-officedocument.spreadsheetml.table+xml"/>
  <Override PartName="/xl/tables/table50.xml" ContentType="application/vnd.openxmlformats-officedocument.spreadsheetml.table+xml"/>
  <Default Extension="xml" ContentType="application/xml"/>
  <Override PartName="/xl/drawings/drawing2.xml" ContentType="application/vnd.openxmlformats-officedocument.drawing+xml"/>
  <Override PartName="/xl/tables/table139.xml" ContentType="application/vnd.openxmlformats-officedocument.spreadsheetml.table+xml"/>
  <Override PartName="/xl/worksheets/sheet3.xml" ContentType="application/vnd.openxmlformats-officedocument.spreadsheetml.worksheet+xml"/>
  <Override PartName="/xl/tables/table99.xml" ContentType="application/vnd.openxmlformats-officedocument.spreadsheetml.table+xml"/>
  <Override PartName="/xl/tables/table128.xml" ContentType="application/vnd.openxmlformats-officedocument.spreadsheetml.table+xml"/>
  <Override PartName="/xl/tables/table175.xml" ContentType="application/vnd.openxmlformats-officedocument.spreadsheetml.table+xml"/>
  <Override PartName="/xl/tables/table88.xml" ContentType="application/vnd.openxmlformats-officedocument.spreadsheetml.table+xml"/>
  <Override PartName="/xl/tables/table117.xml" ContentType="application/vnd.openxmlformats-officedocument.spreadsheetml.table+xml"/>
  <Override PartName="/xl/tables/table164.xml" ContentType="application/vnd.openxmlformats-officedocument.spreadsheetml.table+xml"/>
  <Override PartName="/xl/sharedStrings.xml" ContentType="application/vnd.openxmlformats-officedocument.spreadsheetml.sharedStrings+xml"/>
  <Override PartName="/xl/tables/table19.xml" ContentType="application/vnd.openxmlformats-officedocument.spreadsheetml.table+xml"/>
  <Override PartName="/xl/tables/table48.xml" ContentType="application/vnd.openxmlformats-officedocument.spreadsheetml.table+xml"/>
  <Override PartName="/xl/tables/table66.xml" ContentType="application/vnd.openxmlformats-officedocument.spreadsheetml.table+xml"/>
  <Override PartName="/xl/tables/table77.xml" ContentType="application/vnd.openxmlformats-officedocument.spreadsheetml.table+xml"/>
  <Override PartName="/xl/tables/table95.xml" ContentType="application/vnd.openxmlformats-officedocument.spreadsheetml.table+xml"/>
  <Override PartName="/xl/tables/table106.xml" ContentType="application/vnd.openxmlformats-officedocument.spreadsheetml.table+xml"/>
  <Override PartName="/xl/tables/table124.xml" ContentType="application/vnd.openxmlformats-officedocument.spreadsheetml.table+xml"/>
  <Override PartName="/xl/tables/table153.xml" ContentType="application/vnd.openxmlformats-officedocument.spreadsheetml.table+xml"/>
  <Override PartName="/xl/tables/table171.xml" ContentType="application/vnd.openxmlformats-officedocument.spreadsheetml.table+xml"/>
  <Override PartName="/xl/worksheets/sheet18.xml" ContentType="application/vnd.openxmlformats-officedocument.spreadsheetml.worksheet+xml"/>
  <Override PartName="/xl/tables/table5.xml" ContentType="application/vnd.openxmlformats-officedocument.spreadsheetml.table+xml"/>
  <Override PartName="/xl/tables/table26.xml" ContentType="application/vnd.openxmlformats-officedocument.spreadsheetml.table+xml"/>
  <Override PartName="/xl/tables/table37.xml" ContentType="application/vnd.openxmlformats-officedocument.spreadsheetml.table+xml"/>
  <Override PartName="/xl/tables/table55.xml" ContentType="application/vnd.openxmlformats-officedocument.spreadsheetml.table+xml"/>
  <Override PartName="/xl/tables/table73.xml" ContentType="application/vnd.openxmlformats-officedocument.spreadsheetml.table+xml"/>
  <Override PartName="/xl/tables/table84.xml" ContentType="application/vnd.openxmlformats-officedocument.spreadsheetml.table+xml"/>
  <Override PartName="/xl/tables/table113.xml" ContentType="application/vnd.openxmlformats-officedocument.spreadsheetml.table+xml"/>
  <Override PartName="/xl/tables/table131.xml" ContentType="application/vnd.openxmlformats-officedocument.spreadsheetml.table+xml"/>
  <Override PartName="/xl/tables/table142.xml" ContentType="application/vnd.openxmlformats-officedocument.spreadsheetml.table+xml"/>
  <Override PartName="/xl/tables/table160.xml" ContentType="application/vnd.openxmlformats-officedocument.spreadsheetml.table+xml"/>
  <Override PartName="/xl/ctrlProps/ctrlProp2.xml" ContentType="application/vnd.ms-excel.controlproperties+xml"/>
  <Default Extension="bin" ContentType="application/vnd.openxmlformats-officedocument.spreadsheetml.printerSettings"/>
  <Default Extension="png" ContentType="image/png"/>
  <Override PartName="/xl/tables/table15.xml" ContentType="application/vnd.openxmlformats-officedocument.spreadsheetml.table+xml"/>
  <Override PartName="/xl/tables/table44.xml" ContentType="application/vnd.openxmlformats-officedocument.spreadsheetml.table+xml"/>
  <Override PartName="/xl/tables/table62.xml" ContentType="application/vnd.openxmlformats-officedocument.spreadsheetml.table+xml"/>
  <Override PartName="/xl/tables/table91.xml" ContentType="application/vnd.openxmlformats-officedocument.spreadsheetml.table+xml"/>
  <Override PartName="/xl/tables/table102.xml" ContentType="application/vnd.openxmlformats-officedocument.spreadsheetml.table+xml"/>
  <Override PartName="/xl/tables/table120.xml" ContentType="application/vnd.openxmlformats-officedocument.spreadsheetml.table+xml"/>
  <Override PartName="/xl/worksheets/sheet14.xml" ContentType="application/vnd.openxmlformats-officedocument.spreadsheetml.worksheet+xml"/>
  <Override PartName="/xl/tables/table1.xml" ContentType="application/vnd.openxmlformats-officedocument.spreadsheetml.table+xml"/>
  <Override PartName="/xl/tables/table22.xml" ContentType="application/vnd.openxmlformats-officedocument.spreadsheetml.table+xml"/>
  <Override PartName="/xl/tables/table33.xml" ContentType="application/vnd.openxmlformats-officedocument.spreadsheetml.table+xml"/>
  <Override PartName="/xl/tables/table51.xml" ContentType="application/vnd.openxmlformats-officedocument.spreadsheetml.table+xml"/>
  <Override PartName="/xl/tables/table80.xml" ContentType="application/vnd.openxmlformats-officedocument.spreadsheetml.table+xml"/>
  <Override PartName="/xl/worksheets/sheet8.xml" ContentType="application/vnd.openxmlformats-officedocument.spreadsheetml.worksheet+xml"/>
  <Override PartName="/xl/tables/table11.xml" ContentType="application/vnd.openxmlformats-officedocument.spreadsheetml.table+xml"/>
  <Override PartName="/xl/tables/table40.xml" ContentType="application/vnd.openxmlformats-officedocument.spreadsheetml.table+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tables/table158.xml" ContentType="application/vnd.openxmlformats-officedocument.spreadsheetml.table+xml"/>
  <Override PartName="/xl/tables/table169.xml" ContentType="application/vnd.openxmlformats-officedocument.spreadsheetml.table+xml"/>
  <Override PartName="/docProps/app.xml" ContentType="application/vnd.openxmlformats-officedocument.extended-properties+xml"/>
  <Override PartName="/xl/tables/table89.xml" ContentType="application/vnd.openxmlformats-officedocument.spreadsheetml.table+xml"/>
  <Override PartName="/xl/tables/table129.xml" ContentType="application/vnd.openxmlformats-officedocument.spreadsheetml.table+xml"/>
  <Override PartName="/xl/tables/table147.xml" ContentType="application/vnd.openxmlformats-officedocument.spreadsheetml.table+xml"/>
  <Override PartName="/xl/tables/table176.xml" ContentType="application/vnd.openxmlformats-officedocument.spreadsheetml.table+xml"/>
  <Default Extension="vml" ContentType="application/vnd.openxmlformats-officedocument.vmlDrawing"/>
  <Override PartName="/xl/comments1.xml" ContentType="application/vnd.openxmlformats-officedocument.spreadsheetml.comments+xml"/>
  <Override PartName="/xl/tables/table49.xml" ContentType="application/vnd.openxmlformats-officedocument.spreadsheetml.table+xml"/>
  <Override PartName="/xl/tables/table78.xml" ContentType="application/vnd.openxmlformats-officedocument.spreadsheetml.table+xml"/>
  <Override PartName="/xl/tables/table96.xml" ContentType="application/vnd.openxmlformats-officedocument.spreadsheetml.table+xml"/>
  <Override PartName="/xl/tables/table107.xml" ContentType="application/vnd.openxmlformats-officedocument.spreadsheetml.table+xml"/>
  <Override PartName="/xl/tables/table118.xml" ContentType="application/vnd.openxmlformats-officedocument.spreadsheetml.table+xml"/>
  <Override PartName="/xl/tables/table136.xml" ContentType="application/vnd.openxmlformats-officedocument.spreadsheetml.table+xml"/>
  <Override PartName="/xl/tables/table154.xml" ContentType="application/vnd.openxmlformats-officedocument.spreadsheetml.table+xml"/>
  <Override PartName="/xl/tables/table165.xml" ContentType="application/vnd.openxmlformats-officedocument.spreadsheetml.table+xml"/>
  <Override PartName="/xl/tables/table183.xml" ContentType="application/vnd.openxmlformats-officedocument.spreadsheetml.table+xml"/>
  <Override PartName="/xl/calcChain.xml" ContentType="application/vnd.openxmlformats-officedocument.spreadsheetml.calcChain+xml"/>
  <Override PartName="/xl/worksheets/sheet19.xml" ContentType="application/vnd.openxmlformats-officedocument.spreadsheetml.worksheet+xml"/>
  <Override PartName="/xl/tables/table38.xml" ContentType="application/vnd.openxmlformats-officedocument.spreadsheetml.table+xml"/>
  <Override PartName="/xl/tables/table67.xml" ContentType="application/vnd.openxmlformats-officedocument.spreadsheetml.table+xml"/>
  <Override PartName="/xl/tables/table85.xml" ContentType="application/vnd.openxmlformats-officedocument.spreadsheetml.table+xml"/>
  <Override PartName="/xl/tables/table114.xml" ContentType="application/vnd.openxmlformats-officedocument.spreadsheetml.table+xml"/>
  <Override PartName="/xl/tables/table125.xml" ContentType="application/vnd.openxmlformats-officedocument.spreadsheetml.table+xml"/>
  <Override PartName="/xl/tables/table143.xml" ContentType="application/vnd.openxmlformats-officedocument.spreadsheetml.table+xml"/>
  <Override PartName="/xl/tables/table161.xml" ContentType="application/vnd.openxmlformats-officedocument.spreadsheetml.table+xml"/>
  <Override PartName="/xl/tables/table172.xml" ContentType="application/vnd.openxmlformats-officedocument.spreadsheetml.table+xml"/>
  <Override PartName="/xl/tables/table6.xml" ContentType="application/vnd.openxmlformats-officedocument.spreadsheetml.table+xml"/>
  <Override PartName="/xl/tables/table27.xml" ContentType="application/vnd.openxmlformats-officedocument.spreadsheetml.table+xml"/>
  <Override PartName="/xl/tables/table45.xml" ContentType="application/vnd.openxmlformats-officedocument.spreadsheetml.table+xml"/>
  <Override PartName="/xl/tables/table56.xml" ContentType="application/vnd.openxmlformats-officedocument.spreadsheetml.table+xml"/>
  <Override PartName="/xl/tables/table74.xml" ContentType="application/vnd.openxmlformats-officedocument.spreadsheetml.table+xml"/>
  <Override PartName="/xl/tables/table92.xml" ContentType="application/vnd.openxmlformats-officedocument.spreadsheetml.table+xml"/>
  <Override PartName="/xl/tables/table103.xml" ContentType="application/vnd.openxmlformats-officedocument.spreadsheetml.table+xml"/>
  <Override PartName="/xl/tables/table132.xml" ContentType="application/vnd.openxmlformats-officedocument.spreadsheetml.table+xml"/>
  <Override PartName="/xl/tables/table150.xml" ContentType="application/vnd.openxmlformats-officedocument.spreadsheetml.table+xml"/>
  <Override PartName="/docProps/core.xml" ContentType="application/vnd.openxmlformats-package.core-properties+xml"/>
  <Override PartName="/xl/worksheets/sheet15.xml" ContentType="application/vnd.openxmlformats-officedocument.spreadsheetml.worksheet+xml"/>
  <Override PartName="/xl/tables/table16.xml" ContentType="application/vnd.openxmlformats-officedocument.spreadsheetml.table+xml"/>
  <Override PartName="/xl/tables/table34.xml" ContentType="application/vnd.openxmlformats-officedocument.spreadsheetml.table+xml"/>
  <Override PartName="/xl/tables/table63.xml" ContentType="application/vnd.openxmlformats-officedocument.spreadsheetml.table+xml"/>
  <Override PartName="/xl/tables/table81.xml" ContentType="application/vnd.openxmlformats-officedocument.spreadsheetml.table+xml"/>
  <Override PartName="/xl/tables/table110.xml" ContentType="application/vnd.openxmlformats-officedocument.spreadsheetml.table+xml"/>
  <Override PartName="/xl/tables/table121.xml" ContentType="application/vnd.openxmlformats-officedocument.spreadsheetml.table+xml"/>
  <Override PartName="/xl/worksheets/sheet9.xml" ContentType="application/vnd.openxmlformats-officedocument.spreadsheetml.worksheet+xml"/>
  <Override PartName="/xl/theme/theme1.xml" ContentType="application/vnd.openxmlformats-officedocument.theme+xml"/>
  <Override PartName="/xl/tables/table2.xml" ContentType="application/vnd.openxmlformats-officedocument.spreadsheetml.table+xml"/>
  <Override PartName="/xl/tables/table23.xml" ContentType="application/vnd.openxmlformats-officedocument.spreadsheetml.table+xml"/>
  <Override PartName="/xl/tables/table41.xml" ContentType="application/vnd.openxmlformats-officedocument.spreadsheetml.table+xml"/>
  <Override PartName="/xl/tables/table52.xml" ContentType="application/vnd.openxmlformats-officedocument.spreadsheetml.table+xml"/>
  <Override PartName="/xl/tables/table70.xml" ContentType="application/vnd.openxmlformats-officedocument.spreadsheetml.table+xml"/>
  <Override PartName="/xl/worksheets/sheet11.xml" ContentType="application/vnd.openxmlformats-officedocument.spreadsheetml.worksheet+xml"/>
  <Override PartName="/xl/tables/table12.xml" ContentType="application/vnd.openxmlformats-officedocument.spreadsheetml.table+xml"/>
  <Override PartName="/xl/tables/table30.xml" ContentType="application/vnd.openxmlformats-officedocument.spreadsheetml.table+xml"/>
  <Default Extension="rels" ContentType="application/vnd.openxmlformats-package.relationships+xml"/>
  <Override PartName="/xl/worksheets/sheet5.xml" ContentType="application/vnd.openxmlformats-officedocument.spreadsheetml.worksheet+xml"/>
  <Override PartName="/xl/tables/table159.xml" ContentType="application/vnd.openxmlformats-officedocument.spreadsheetml.table+xml"/>
  <Override PartName="/xl/tables/table177.xml" ContentType="application/vnd.openxmlformats-officedocument.spreadsheetml.table+xml"/>
  <Override PartName="/xl/tables/table119.xml" ContentType="application/vnd.openxmlformats-officedocument.spreadsheetml.table+xml"/>
  <Override PartName="/xl/tables/table137.xml" ContentType="application/vnd.openxmlformats-officedocument.spreadsheetml.table+xml"/>
  <Override PartName="/xl/tables/table148.xml" ContentType="application/vnd.openxmlformats-officedocument.spreadsheetml.table+xml"/>
  <Override PartName="/xl/tables/table166.xml" ContentType="application/vnd.openxmlformats-officedocument.spreadsheetml.table+xml"/>
  <Override PartName="/xl/tables/table184.xml" ContentType="application/vnd.openxmlformats-officedocument.spreadsheetml.table+xml"/>
  <Override PartName="/xl/worksheets/sheet1.xml" ContentType="application/vnd.openxmlformats-officedocument.spreadsheetml.worksheet+xml"/>
  <Override PartName="/xl/tables/table68.xml" ContentType="application/vnd.openxmlformats-officedocument.spreadsheetml.table+xml"/>
  <Override PartName="/xl/tables/table79.xml" ContentType="application/vnd.openxmlformats-officedocument.spreadsheetml.table+xml"/>
  <Override PartName="/xl/tables/table97.xml" ContentType="application/vnd.openxmlformats-officedocument.spreadsheetml.table+xml"/>
  <Override PartName="/xl/tables/table108.xml" ContentType="application/vnd.openxmlformats-officedocument.spreadsheetml.table+xml"/>
  <Override PartName="/xl/tables/table126.xml" ContentType="application/vnd.openxmlformats-officedocument.spreadsheetml.table+xml"/>
  <Override PartName="/xl/tables/table155.xml" ContentType="application/vnd.openxmlformats-officedocument.spreadsheetml.table+xml"/>
  <Override PartName="/xl/tables/table173.xml" ContentType="application/vnd.openxmlformats-officedocument.spreadsheetml.table+xml"/>
  <Override PartName="/xl/tables/table7.xml" ContentType="application/vnd.openxmlformats-officedocument.spreadsheetml.table+xml"/>
  <Override PartName="/xl/tables/table39.xml" ContentType="application/vnd.openxmlformats-officedocument.spreadsheetml.table+xml"/>
  <Override PartName="/xl/tables/table57.xml" ContentType="application/vnd.openxmlformats-officedocument.spreadsheetml.table+xml"/>
  <Override PartName="/xl/tables/table86.xml" ContentType="application/vnd.openxmlformats-officedocument.spreadsheetml.table+xml"/>
  <Override PartName="/xl/tables/table115.xml" ContentType="application/vnd.openxmlformats-officedocument.spreadsheetml.table+xml"/>
  <Override PartName="/xl/tables/table133.xml" ContentType="application/vnd.openxmlformats-officedocument.spreadsheetml.table+xml"/>
  <Override PartName="/xl/tables/table144.xml" ContentType="application/vnd.openxmlformats-officedocument.spreadsheetml.table+xml"/>
  <Override PartName="/xl/tables/table162.xml" ContentType="application/vnd.openxmlformats-officedocument.spreadsheetml.table+xml"/>
  <Override PartName="/xl/tables/table180.xml" ContentType="application/vnd.openxmlformats-officedocument.spreadsheetml.table+xml"/>
  <Override PartName="/xl/tables/table17.xml" ContentType="application/vnd.openxmlformats-officedocument.spreadsheetml.table+xml"/>
  <Override PartName="/xl/tables/table28.xml" ContentType="application/vnd.openxmlformats-officedocument.spreadsheetml.table+xml"/>
  <Override PartName="/xl/tables/table46.xml" ContentType="application/vnd.openxmlformats-officedocument.spreadsheetml.table+xml"/>
  <Override PartName="/xl/tables/table64.xml" ContentType="application/vnd.openxmlformats-officedocument.spreadsheetml.table+xml"/>
  <Override PartName="/xl/tables/table75.xml" ContentType="application/vnd.openxmlformats-officedocument.spreadsheetml.table+xml"/>
  <Override PartName="/xl/tables/table93.xml" ContentType="application/vnd.openxmlformats-officedocument.spreadsheetml.table+xml"/>
  <Override PartName="/xl/tables/table104.xml" ContentType="application/vnd.openxmlformats-officedocument.spreadsheetml.table+xml"/>
  <Override PartName="/xl/tables/table122.xml" ContentType="application/vnd.openxmlformats-officedocument.spreadsheetml.table+xml"/>
  <Override PartName="/xl/tables/table140.xml" ContentType="application/vnd.openxmlformats-officedocument.spreadsheetml.table+xml"/>
  <Override PartName="/xl/tables/table151.xml" ContentType="application/vnd.openxmlformats-officedocument.spreadsheetml.table+xml"/>
  <Override PartName="/xl/worksheets/sheet16.xml" ContentType="application/vnd.openxmlformats-officedocument.spreadsheetml.worksheet+xml"/>
  <Override PartName="/xl/tables/table3.xml" ContentType="application/vnd.openxmlformats-officedocument.spreadsheetml.table+xml"/>
  <Override PartName="/xl/tables/table24.xml" ContentType="application/vnd.openxmlformats-officedocument.spreadsheetml.table+xml"/>
  <Override PartName="/xl/tables/table35.xml" ContentType="application/vnd.openxmlformats-officedocument.spreadsheetml.table+xml"/>
  <Override PartName="/xl/tables/table53.xml" ContentType="application/vnd.openxmlformats-officedocument.spreadsheetml.table+xml"/>
  <Override PartName="/xl/tables/table71.xml" ContentType="application/vnd.openxmlformats-officedocument.spreadsheetml.table+xml"/>
  <Override PartName="/xl/tables/table82.xml" ContentType="application/vnd.openxmlformats-officedocument.spreadsheetml.table+xml"/>
  <Override PartName="/xl/tables/table111.xml" ContentType="application/vnd.openxmlformats-officedocument.spreadsheetml.table+xml"/>
  <Override PartName="/xl/tables/table13.xml" ContentType="application/vnd.openxmlformats-officedocument.spreadsheetml.table+xml"/>
  <Override PartName="/xl/tables/table42.xml" ContentType="application/vnd.openxmlformats-officedocument.spreadsheetml.table+xml"/>
  <Override PartName="/xl/tables/table60.xml" ContentType="application/vnd.openxmlformats-officedocument.spreadsheetml.table+xml"/>
  <Override PartName="/xl/tables/table100.xml" ContentType="application/vnd.openxmlformats-officedocument.spreadsheetml.table+xml"/>
  <Override PartName="/xl/worksheets/sheet6.xml" ContentType="application/vnd.openxmlformats-officedocument.spreadsheetml.worksheet+xml"/>
  <Override PartName="/xl/worksheets/sheet12.xml" ContentType="application/vnd.openxmlformats-officedocument.spreadsheetml.worksheet+xml"/>
  <Override PartName="/xl/tables/table20.xml" ContentType="application/vnd.openxmlformats-officedocument.spreadsheetml.table+xml"/>
  <Override PartName="/xl/tables/table31.xml" ContentType="application/vnd.openxmlformats-officedocument.spreadsheetml.table+xml"/>
  <Override PartName="/xl/tables/table149.xml" ContentType="application/vnd.openxmlformats-officedocument.spreadsheetml.table+xml"/>
  <Override PartName="/xl/tables/table178.xml" ContentType="application/vnd.openxmlformats-officedocument.spreadsheetml.table+xml"/>
  <Override PartName="/xl/worksheets/sheet2.xml" ContentType="application/vnd.openxmlformats-officedocument.spreadsheetml.worksheet+xml"/>
  <Override PartName="/xl/drawings/drawing1.xml" ContentType="application/vnd.openxmlformats-officedocument.drawing+xml"/>
  <Override PartName="/xl/tables/table109.xml" ContentType="application/vnd.openxmlformats-officedocument.spreadsheetml.table+xml"/>
  <Override PartName="/xl/tables/table138.xml" ContentType="application/vnd.openxmlformats-officedocument.spreadsheetml.table+xml"/>
  <Override PartName="/xl/tables/table156.xml" ContentType="application/vnd.openxmlformats-officedocument.spreadsheetml.table+xml"/>
  <Override PartName="/xl/tables/table167.xml" ContentType="application/vnd.openxmlformats-officedocument.spreadsheetml.table+xml"/>
  <Override PartName="/xl/tables/table185.xml" ContentType="application/vnd.openxmlformats-officedocument.spreadsheetml.table+xml"/>
  <Override PartName="/xl/tables/table69.xml" ContentType="application/vnd.openxmlformats-officedocument.spreadsheetml.table+xml"/>
  <Override PartName="/xl/tables/table87.xml" ContentType="application/vnd.openxmlformats-officedocument.spreadsheetml.table+xml"/>
  <Override PartName="/xl/tables/table98.xml" ContentType="application/vnd.openxmlformats-officedocument.spreadsheetml.table+xml"/>
  <Override PartName="/xl/tables/table116.xml" ContentType="application/vnd.openxmlformats-officedocument.spreadsheetml.table+xml"/>
  <Override PartName="/xl/tables/table127.xml" ContentType="application/vnd.openxmlformats-officedocument.spreadsheetml.table+xml"/>
  <Override PartName="/xl/tables/table145.xml" ContentType="application/vnd.openxmlformats-officedocument.spreadsheetml.table+xml"/>
  <Override PartName="/xl/tables/table163.xml" ContentType="application/vnd.openxmlformats-officedocument.spreadsheetml.table+xml"/>
  <Override PartName="/xl/tables/table174.xml" ContentType="application/vnd.openxmlformats-officedocument.spreadsheetml.table+xml"/>
  <Override PartName="/xl/tables/table8.xml" ContentType="application/vnd.openxmlformats-officedocument.spreadsheetml.table+xml"/>
  <Override PartName="/xl/tables/table29.xml" ContentType="application/vnd.openxmlformats-officedocument.spreadsheetml.table+xml"/>
  <Override PartName="/xl/tables/table47.xml" ContentType="application/vnd.openxmlformats-officedocument.spreadsheetml.table+xml"/>
  <Override PartName="/xl/tables/table58.xml" ContentType="application/vnd.openxmlformats-officedocument.spreadsheetml.table+xml"/>
  <Override PartName="/xl/tables/table76.xml" ContentType="application/vnd.openxmlformats-officedocument.spreadsheetml.table+xml"/>
  <Override PartName="/xl/tables/table94.xml" ContentType="application/vnd.openxmlformats-officedocument.spreadsheetml.table+xml"/>
  <Override PartName="/xl/tables/table105.xml" ContentType="application/vnd.openxmlformats-officedocument.spreadsheetml.table+xml"/>
  <Override PartName="/xl/tables/table134.xml" ContentType="application/vnd.openxmlformats-officedocument.spreadsheetml.table+xml"/>
  <Override PartName="/xl/tables/table152.xml" ContentType="application/vnd.openxmlformats-officedocument.spreadsheetml.table+xml"/>
  <Override PartName="/xl/tables/table181.xml" ContentType="application/vnd.openxmlformats-officedocument.spreadsheetml.table+xml"/>
  <Override PartName="/xl/worksheets/sheet17.xml" ContentType="application/vnd.openxmlformats-officedocument.spreadsheetml.worksheet+xml"/>
  <Override PartName="/xl/tables/table18.xml" ContentType="application/vnd.openxmlformats-officedocument.spreadsheetml.table+xml"/>
  <Override PartName="/xl/tables/table36.xml" ContentType="application/vnd.openxmlformats-officedocument.spreadsheetml.table+xml"/>
  <Override PartName="/xl/tables/table65.xml" ContentType="application/vnd.openxmlformats-officedocument.spreadsheetml.table+xml"/>
  <Override PartName="/xl/tables/table83.xml" ContentType="application/vnd.openxmlformats-officedocument.spreadsheetml.table+xml"/>
  <Override PartName="/xl/tables/table112.xml" ContentType="application/vnd.openxmlformats-officedocument.spreadsheetml.table+xml"/>
  <Override PartName="/xl/tables/table123.xml" ContentType="application/vnd.openxmlformats-officedocument.spreadsheetml.table+xml"/>
  <Override PartName="/xl/tables/table141.xml" ContentType="application/vnd.openxmlformats-officedocument.spreadsheetml.table+xml"/>
  <Override PartName="/xl/tables/table170.xml" ContentType="application/vnd.openxmlformats-officedocument.spreadsheetml.table+xml"/>
  <Override PartName="/xl/ctrlProps/ctrlProp1.xml" ContentType="application/vnd.ms-excel.controlproperties+xml"/>
  <Override PartName="/xl/tables/table4.xml" ContentType="application/vnd.openxmlformats-officedocument.spreadsheetml.table+xml"/>
  <Override PartName="/xl/tables/table43.xml" ContentType="application/vnd.openxmlformats-officedocument.spreadsheetml.table+xml"/>
  <Override PartName="/xl/tables/table54.xml" ContentType="application/vnd.openxmlformats-officedocument.spreadsheetml.table+xml"/>
  <Override PartName="/xl/tables/table90.xml" ContentType="application/vnd.openxmlformats-officedocument.spreadsheetml.table+xml"/>
  <Override PartName="/xl/tables/table130.xml" ContentType="application/vnd.openxmlformats-officedocument.spreadsheetml.table+xml"/>
  <Override PartName="/xl/tables/table32.xml" ContentType="application/vnd.openxmlformats-officedocument.spreadsheetml.table+xml"/>
  <Override PartName="/xl/worksheets/sheet7.xml" ContentType="application/vnd.openxmlformats-officedocument.spreadsheetml.worksheet+xml"/>
  <Override PartName="/xl/worksheets/sheet20.xml" ContentType="application/vnd.openxmlformats-officedocument.spreadsheetml.worksheet+xml"/>
  <Override PartName="/xl/tables/table21.xml" ContentType="application/vnd.openxmlformats-officedocument.spreadsheetml.table+xml"/>
  <Override PartName="/xl/tables/table179.xml" ContentType="application/vnd.openxmlformats-officedocument.spreadsheetml.table+xml"/>
  <Override PartName="/xl/vbaProject.bin" ContentType="application/vnd.ms-office.vbaProject"/>
  <Override PartName="/xl/tables/table10.xml" ContentType="application/vnd.openxmlformats-officedocument.spreadsheetml.table+xml"/>
  <Override PartName="/xl/tables/table168.xml" ContentType="application/vnd.openxmlformats-officedocument.spreadsheetml.table+xml"/>
  <Override PartName="/xl/tables/table157.xml" ContentType="application/vnd.openxmlformats-officedocument.spreadsheetml.table+xml"/>
  <Override PartName="/xl/tables/table9.xml" ContentType="application/vnd.openxmlformats-officedocument.spreadsheetml.table+xml"/>
  <Override PartName="/xl/tables/table59.xml" ContentType="application/vnd.openxmlformats-officedocument.spreadsheetml.table+xml"/>
  <Override PartName="/xl/tables/table135.xml" ContentType="application/vnd.openxmlformats-officedocument.spreadsheetml.table+xml"/>
  <Override PartName="/xl/tables/table146.xml" ContentType="application/vnd.openxmlformats-officedocument.spreadsheetml.table+xml"/>
  <Override PartName="/xl/tables/table182.xml" ContentType="application/vnd.openxmlformats-officedocument.spreadsheetml.tab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showInkAnnotation="0" codeName="ThisWorkbook" defaultThemeVersion="124226"/>
  <bookViews>
    <workbookView xWindow="12000" yWindow="-15" windowWidth="12045" windowHeight="9660" tabRatio="796" activeTab="6"/>
  </bookViews>
  <sheets>
    <sheet name="Planning" sheetId="28" r:id="rId1"/>
    <sheet name="À Faire - Récapitulatif" sheetId="16" r:id="rId2"/>
    <sheet name="À Faire - Détails" sheetId="9" r:id="rId3"/>
    <sheet name="Rentabilité" sheetId="29" r:id="rId4"/>
    <sheet name="Combats - Loots" sheetId="19" state="hidden" r:id="rId5"/>
    <sheet name="Formation de Troupes" sheetId="22" state="hidden" r:id="rId6"/>
    <sheet name="Paramètres" sheetId="2" r:id="rId7"/>
    <sheet name="Bâtiments" sheetId="3" state="hidden" r:id="rId8"/>
    <sheet name="Améliorations - Sorts &amp; Troupes" sheetId="12" state="hidden" r:id="rId9"/>
    <sheet name="Héros" sheetId="10" state="hidden" r:id="rId10"/>
    <sheet name="Coûts des Améliorations" sheetId="8" state="hidden" r:id="rId11"/>
    <sheet name="Gains et Stockage" sheetId="17" state="hidden" r:id="rId12"/>
    <sheet name="Trophées" sheetId="20" state="hidden" r:id="rId13"/>
    <sheet name="Coûts de Formation" sheetId="21" state="hidden" r:id="rId14"/>
    <sheet name="Calendrier" sheetId="27" state="hidden" r:id="rId15"/>
    <sheet name="Traduction" sheetId="23" state="hidden" r:id="rId16"/>
    <sheet name="Paramètres - Admin" sheetId="24" state="hidden" r:id="rId17"/>
    <sheet name="Production" sheetId="18" state="hidden" r:id="rId18"/>
    <sheet name="Journal des Modifications" sheetId="14" r:id="rId19"/>
    <sheet name="Valeur du Village" sheetId="31" r:id="rId20"/>
  </sheets>
  <definedNames>
    <definedName name="Actual">(PeriodInActual*(Planning!$F1&gt;0))*PeriodInPlan</definedName>
    <definedName name="ActualBeyond">PeriodInActual*(Planning!$F1&gt;0)</definedName>
    <definedName name="Attack_Defense">'Paramètres - Admin'!$F$2:$F$3</definedName>
    <definedName name="Calendar">Calendrier!$A$2:$A$1000</definedName>
    <definedName name="Langue">Paramètres!$BK$1</definedName>
    <definedName name="Pas">'Paramètres - Admin'!$G$2:$G$5</definedName>
    <definedName name="PercentComplete">PercentCompleteBeyond*PeriodInPlan</definedName>
    <definedName name="PercentCompleteBeyond">(Planning!A$7=MEDIAN(Planning!A$7,Planning!$F1,Planning!$F1+Planning!$G1)*(Planning!$F1&gt;0))*((Planning!A$7&lt;(INT(Planning!$F1+Planning!$G1*Planning!$H1)))+(Planning!A$7=Planning!$F1))*(Planning!$H1&gt;0)</definedName>
    <definedName name="Period">'Paramètres - Admin'!$E$2:$E$12</definedName>
    <definedName name="period_selected">Planning!$E$2</definedName>
    <definedName name="PeriodInActual">Planning!A$7=MEDIAN(Planning!A$7,Planning!$F1,Planning!$F1+Planning!$G1-1)</definedName>
    <definedName name="PeriodInPlan">Planning!A$7=MEDIAN(Planning!A$7,Planning!$E1,Planning!$E1+Planning!$D1-1)</definedName>
    <definedName name="Plan">PeriodInPlan*(Planning!$E1&gt;0)</definedName>
    <definedName name="TimeDisplay">'Paramètres - Admin'!$B$2:$B$7</definedName>
    <definedName name="TimeDisplay2">'Paramètres - Admin'!$C$2:$C$5</definedName>
    <definedName name="_xlnm.Print_Area" localSheetId="1">'À Faire - Récapitulatif'!$A$1:$X$42</definedName>
  </definedNames>
  <calcPr calcId="125725" iterateDelta="1E-4"/>
</workbook>
</file>

<file path=xl/calcChain.xml><?xml version="1.0" encoding="utf-8"?>
<calcChain xmlns="http://schemas.openxmlformats.org/spreadsheetml/2006/main">
  <c r="K108" i="9"/>
  <c r="AF16" i="2"/>
  <c r="K192" i="9" s="1"/>
  <c r="D33" i="28"/>
  <c r="G33" s="1"/>
  <c r="C33"/>
  <c r="D66"/>
  <c r="C66"/>
  <c r="B150" i="9"/>
  <c r="B149"/>
  <c r="T333"/>
  <c r="K337"/>
  <c r="T372"/>
  <c r="T371"/>
  <c r="T370"/>
  <c r="T369"/>
  <c r="T368"/>
  <c r="T367"/>
  <c r="T366"/>
  <c r="T365"/>
  <c r="T364"/>
  <c r="T363"/>
  <c r="T362"/>
  <c r="T361"/>
  <c r="T360"/>
  <c r="T359"/>
  <c r="T358"/>
  <c r="T357"/>
  <c r="T356"/>
  <c r="T355"/>
  <c r="T354"/>
  <c r="T353"/>
  <c r="T352"/>
  <c r="T351"/>
  <c r="T350"/>
  <c r="T349"/>
  <c r="T348"/>
  <c r="T347"/>
  <c r="T346"/>
  <c r="T345"/>
  <c r="T344"/>
  <c r="T343"/>
  <c r="T342"/>
  <c r="T341"/>
  <c r="T340"/>
  <c r="T339"/>
  <c r="T338"/>
  <c r="T337"/>
  <c r="T336"/>
  <c r="T335"/>
  <c r="T334"/>
  <c r="K334"/>
  <c r="K335"/>
  <c r="K336"/>
  <c r="K338"/>
  <c r="K339"/>
  <c r="K340"/>
  <c r="K341"/>
  <c r="K342"/>
  <c r="K343"/>
  <c r="K344"/>
  <c r="K345"/>
  <c r="K346"/>
  <c r="K347"/>
  <c r="K348"/>
  <c r="K349"/>
  <c r="K350"/>
  <c r="K351"/>
  <c r="K352"/>
  <c r="K353"/>
  <c r="K354"/>
  <c r="K355"/>
  <c r="K356"/>
  <c r="K357"/>
  <c r="K358"/>
  <c r="K359"/>
  <c r="K360"/>
  <c r="K361"/>
  <c r="K362"/>
  <c r="K363"/>
  <c r="K364"/>
  <c r="K365"/>
  <c r="K366"/>
  <c r="K367"/>
  <c r="K368"/>
  <c r="K369"/>
  <c r="K370"/>
  <c r="K371"/>
  <c r="K372"/>
  <c r="K333"/>
  <c r="K60"/>
  <c r="B34"/>
  <c r="K34"/>
  <c r="B310"/>
  <c r="B325"/>
  <c r="B252"/>
  <c r="B253"/>
  <c r="B254"/>
  <c r="B255"/>
  <c r="B256"/>
  <c r="B251"/>
  <c r="B262"/>
  <c r="B263"/>
  <c r="B264"/>
  <c r="B265"/>
  <c r="B266"/>
  <c r="B267"/>
  <c r="B261"/>
  <c r="AN3" i="2"/>
  <c r="AK3"/>
  <c r="AJ3"/>
  <c r="AK46"/>
  <c r="C3" i="14"/>
  <c r="K3" i="20"/>
  <c r="K4"/>
  <c r="K5"/>
  <c r="K6"/>
  <c r="K7"/>
  <c r="K8"/>
  <c r="K9"/>
  <c r="K10"/>
  <c r="K11"/>
  <c r="K12"/>
  <c r="K13"/>
  <c r="R4" i="17"/>
  <c r="R5"/>
  <c r="R6"/>
  <c r="R7"/>
  <c r="R8"/>
  <c r="R9"/>
  <c r="R10"/>
  <c r="R11"/>
  <c r="R12"/>
  <c r="R13"/>
  <c r="R14"/>
  <c r="X46" i="2"/>
  <c r="W46"/>
  <c r="W5"/>
  <c r="W88" s="1"/>
  <c r="W3"/>
  <c r="W4" s="1"/>
  <c r="N3" i="10"/>
  <c r="O3"/>
  <c r="N4"/>
  <c r="O4"/>
  <c r="N5"/>
  <c r="O5"/>
  <c r="N6"/>
  <c r="O6"/>
  <c r="N7"/>
  <c r="O7"/>
  <c r="N8"/>
  <c r="O8"/>
  <c r="N9"/>
  <c r="O9"/>
  <c r="N10"/>
  <c r="O10"/>
  <c r="N11"/>
  <c r="O11"/>
  <c r="N12"/>
  <c r="O12"/>
  <c r="N13"/>
  <c r="O13"/>
  <c r="N14"/>
  <c r="O14"/>
  <c r="J14"/>
  <c r="K14"/>
  <c r="L14"/>
  <c r="M14"/>
  <c r="BF46" i="2"/>
  <c r="BF5"/>
  <c r="BF3"/>
  <c r="BF4" s="1"/>
  <c r="BG46"/>
  <c r="H74" i="3"/>
  <c r="I74"/>
  <c r="J74"/>
  <c r="K74"/>
  <c r="P59"/>
  <c r="Q59"/>
  <c r="R59"/>
  <c r="S59"/>
  <c r="T59"/>
  <c r="U59"/>
  <c r="V59"/>
  <c r="W59"/>
  <c r="X59"/>
  <c r="Y59"/>
  <c r="Z59"/>
  <c r="AA59"/>
  <c r="AV35"/>
  <c r="AW35"/>
  <c r="AV36"/>
  <c r="AW36"/>
  <c r="AV37"/>
  <c r="AW37"/>
  <c r="AV38"/>
  <c r="AW38"/>
  <c r="AV39"/>
  <c r="AW39"/>
  <c r="AV40"/>
  <c r="AW40"/>
  <c r="AV41"/>
  <c r="AW41"/>
  <c r="AV42"/>
  <c r="AW42"/>
  <c r="AV43"/>
  <c r="AW43"/>
  <c r="AV44"/>
  <c r="AW44"/>
  <c r="AU34"/>
  <c r="AV34"/>
  <c r="AW34"/>
  <c r="AV33"/>
  <c r="AW33"/>
  <c r="AB44"/>
  <c r="AC44"/>
  <c r="AD44"/>
  <c r="AE44"/>
  <c r="AF44"/>
  <c r="AG44"/>
  <c r="AH44"/>
  <c r="AI44"/>
  <c r="AJ44"/>
  <c r="AK44"/>
  <c r="AL44"/>
  <c r="AM44"/>
  <c r="AN44"/>
  <c r="AO44"/>
  <c r="AP44"/>
  <c r="AQ44"/>
  <c r="AR44"/>
  <c r="AS44"/>
  <c r="AT44"/>
  <c r="AU44"/>
  <c r="P29"/>
  <c r="Q29"/>
  <c r="R29"/>
  <c r="S29"/>
  <c r="T29"/>
  <c r="U29"/>
  <c r="V29"/>
  <c r="W29"/>
  <c r="X29"/>
  <c r="Y29"/>
  <c r="Z29"/>
  <c r="AA29"/>
  <c r="P14"/>
  <c r="Q14"/>
  <c r="R14"/>
  <c r="S14"/>
  <c r="T14"/>
  <c r="U14"/>
  <c r="V14"/>
  <c r="W14"/>
  <c r="X14"/>
  <c r="Y14"/>
  <c r="Z14"/>
  <c r="AA14"/>
  <c r="G66" i="28" l="1"/>
  <c r="W49" i="2"/>
  <c r="W50" s="1"/>
  <c r="W51" s="1"/>
  <c r="W53"/>
  <c r="W55"/>
  <c r="W57"/>
  <c r="W59"/>
  <c r="W61"/>
  <c r="W63"/>
  <c r="W65"/>
  <c r="W67"/>
  <c r="W69"/>
  <c r="W71"/>
  <c r="W73"/>
  <c r="W75"/>
  <c r="W77"/>
  <c r="W79"/>
  <c r="W81"/>
  <c r="W83"/>
  <c r="W85"/>
  <c r="W87"/>
  <c r="W52"/>
  <c r="W54"/>
  <c r="W56"/>
  <c r="W58"/>
  <c r="W60"/>
  <c r="W62"/>
  <c r="W64"/>
  <c r="W66"/>
  <c r="W68"/>
  <c r="W70"/>
  <c r="W72"/>
  <c r="W74"/>
  <c r="W76"/>
  <c r="W78"/>
  <c r="W80"/>
  <c r="W82"/>
  <c r="W84"/>
  <c r="W86"/>
  <c r="BF49"/>
  <c r="BF50" s="1"/>
  <c r="BF51" s="1"/>
  <c r="BF52" s="1"/>
  <c r="BF53" s="1"/>
  <c r="BF54" s="1"/>
  <c r="BF55" s="1"/>
  <c r="BF56" s="1"/>
  <c r="BF57" s="1"/>
  <c r="BF58" s="1"/>
  <c r="BF59" s="1"/>
  <c r="BF60" s="1"/>
  <c r="BF61" s="1"/>
  <c r="BF62" s="1"/>
  <c r="BF63" s="1"/>
  <c r="BF64" s="1"/>
  <c r="BF65" s="1"/>
  <c r="BF66" s="1"/>
  <c r="BF67" s="1"/>
  <c r="BF68" s="1"/>
  <c r="BF69" s="1"/>
  <c r="BF70" s="1"/>
  <c r="BF71" s="1"/>
  <c r="BF72" s="1"/>
  <c r="BF73" s="1"/>
  <c r="BF74" s="1"/>
  <c r="BF75" s="1"/>
  <c r="BF76" s="1"/>
  <c r="BF77" s="1"/>
  <c r="BF78" s="1"/>
  <c r="BF79" s="1"/>
  <c r="BF80" s="1"/>
  <c r="BF81" s="1"/>
  <c r="BF82" s="1"/>
  <c r="BF83" s="1"/>
  <c r="BF84" s="1"/>
  <c r="BF85" s="1"/>
  <c r="BF86" s="1"/>
  <c r="BF87" s="1"/>
  <c r="BF88" s="1"/>
  <c r="C4" i="14"/>
  <c r="H47" i="2" a="1"/>
  <c r="H47" s="1"/>
  <c r="W89" l="1"/>
  <c r="BF89"/>
  <c r="O2" i="22"/>
  <c r="K5"/>
  <c r="C5" i="14"/>
  <c r="AL51" i="31"/>
  <c r="AL52"/>
  <c r="AL53"/>
  <c r="C6" i="14"/>
  <c r="V112" i="31"/>
  <c r="X112" s="1"/>
  <c r="V113"/>
  <c r="X113" s="1"/>
  <c r="V114"/>
  <c r="V115"/>
  <c r="X115" s="1"/>
  <c r="R112"/>
  <c r="R113"/>
  <c r="T113" s="1"/>
  <c r="R114"/>
  <c r="T114" s="1"/>
  <c r="R115"/>
  <c r="T115" s="1"/>
  <c r="N112"/>
  <c r="P112" s="1"/>
  <c r="N113"/>
  <c r="N114"/>
  <c r="P114" s="1"/>
  <c r="N115"/>
  <c r="P115" s="1"/>
  <c r="X114"/>
  <c r="P113"/>
  <c r="T112"/>
  <c r="G81"/>
  <c r="G82" s="1"/>
  <c r="G83" s="1"/>
  <c r="G84" s="1"/>
  <c r="G85" s="1"/>
  <c r="G86" s="1"/>
  <c r="G87" s="1"/>
  <c r="G88" s="1"/>
  <c r="G89" s="1"/>
  <c r="G90" s="1"/>
  <c r="G91" s="1"/>
  <c r="G92" s="1"/>
  <c r="G93" s="1"/>
  <c r="G94" s="1"/>
  <c r="G95" s="1"/>
  <c r="G96" s="1"/>
  <c r="G97" s="1"/>
  <c r="G98" s="1"/>
  <c r="G99" s="1"/>
  <c r="G100" s="1"/>
  <c r="G101" s="1"/>
  <c r="G102" s="1"/>
  <c r="G103" s="1"/>
  <c r="G104" s="1"/>
  <c r="G105" s="1"/>
  <c r="G106" s="1"/>
  <c r="G107" s="1"/>
  <c r="G108" s="1"/>
  <c r="G109" s="1"/>
  <c r="G110" s="1"/>
  <c r="G111" s="1"/>
  <c r="G112" s="1"/>
  <c r="G113" s="1"/>
  <c r="G114" s="1"/>
  <c r="G115" s="1"/>
  <c r="G116" s="1"/>
  <c r="G117" s="1"/>
  <c r="G118" s="1"/>
  <c r="G119" s="1"/>
  <c r="C81"/>
  <c r="C82" s="1"/>
  <c r="C83" s="1"/>
  <c r="C84" s="1"/>
  <c r="C85" s="1"/>
  <c r="C86" s="1"/>
  <c r="C87" s="1"/>
  <c r="C88" s="1"/>
  <c r="C89" s="1"/>
  <c r="C90" s="1"/>
  <c r="C91" s="1"/>
  <c r="C92" s="1"/>
  <c r="C93" s="1"/>
  <c r="C94" s="1"/>
  <c r="C95" s="1"/>
  <c r="C96" s="1"/>
  <c r="C97" s="1"/>
  <c r="C98" s="1"/>
  <c r="C99" s="1"/>
  <c r="C100" s="1"/>
  <c r="C101" s="1"/>
  <c r="C102" s="1"/>
  <c r="C103" s="1"/>
  <c r="C104" s="1"/>
  <c r="C105" s="1"/>
  <c r="C106" s="1"/>
  <c r="C107" s="1"/>
  <c r="C108" s="1"/>
  <c r="C109" s="1"/>
  <c r="C110" s="1"/>
  <c r="C111" s="1"/>
  <c r="C112" s="1"/>
  <c r="C113" s="1"/>
  <c r="C114" s="1"/>
  <c r="C115" s="1"/>
  <c r="C116" s="1"/>
  <c r="C117" s="1"/>
  <c r="C118" s="1"/>
  <c r="C119" s="1"/>
  <c r="C7" i="14"/>
  <c r="B205" i="9"/>
  <c r="B22" i="31"/>
  <c r="D22" s="1"/>
  <c r="AH97"/>
  <c r="AJ97" s="1"/>
  <c r="AH98"/>
  <c r="AJ98" s="1"/>
  <c r="AH99"/>
  <c r="AJ99" s="1"/>
  <c r="AH32"/>
  <c r="AJ32" s="1"/>
  <c r="D4" i="20"/>
  <c r="D5"/>
  <c r="D6"/>
  <c r="D7"/>
  <c r="D8"/>
  <c r="D9"/>
  <c r="D10"/>
  <c r="D11"/>
  <c r="D12"/>
  <c r="D13"/>
  <c r="D14"/>
  <c r="D15"/>
  <c r="D16"/>
  <c r="D17"/>
  <c r="D18"/>
  <c r="D19"/>
  <c r="D20"/>
  <c r="D21"/>
  <c r="D22"/>
  <c r="D23"/>
  <c r="D24"/>
  <c r="D25"/>
  <c r="A23"/>
  <c r="A24"/>
  <c r="A25"/>
  <c r="D3"/>
  <c r="I3" i="31" l="1"/>
  <c r="K261" i="9"/>
  <c r="K260"/>
  <c r="K270"/>
  <c r="K269"/>
  <c r="K268"/>
  <c r="K267"/>
  <c r="K266"/>
  <c r="C8" i="14" l="1"/>
  <c r="C29" i="29" l="1"/>
  <c r="E29" s="1"/>
  <c r="C28"/>
  <c r="D28" s="1"/>
  <c r="C27"/>
  <c r="E27" s="1"/>
  <c r="B19"/>
  <c r="D2" i="22"/>
  <c r="F2"/>
  <c r="C12"/>
  <c r="E12" s="1"/>
  <c r="C11"/>
  <c r="E11" s="1"/>
  <c r="C10"/>
  <c r="E10" s="1"/>
  <c r="G25"/>
  <c r="AG3" i="21"/>
  <c r="AC3"/>
  <c r="Y3"/>
  <c r="D45" i="28"/>
  <c r="G45" s="1"/>
  <c r="C45"/>
  <c r="D44"/>
  <c r="G44" s="1"/>
  <c r="C44"/>
  <c r="D43"/>
  <c r="G43" s="1"/>
  <c r="C43"/>
  <c r="D21"/>
  <c r="G21" s="1"/>
  <c r="C21"/>
  <c r="B294" i="9"/>
  <c r="B293"/>
  <c r="B295"/>
  <c r="B296"/>
  <c r="K285"/>
  <c r="K286"/>
  <c r="K287"/>
  <c r="K288"/>
  <c r="B285"/>
  <c r="B286"/>
  <c r="B287"/>
  <c r="B288"/>
  <c r="K78"/>
  <c r="K79"/>
  <c r="K77"/>
  <c r="AM3" i="2"/>
  <c r="M47" a="1"/>
  <c r="M47" s="1"/>
  <c r="L47" a="1"/>
  <c r="L47" s="1"/>
  <c r="AL3"/>
  <c r="AL46"/>
  <c r="AM46"/>
  <c r="AN46"/>
  <c r="M5"/>
  <c r="M52" s="1"/>
  <c r="M46"/>
  <c r="M3"/>
  <c r="Z18" i="3"/>
  <c r="AA18"/>
  <c r="Z20"/>
  <c r="AA20"/>
  <c r="Z21"/>
  <c r="AA21"/>
  <c r="Z22"/>
  <c r="AA22"/>
  <c r="Z23"/>
  <c r="AA23"/>
  <c r="Z24"/>
  <c r="AA24"/>
  <c r="Z25"/>
  <c r="AA25"/>
  <c r="Z26"/>
  <c r="AA26"/>
  <c r="Z27"/>
  <c r="AA27"/>
  <c r="Z28"/>
  <c r="AA28"/>
  <c r="Z19"/>
  <c r="AA19"/>
  <c r="A22" i="20"/>
  <c r="A21"/>
  <c r="C9" i="14"/>
  <c r="F80" i="31"/>
  <c r="H80" s="1"/>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V69"/>
  <c r="X69" s="1"/>
  <c r="V70"/>
  <c r="X70" s="1"/>
  <c r="V71"/>
  <c r="X71" s="1"/>
  <c r="R69"/>
  <c r="T69" s="1"/>
  <c r="R70"/>
  <c r="T70" s="1"/>
  <c r="R71"/>
  <c r="T71" s="1"/>
  <c r="N69"/>
  <c r="P69" s="1"/>
  <c r="N70"/>
  <c r="P70" s="1"/>
  <c r="N71"/>
  <c r="P71" s="1"/>
  <c r="N72"/>
  <c r="P72" s="1"/>
  <c r="J69"/>
  <c r="L69" s="1"/>
  <c r="J70"/>
  <c r="L70" s="1"/>
  <c r="J71"/>
  <c r="L71" s="1"/>
  <c r="J72"/>
  <c r="L72" s="1"/>
  <c r="F69"/>
  <c r="H69" s="1"/>
  <c r="B69"/>
  <c r="D69" s="1"/>
  <c r="B70"/>
  <c r="D70" s="1"/>
  <c r="B71"/>
  <c r="D71" s="1"/>
  <c r="B72"/>
  <c r="D72" s="1"/>
  <c r="B73"/>
  <c r="D73" s="1"/>
  <c r="B74"/>
  <c r="D74" s="1"/>
  <c r="AN51"/>
  <c r="AN52"/>
  <c r="AN53"/>
  <c r="AH51"/>
  <c r="AJ51" s="1"/>
  <c r="AH52"/>
  <c r="AJ52" s="1"/>
  <c r="AH53"/>
  <c r="AJ53" s="1"/>
  <c r="AH54"/>
  <c r="AJ54" s="1"/>
  <c r="AD51"/>
  <c r="AF51" s="1"/>
  <c r="AD52"/>
  <c r="AF52" s="1"/>
  <c r="AD53"/>
  <c r="AF53" s="1"/>
  <c r="AD54"/>
  <c r="AF54" s="1"/>
  <c r="AD55"/>
  <c r="AF55" s="1"/>
  <c r="AD56"/>
  <c r="AF56" s="1"/>
  <c r="AD57"/>
  <c r="AF57" s="1"/>
  <c r="AD58"/>
  <c r="AF58" s="1"/>
  <c r="Z51"/>
  <c r="AB51" s="1"/>
  <c r="Z52"/>
  <c r="AB52" s="1"/>
  <c r="Z53"/>
  <c r="AB53" s="1"/>
  <c r="Z54"/>
  <c r="AB54" s="1"/>
  <c r="Z55"/>
  <c r="AB55" s="1"/>
  <c r="Z56"/>
  <c r="AB56" s="1"/>
  <c r="V51"/>
  <c r="V52"/>
  <c r="V53"/>
  <c r="V54"/>
  <c r="V55"/>
  <c r="V56"/>
  <c r="V57"/>
  <c r="V58"/>
  <c r="R51"/>
  <c r="T51" s="1"/>
  <c r="R52"/>
  <c r="T52" s="1"/>
  <c r="R53"/>
  <c r="T53" s="1"/>
  <c r="R54"/>
  <c r="T54" s="1"/>
  <c r="R55"/>
  <c r="T55" s="1"/>
  <c r="R56"/>
  <c r="T56" s="1"/>
  <c r="R57"/>
  <c r="T57" s="1"/>
  <c r="R58"/>
  <c r="T58" s="1"/>
  <c r="N51"/>
  <c r="P51" s="1"/>
  <c r="N52"/>
  <c r="N53"/>
  <c r="N54"/>
  <c r="N55"/>
  <c r="N56"/>
  <c r="N57"/>
  <c r="N58"/>
  <c r="J51"/>
  <c r="L51" s="1"/>
  <c r="J52"/>
  <c r="L52" s="1"/>
  <c r="J53"/>
  <c r="L53" s="1"/>
  <c r="J54"/>
  <c r="L54" s="1"/>
  <c r="J55"/>
  <c r="L55" s="1"/>
  <c r="J56"/>
  <c r="L56" s="1"/>
  <c r="J57"/>
  <c r="L57" s="1"/>
  <c r="J58"/>
  <c r="L58" s="1"/>
  <c r="J59"/>
  <c r="L59" s="1"/>
  <c r="J60"/>
  <c r="L60" s="1"/>
  <c r="J61"/>
  <c r="L61" s="1"/>
  <c r="J62"/>
  <c r="L62" s="1"/>
  <c r="J63"/>
  <c r="L63" s="1"/>
  <c r="F51"/>
  <c r="F52"/>
  <c r="F53"/>
  <c r="F54"/>
  <c r="F55"/>
  <c r="F56"/>
  <c r="F57"/>
  <c r="F58"/>
  <c r="F59"/>
  <c r="F60"/>
  <c r="F61"/>
  <c r="F62"/>
  <c r="F63"/>
  <c r="B51"/>
  <c r="D51" s="1"/>
  <c r="B52"/>
  <c r="D52" s="1"/>
  <c r="B53"/>
  <c r="D53" s="1"/>
  <c r="B54"/>
  <c r="D54" s="1"/>
  <c r="B55"/>
  <c r="D55" s="1"/>
  <c r="B56"/>
  <c r="D56" s="1"/>
  <c r="B57"/>
  <c r="D57" s="1"/>
  <c r="B58"/>
  <c r="D58" s="1"/>
  <c r="B59"/>
  <c r="D59" s="1"/>
  <c r="B60"/>
  <c r="D60" s="1"/>
  <c r="B61"/>
  <c r="D61" s="1"/>
  <c r="B80"/>
  <c r="D80" s="1"/>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AD110"/>
  <c r="AF110" s="1"/>
  <c r="AD111"/>
  <c r="AF111" s="1"/>
  <c r="AD112"/>
  <c r="AF112" s="1"/>
  <c r="AD113"/>
  <c r="AF113" s="1"/>
  <c r="AD114"/>
  <c r="AF114" s="1"/>
  <c r="AD115"/>
  <c r="AF115" s="1"/>
  <c r="AD97"/>
  <c r="AF97" s="1"/>
  <c r="AD98"/>
  <c r="AF98" s="1"/>
  <c r="AD99"/>
  <c r="AF99" s="1"/>
  <c r="AD100"/>
  <c r="AF100" s="1"/>
  <c r="AD101"/>
  <c r="AF101" s="1"/>
  <c r="Z97"/>
  <c r="AB97" s="1"/>
  <c r="Z98"/>
  <c r="AB98" s="1"/>
  <c r="Z99"/>
  <c r="AB99" s="1"/>
  <c r="Z100"/>
  <c r="AB100" s="1"/>
  <c r="Z101"/>
  <c r="AB101" s="1"/>
  <c r="Z102"/>
  <c r="AB102" s="1"/>
  <c r="Z103"/>
  <c r="AB103" s="1"/>
  <c r="Z104"/>
  <c r="AB104" s="1"/>
  <c r="V97"/>
  <c r="X97" s="1"/>
  <c r="V98"/>
  <c r="X98" s="1"/>
  <c r="V99"/>
  <c r="X99" s="1"/>
  <c r="V100"/>
  <c r="X100" s="1"/>
  <c r="V101"/>
  <c r="X101" s="1"/>
  <c r="V102"/>
  <c r="X102" s="1"/>
  <c r="V103"/>
  <c r="X103" s="1"/>
  <c r="V104"/>
  <c r="X104" s="1"/>
  <c r="R97"/>
  <c r="T97" s="1"/>
  <c r="R98"/>
  <c r="T98" s="1"/>
  <c r="R99"/>
  <c r="T99" s="1"/>
  <c r="R100"/>
  <c r="T100" s="1"/>
  <c r="R101"/>
  <c r="T101" s="1"/>
  <c r="R102"/>
  <c r="T102" s="1"/>
  <c r="R103"/>
  <c r="T103" s="1"/>
  <c r="R104"/>
  <c r="T104" s="1"/>
  <c r="R105"/>
  <c r="T105" s="1"/>
  <c r="R106"/>
  <c r="T106" s="1"/>
  <c r="N97"/>
  <c r="P97" s="1"/>
  <c r="N98"/>
  <c r="P98" s="1"/>
  <c r="N99"/>
  <c r="P99" s="1"/>
  <c r="N100"/>
  <c r="P100" s="1"/>
  <c r="N101"/>
  <c r="P101" s="1"/>
  <c r="N102"/>
  <c r="P102" s="1"/>
  <c r="AH80"/>
  <c r="AJ80" s="1"/>
  <c r="AH81"/>
  <c r="AJ81" s="1"/>
  <c r="AH82"/>
  <c r="AJ82" s="1"/>
  <c r="AH83"/>
  <c r="AJ83" s="1"/>
  <c r="AH84"/>
  <c r="AJ84" s="1"/>
  <c r="AH85"/>
  <c r="AJ85" s="1"/>
  <c r="AH86"/>
  <c r="AJ86" s="1"/>
  <c r="AH87"/>
  <c r="AJ87" s="1"/>
  <c r="AH88"/>
  <c r="AJ88" s="1"/>
  <c r="AH89"/>
  <c r="AJ89" s="1"/>
  <c r="AH90"/>
  <c r="AJ90" s="1"/>
  <c r="AD81"/>
  <c r="AF81" s="1"/>
  <c r="AD82"/>
  <c r="AF82" s="1"/>
  <c r="AD83"/>
  <c r="AF83" s="1"/>
  <c r="AD84"/>
  <c r="AF84" s="1"/>
  <c r="AD85"/>
  <c r="AF85" s="1"/>
  <c r="AD86"/>
  <c r="AF86" s="1"/>
  <c r="AD87"/>
  <c r="AF87" s="1"/>
  <c r="AD88"/>
  <c r="AF88" s="1"/>
  <c r="AD89"/>
  <c r="AF89" s="1"/>
  <c r="AD90"/>
  <c r="AF90" s="1"/>
  <c r="AD91"/>
  <c r="AF91" s="1"/>
  <c r="AD80"/>
  <c r="AF80" s="1"/>
  <c r="Z81"/>
  <c r="AB81" s="1"/>
  <c r="Z82"/>
  <c r="AB82" s="1"/>
  <c r="Z83"/>
  <c r="AB83" s="1"/>
  <c r="Z84"/>
  <c r="AB84" s="1"/>
  <c r="Z85"/>
  <c r="AB85" s="1"/>
  <c r="Z80"/>
  <c r="AB80" s="1"/>
  <c r="V81"/>
  <c r="X81" s="1"/>
  <c r="V82"/>
  <c r="X82" s="1"/>
  <c r="V83"/>
  <c r="X83" s="1"/>
  <c r="V84"/>
  <c r="X84" s="1"/>
  <c r="V85"/>
  <c r="X85" s="1"/>
  <c r="V86"/>
  <c r="X86" s="1"/>
  <c r="V87"/>
  <c r="X87" s="1"/>
  <c r="V88"/>
  <c r="X88" s="1"/>
  <c r="V89"/>
  <c r="X89" s="1"/>
  <c r="V90"/>
  <c r="X90" s="1"/>
  <c r="V80"/>
  <c r="X80" s="1"/>
  <c r="R81"/>
  <c r="T81" s="1"/>
  <c r="R82"/>
  <c r="T82" s="1"/>
  <c r="R83"/>
  <c r="T83" s="1"/>
  <c r="R84"/>
  <c r="T84" s="1"/>
  <c r="R85"/>
  <c r="T85" s="1"/>
  <c r="R80"/>
  <c r="T80" s="1"/>
  <c r="N81"/>
  <c r="P81" s="1"/>
  <c r="N82"/>
  <c r="P82" s="1"/>
  <c r="N83"/>
  <c r="P83" s="1"/>
  <c r="N84"/>
  <c r="P84" s="1"/>
  <c r="N85"/>
  <c r="P85" s="1"/>
  <c r="N86"/>
  <c r="P86" s="1"/>
  <c r="N87"/>
  <c r="P87" s="1"/>
  <c r="N88"/>
  <c r="P88" s="1"/>
  <c r="N89"/>
  <c r="P89" s="1"/>
  <c r="N90"/>
  <c r="P90" s="1"/>
  <c r="N91"/>
  <c r="P91" s="1"/>
  <c r="N80"/>
  <c r="P80" s="1"/>
  <c r="V41"/>
  <c r="X41" s="1"/>
  <c r="V42"/>
  <c r="X42" s="1"/>
  <c r="V40"/>
  <c r="X40" s="1"/>
  <c r="R41"/>
  <c r="T41" s="1"/>
  <c r="R40"/>
  <c r="T40" s="1"/>
  <c r="N41"/>
  <c r="P41" s="1"/>
  <c r="N42"/>
  <c r="P42" s="1"/>
  <c r="N43"/>
  <c r="P43" s="1"/>
  <c r="N44"/>
  <c r="P44" s="1"/>
  <c r="N40"/>
  <c r="P40" s="1"/>
  <c r="J41"/>
  <c r="L41" s="1"/>
  <c r="J42"/>
  <c r="L42" s="1"/>
  <c r="J43"/>
  <c r="L43" s="1"/>
  <c r="J40"/>
  <c r="L40" s="1"/>
  <c r="F41"/>
  <c r="H41" s="1"/>
  <c r="F42"/>
  <c r="H42" s="1"/>
  <c r="F43"/>
  <c r="H43" s="1"/>
  <c r="F44"/>
  <c r="H44" s="1"/>
  <c r="F40"/>
  <c r="H40" s="1"/>
  <c r="B41"/>
  <c r="D41" s="1"/>
  <c r="B42"/>
  <c r="D42" s="1"/>
  <c r="B43"/>
  <c r="D43" s="1"/>
  <c r="B44"/>
  <c r="D44" s="1"/>
  <c r="B45"/>
  <c r="D45" s="1"/>
  <c r="B40"/>
  <c r="D40" s="1"/>
  <c r="AL29"/>
  <c r="AN29" s="1"/>
  <c r="AL30"/>
  <c r="AN30" s="1"/>
  <c r="AL31"/>
  <c r="AN31" s="1"/>
  <c r="AL32"/>
  <c r="AN32" s="1"/>
  <c r="AL28"/>
  <c r="AN28" s="1"/>
  <c r="AH29"/>
  <c r="AJ29" s="1"/>
  <c r="AH30"/>
  <c r="AJ30" s="1"/>
  <c r="AH31"/>
  <c r="AJ31" s="1"/>
  <c r="AH28"/>
  <c r="AJ28" s="1"/>
  <c r="AD29"/>
  <c r="AF29" s="1"/>
  <c r="AD30"/>
  <c r="AF30" s="1"/>
  <c r="AD31"/>
  <c r="AF31" s="1"/>
  <c r="AD28"/>
  <c r="AF28" s="1"/>
  <c r="Z29"/>
  <c r="AB29" s="1"/>
  <c r="Z30"/>
  <c r="Z31"/>
  <c r="AB31" s="1"/>
  <c r="Z32"/>
  <c r="AB32" s="1"/>
  <c r="Z33"/>
  <c r="AB33" s="1"/>
  <c r="AB30"/>
  <c r="Z28"/>
  <c r="AB28" s="1"/>
  <c r="V29"/>
  <c r="X29" s="1"/>
  <c r="V30"/>
  <c r="X30" s="1"/>
  <c r="V31"/>
  <c r="X31" s="1"/>
  <c r="V32"/>
  <c r="X32" s="1"/>
  <c r="V33"/>
  <c r="X33" s="1"/>
  <c r="V28"/>
  <c r="X28" s="1"/>
  <c r="R29"/>
  <c r="T29" s="1"/>
  <c r="R30"/>
  <c r="T30" s="1"/>
  <c r="R31"/>
  <c r="T31" s="1"/>
  <c r="R32"/>
  <c r="T32" s="1"/>
  <c r="R33"/>
  <c r="T33" s="1"/>
  <c r="R28"/>
  <c r="T28" s="1"/>
  <c r="N29"/>
  <c r="P29" s="1"/>
  <c r="N30"/>
  <c r="P30" s="1"/>
  <c r="N31"/>
  <c r="P31" s="1"/>
  <c r="N32"/>
  <c r="P32" s="1"/>
  <c r="N33"/>
  <c r="P33" s="1"/>
  <c r="N34"/>
  <c r="P34" s="1"/>
  <c r="N28"/>
  <c r="P28" s="1"/>
  <c r="J29"/>
  <c r="L29" s="1"/>
  <c r="J30"/>
  <c r="L30" s="1"/>
  <c r="J31"/>
  <c r="L31" s="1"/>
  <c r="J32"/>
  <c r="L32" s="1"/>
  <c r="J33"/>
  <c r="L33" s="1"/>
  <c r="J28"/>
  <c r="L28" s="1"/>
  <c r="F29"/>
  <c r="H29" s="1"/>
  <c r="F30"/>
  <c r="H30" s="1"/>
  <c r="F31"/>
  <c r="H31" s="1"/>
  <c r="F32"/>
  <c r="H32" s="1"/>
  <c r="F33"/>
  <c r="H33" s="1"/>
  <c r="F34"/>
  <c r="H34" s="1"/>
  <c r="F28"/>
  <c r="H28" s="1"/>
  <c r="B29"/>
  <c r="D29" s="1"/>
  <c r="B30"/>
  <c r="D30" s="1"/>
  <c r="B31"/>
  <c r="D31" s="1"/>
  <c r="B32"/>
  <c r="D32" s="1"/>
  <c r="B33"/>
  <c r="D33" s="1"/>
  <c r="B34"/>
  <c r="D34" s="1"/>
  <c r="B28"/>
  <c r="D28" s="1"/>
  <c r="R17"/>
  <c r="R18"/>
  <c r="R19"/>
  <c r="R20"/>
  <c r="T17"/>
  <c r="T18"/>
  <c r="T19"/>
  <c r="T20"/>
  <c r="R16"/>
  <c r="T16" s="1"/>
  <c r="N17"/>
  <c r="N18"/>
  <c r="P17"/>
  <c r="P18"/>
  <c r="N16"/>
  <c r="P16" s="1"/>
  <c r="J17"/>
  <c r="L17" s="1"/>
  <c r="J18"/>
  <c r="L18" s="1"/>
  <c r="J19"/>
  <c r="L19" s="1"/>
  <c r="J20"/>
  <c r="L20" s="1"/>
  <c r="J16"/>
  <c r="L16" s="1"/>
  <c r="F17"/>
  <c r="F18"/>
  <c r="F19"/>
  <c r="F20"/>
  <c r="F21"/>
  <c r="F16"/>
  <c r="H17"/>
  <c r="H18"/>
  <c r="H19"/>
  <c r="H20"/>
  <c r="H21"/>
  <c r="H16"/>
  <c r="B17"/>
  <c r="D17" s="1"/>
  <c r="B18"/>
  <c r="D18" s="1"/>
  <c r="B19"/>
  <c r="D19" s="1"/>
  <c r="B20"/>
  <c r="D20" s="1"/>
  <c r="B21"/>
  <c r="D21" s="1"/>
  <c r="B16"/>
  <c r="D16" s="1"/>
  <c r="D28" i="28"/>
  <c r="C10" i="14"/>
  <c r="D29" i="12" l="1"/>
  <c r="B29"/>
  <c r="F29"/>
  <c r="I2" i="31"/>
  <c r="H51"/>
  <c r="I4"/>
  <c r="I7"/>
  <c r="I6"/>
  <c r="H119"/>
  <c r="D10" i="22"/>
  <c r="D27" i="29"/>
  <c r="D29"/>
  <c r="E28"/>
  <c r="F33" s="1"/>
  <c r="G13" i="22"/>
  <c r="G16"/>
  <c r="F10"/>
  <c r="D11"/>
  <c r="F11"/>
  <c r="D12"/>
  <c r="F12"/>
  <c r="AN4" i="2"/>
  <c r="M87"/>
  <c r="M85"/>
  <c r="M83"/>
  <c r="M81"/>
  <c r="M79"/>
  <c r="M77"/>
  <c r="M75"/>
  <c r="M73"/>
  <c r="M71"/>
  <c r="M69"/>
  <c r="M67"/>
  <c r="M65"/>
  <c r="M63"/>
  <c r="M61"/>
  <c r="M59"/>
  <c r="M57"/>
  <c r="M55"/>
  <c r="M53"/>
  <c r="M88"/>
  <c r="M86"/>
  <c r="M84"/>
  <c r="M82"/>
  <c r="M80"/>
  <c r="M78"/>
  <c r="M76"/>
  <c r="M74"/>
  <c r="M72"/>
  <c r="M70"/>
  <c r="M68"/>
  <c r="M66"/>
  <c r="M64"/>
  <c r="M62"/>
  <c r="M60"/>
  <c r="M58"/>
  <c r="M56"/>
  <c r="M54"/>
  <c r="F19" i="12"/>
  <c r="B18"/>
  <c r="D18"/>
  <c r="B28"/>
  <c r="B26"/>
  <c r="B24"/>
  <c r="B22"/>
  <c r="B20"/>
  <c r="D27"/>
  <c r="D25"/>
  <c r="D23"/>
  <c r="D21"/>
  <c r="D19"/>
  <c r="F28"/>
  <c r="F26"/>
  <c r="F24"/>
  <c r="F22"/>
  <c r="F20"/>
  <c r="F18"/>
  <c r="B27"/>
  <c r="B25"/>
  <c r="B23"/>
  <c r="B21"/>
  <c r="B19"/>
  <c r="D28"/>
  <c r="D26"/>
  <c r="D24"/>
  <c r="D22"/>
  <c r="D20"/>
  <c r="F27"/>
  <c r="F25"/>
  <c r="F23"/>
  <c r="F21"/>
  <c r="M4" i="2"/>
  <c r="M49" s="1"/>
  <c r="AM4"/>
  <c r="AL4"/>
  <c r="I5" i="31"/>
  <c r="X52"/>
  <c r="I10"/>
  <c r="X51"/>
  <c r="D119"/>
  <c r="D117"/>
  <c r="D115"/>
  <c r="D113"/>
  <c r="D111"/>
  <c r="D109"/>
  <c r="D107"/>
  <c r="D105"/>
  <c r="D103"/>
  <c r="D101"/>
  <c r="D99"/>
  <c r="D97"/>
  <c r="D95"/>
  <c r="D93"/>
  <c r="D91"/>
  <c r="D89"/>
  <c r="D87"/>
  <c r="D85"/>
  <c r="D83"/>
  <c r="D81"/>
  <c r="H117"/>
  <c r="H115"/>
  <c r="H113"/>
  <c r="H111"/>
  <c r="H109"/>
  <c r="H107"/>
  <c r="H105"/>
  <c r="H103"/>
  <c r="H101"/>
  <c r="H99"/>
  <c r="H97"/>
  <c r="H95"/>
  <c r="H93"/>
  <c r="H91"/>
  <c r="H89"/>
  <c r="H87"/>
  <c r="H85"/>
  <c r="H83"/>
  <c r="H81"/>
  <c r="D118"/>
  <c r="D116"/>
  <c r="D114"/>
  <c r="D112"/>
  <c r="D110"/>
  <c r="D108"/>
  <c r="D106"/>
  <c r="D104"/>
  <c r="D102"/>
  <c r="D100"/>
  <c r="D98"/>
  <c r="D96"/>
  <c r="D94"/>
  <c r="D92"/>
  <c r="D90"/>
  <c r="D88"/>
  <c r="D86"/>
  <c r="D84"/>
  <c r="D82"/>
  <c r="H118"/>
  <c r="H116"/>
  <c r="H114"/>
  <c r="H112"/>
  <c r="H110"/>
  <c r="H108"/>
  <c r="H106"/>
  <c r="H104"/>
  <c r="H102"/>
  <c r="H100"/>
  <c r="H98"/>
  <c r="H96"/>
  <c r="H94"/>
  <c r="H92"/>
  <c r="H90"/>
  <c r="H88"/>
  <c r="H86"/>
  <c r="H84"/>
  <c r="H82"/>
  <c r="C11" i="14"/>
  <c r="A2" i="27"/>
  <c r="G1" i="28"/>
  <c r="G29" i="12" l="1"/>
  <c r="N29"/>
  <c r="L29"/>
  <c r="J29"/>
  <c r="I11" i="31"/>
  <c r="X53"/>
  <c r="H55"/>
  <c r="H52"/>
  <c r="H53"/>
  <c r="M50" i="2"/>
  <c r="P52" i="31"/>
  <c r="X54"/>
  <c r="C12" i="14"/>
  <c r="C13"/>
  <c r="B92" i="9"/>
  <c r="N16" i="29"/>
  <c r="K14"/>
  <c r="M14" s="1"/>
  <c r="K13"/>
  <c r="M13" s="1"/>
  <c r="K12"/>
  <c r="M12" s="1"/>
  <c r="K11"/>
  <c r="K28"/>
  <c r="K10"/>
  <c r="M10" s="1"/>
  <c r="K27"/>
  <c r="M27" s="1"/>
  <c r="K9"/>
  <c r="C26"/>
  <c r="E26" s="1"/>
  <c r="K26"/>
  <c r="M26" s="1"/>
  <c r="K8"/>
  <c r="M8" s="1"/>
  <c r="C25"/>
  <c r="E25" s="1"/>
  <c r="K25"/>
  <c r="M25" s="1"/>
  <c r="K7"/>
  <c r="M7" s="1"/>
  <c r="C24"/>
  <c r="E24" s="1"/>
  <c r="K24"/>
  <c r="M24" s="1"/>
  <c r="K6"/>
  <c r="M6" s="1"/>
  <c r="C23"/>
  <c r="E23" s="1"/>
  <c r="K23"/>
  <c r="M23" s="1"/>
  <c r="K5"/>
  <c r="M5" s="1"/>
  <c r="C22"/>
  <c r="E22" s="1"/>
  <c r="B18"/>
  <c r="F31" s="1"/>
  <c r="B2"/>
  <c r="A2"/>
  <c r="AF8" i="2"/>
  <c r="AH112" i="31" s="1"/>
  <c r="AJ112" s="1"/>
  <c r="AF10" i="2"/>
  <c r="AH114" i="31" s="1"/>
  <c r="AJ114" s="1"/>
  <c r="AF5" i="2"/>
  <c r="AF11"/>
  <c r="AH115" i="31" s="1"/>
  <c r="AJ115" s="1"/>
  <c r="AF13" i="2"/>
  <c r="AH117" i="31" s="1"/>
  <c r="AJ117" s="1"/>
  <c r="AF12" i="2"/>
  <c r="AH116" i="31" s="1"/>
  <c r="AJ116" s="1"/>
  <c r="AF14" i="2"/>
  <c r="AH118" i="31" s="1"/>
  <c r="AJ118" s="1"/>
  <c r="AF15" i="2"/>
  <c r="AH119" i="31" l="1"/>
  <c r="AJ119" s="1"/>
  <c r="K191" i="9"/>
  <c r="H54" i="31"/>
  <c r="H56"/>
  <c r="M28" i="29"/>
  <c r="M51" i="2"/>
  <c r="M89" s="1"/>
  <c r="P53" i="31"/>
  <c r="X55"/>
  <c r="F32" i="29"/>
  <c r="L5"/>
  <c r="L23"/>
  <c r="D23"/>
  <c r="L7"/>
  <c r="L25"/>
  <c r="D25"/>
  <c r="L27"/>
  <c r="L12"/>
  <c r="L13"/>
  <c r="N30"/>
  <c r="D22"/>
  <c r="L6"/>
  <c r="L24"/>
  <c r="D24"/>
  <c r="L8"/>
  <c r="L26"/>
  <c r="D26"/>
  <c r="M9"/>
  <c r="L10"/>
  <c r="L28"/>
  <c r="M11"/>
  <c r="L14"/>
  <c r="L9"/>
  <c r="L11"/>
  <c r="D29" i="28"/>
  <c r="G29" s="1"/>
  <c r="C29"/>
  <c r="Z3" i="2"/>
  <c r="Y5"/>
  <c r="P3" i="3"/>
  <c r="Q3"/>
  <c r="R3"/>
  <c r="S3"/>
  <c r="T3"/>
  <c r="U3"/>
  <c r="V3"/>
  <c r="W3"/>
  <c r="X3"/>
  <c r="Y3"/>
  <c r="Z3"/>
  <c r="AA3"/>
  <c r="P4"/>
  <c r="Q4"/>
  <c r="R4"/>
  <c r="S4"/>
  <c r="T4"/>
  <c r="U4"/>
  <c r="V4"/>
  <c r="W4"/>
  <c r="X4"/>
  <c r="Y4"/>
  <c r="Z4"/>
  <c r="AA4"/>
  <c r="P5"/>
  <c r="Q5"/>
  <c r="R5"/>
  <c r="S5"/>
  <c r="T5"/>
  <c r="U5"/>
  <c r="V5"/>
  <c r="W5"/>
  <c r="X5"/>
  <c r="Y5"/>
  <c r="Z5"/>
  <c r="AA5"/>
  <c r="P6"/>
  <c r="Q6"/>
  <c r="R6"/>
  <c r="S6"/>
  <c r="T6"/>
  <c r="U6"/>
  <c r="V6"/>
  <c r="W6"/>
  <c r="X6"/>
  <c r="Y6"/>
  <c r="Z6"/>
  <c r="AA6"/>
  <c r="P7"/>
  <c r="Q7"/>
  <c r="R7"/>
  <c r="S7"/>
  <c r="T7"/>
  <c r="U7"/>
  <c r="V7"/>
  <c r="W7"/>
  <c r="X7"/>
  <c r="Y7"/>
  <c r="Z7"/>
  <c r="AA7"/>
  <c r="P8"/>
  <c r="Q8"/>
  <c r="R8"/>
  <c r="S8"/>
  <c r="T8"/>
  <c r="U8"/>
  <c r="V8"/>
  <c r="W8"/>
  <c r="X8"/>
  <c r="Y8"/>
  <c r="Z8"/>
  <c r="AA8"/>
  <c r="P9"/>
  <c r="Q9"/>
  <c r="R9"/>
  <c r="S9"/>
  <c r="T9"/>
  <c r="U9"/>
  <c r="V9"/>
  <c r="W9"/>
  <c r="X9"/>
  <c r="Y9"/>
  <c r="Z9"/>
  <c r="AA9"/>
  <c r="P10"/>
  <c r="Q10"/>
  <c r="R10"/>
  <c r="S10"/>
  <c r="T10"/>
  <c r="U10"/>
  <c r="V10"/>
  <c r="W10"/>
  <c r="X10"/>
  <c r="Y10"/>
  <c r="Z10"/>
  <c r="AA10"/>
  <c r="P11"/>
  <c r="Q11"/>
  <c r="R11"/>
  <c r="S11"/>
  <c r="T11"/>
  <c r="U11"/>
  <c r="V11"/>
  <c r="W11"/>
  <c r="X11"/>
  <c r="Y11"/>
  <c r="Z11"/>
  <c r="AA11"/>
  <c r="P12"/>
  <c r="Q12"/>
  <c r="R12"/>
  <c r="S12"/>
  <c r="T12"/>
  <c r="U12"/>
  <c r="V12"/>
  <c r="W12"/>
  <c r="X12"/>
  <c r="Y12"/>
  <c r="Z12"/>
  <c r="AA12"/>
  <c r="P13"/>
  <c r="Q13"/>
  <c r="R13"/>
  <c r="S13"/>
  <c r="T13"/>
  <c r="U13"/>
  <c r="V13"/>
  <c r="W13"/>
  <c r="X13"/>
  <c r="Y13"/>
  <c r="Z13"/>
  <c r="AA13"/>
  <c r="P18"/>
  <c r="Q18"/>
  <c r="R18"/>
  <c r="S18"/>
  <c r="T18"/>
  <c r="U18"/>
  <c r="V18"/>
  <c r="W18"/>
  <c r="X18"/>
  <c r="Y18"/>
  <c r="P19"/>
  <c r="Q19"/>
  <c r="R19"/>
  <c r="S19"/>
  <c r="T19"/>
  <c r="U19"/>
  <c r="V19"/>
  <c r="W19"/>
  <c r="X19"/>
  <c r="Y19"/>
  <c r="P20"/>
  <c r="Q20"/>
  <c r="R20"/>
  <c r="S20"/>
  <c r="T20"/>
  <c r="U20"/>
  <c r="V20"/>
  <c r="W20"/>
  <c r="X20"/>
  <c r="Y20"/>
  <c r="P21"/>
  <c r="Q21"/>
  <c r="R21"/>
  <c r="S21"/>
  <c r="T21"/>
  <c r="U21"/>
  <c r="V21"/>
  <c r="W21"/>
  <c r="X21"/>
  <c r="Y21"/>
  <c r="P22"/>
  <c r="Q22"/>
  <c r="R22"/>
  <c r="S22"/>
  <c r="T22"/>
  <c r="U22"/>
  <c r="V22"/>
  <c r="W22"/>
  <c r="X22"/>
  <c r="Y22"/>
  <c r="P23"/>
  <c r="Q23"/>
  <c r="R23"/>
  <c r="S23"/>
  <c r="T23"/>
  <c r="U23"/>
  <c r="V23"/>
  <c r="W23"/>
  <c r="X23"/>
  <c r="Y23"/>
  <c r="P24"/>
  <c r="Q24"/>
  <c r="R24"/>
  <c r="S24"/>
  <c r="T24"/>
  <c r="U24"/>
  <c r="V24"/>
  <c r="W24"/>
  <c r="X24"/>
  <c r="Y24"/>
  <c r="P25"/>
  <c r="Q25"/>
  <c r="R25"/>
  <c r="S25"/>
  <c r="T25"/>
  <c r="U25"/>
  <c r="V25"/>
  <c r="W25"/>
  <c r="X25"/>
  <c r="Y25"/>
  <c r="P26"/>
  <c r="Q26"/>
  <c r="R26"/>
  <c r="S26"/>
  <c r="T26"/>
  <c r="U26"/>
  <c r="V26"/>
  <c r="W26"/>
  <c r="X26"/>
  <c r="Y26"/>
  <c r="P27"/>
  <c r="Q27"/>
  <c r="R27"/>
  <c r="S27"/>
  <c r="T27"/>
  <c r="U27"/>
  <c r="V27"/>
  <c r="W27"/>
  <c r="X27"/>
  <c r="Y27"/>
  <c r="P28"/>
  <c r="Q28"/>
  <c r="R28"/>
  <c r="S28"/>
  <c r="T28"/>
  <c r="U28"/>
  <c r="V28"/>
  <c r="W28"/>
  <c r="X28"/>
  <c r="Y28"/>
  <c r="AB33"/>
  <c r="AC33"/>
  <c r="AD33"/>
  <c r="AE33"/>
  <c r="AF33"/>
  <c r="AG33"/>
  <c r="AH33"/>
  <c r="AI33"/>
  <c r="AJ33"/>
  <c r="AK33"/>
  <c r="AL33"/>
  <c r="AM33"/>
  <c r="AN33"/>
  <c r="AO33"/>
  <c r="AP33"/>
  <c r="AQ33"/>
  <c r="AR33"/>
  <c r="AS33"/>
  <c r="AT33"/>
  <c r="AU33"/>
  <c r="P48"/>
  <c r="Q48"/>
  <c r="R48"/>
  <c r="S48"/>
  <c r="T48"/>
  <c r="U48"/>
  <c r="V48"/>
  <c r="W48"/>
  <c r="X48"/>
  <c r="Y48"/>
  <c r="Z48"/>
  <c r="AA48"/>
  <c r="AB34"/>
  <c r="AC34"/>
  <c r="AD34"/>
  <c r="AE34"/>
  <c r="AF34"/>
  <c r="AG34"/>
  <c r="AH34"/>
  <c r="AI34"/>
  <c r="AJ34"/>
  <c r="AK34"/>
  <c r="AL34"/>
  <c r="AM34"/>
  <c r="AN34"/>
  <c r="AO34"/>
  <c r="AP34"/>
  <c r="AQ34"/>
  <c r="AR34"/>
  <c r="AS34"/>
  <c r="AT34"/>
  <c r="P49"/>
  <c r="Q49"/>
  <c r="R49"/>
  <c r="S49"/>
  <c r="T49"/>
  <c r="U49"/>
  <c r="V49"/>
  <c r="W49"/>
  <c r="X49"/>
  <c r="Y49"/>
  <c r="Z49"/>
  <c r="AA49"/>
  <c r="AB35"/>
  <c r="AC35"/>
  <c r="AD35"/>
  <c r="AE35"/>
  <c r="AF35"/>
  <c r="AG35"/>
  <c r="AH35"/>
  <c r="AI35"/>
  <c r="AJ35"/>
  <c r="AK35"/>
  <c r="AL35"/>
  <c r="AM35"/>
  <c r="AN35"/>
  <c r="AO35"/>
  <c r="AP35"/>
  <c r="AQ35"/>
  <c r="AR35"/>
  <c r="AS35"/>
  <c r="AT35"/>
  <c r="AU35"/>
  <c r="P50"/>
  <c r="Q50"/>
  <c r="R50"/>
  <c r="S50"/>
  <c r="T50"/>
  <c r="U50"/>
  <c r="V50"/>
  <c r="W50"/>
  <c r="X50"/>
  <c r="Y50"/>
  <c r="Z50"/>
  <c r="AA50"/>
  <c r="AB36"/>
  <c r="AC36"/>
  <c r="AD36"/>
  <c r="AE36"/>
  <c r="AF36"/>
  <c r="AG36"/>
  <c r="AH36"/>
  <c r="AI36"/>
  <c r="AJ36"/>
  <c r="AK36"/>
  <c r="AL36"/>
  <c r="AM36"/>
  <c r="AN36"/>
  <c r="AO36"/>
  <c r="AP36"/>
  <c r="AQ36"/>
  <c r="AR36"/>
  <c r="AS36"/>
  <c r="AT36"/>
  <c r="AU36"/>
  <c r="P51"/>
  <c r="Q51"/>
  <c r="R51"/>
  <c r="S51"/>
  <c r="T51"/>
  <c r="U51"/>
  <c r="V51"/>
  <c r="W51"/>
  <c r="X51"/>
  <c r="Y51"/>
  <c r="Z51"/>
  <c r="AA51"/>
  <c r="AB37"/>
  <c r="AC37"/>
  <c r="AD37"/>
  <c r="AE37"/>
  <c r="AF37"/>
  <c r="AG37"/>
  <c r="AH37"/>
  <c r="AI37"/>
  <c r="AJ37"/>
  <c r="AK37"/>
  <c r="AL37"/>
  <c r="AM37"/>
  <c r="AN37"/>
  <c r="AO37"/>
  <c r="AP37"/>
  <c r="AQ37"/>
  <c r="AR37"/>
  <c r="AS37"/>
  <c r="AT37"/>
  <c r="AU37"/>
  <c r="P52"/>
  <c r="Q52"/>
  <c r="R52"/>
  <c r="S52"/>
  <c r="T52"/>
  <c r="U52"/>
  <c r="V52"/>
  <c r="W52"/>
  <c r="X52"/>
  <c r="Y52"/>
  <c r="Z52"/>
  <c r="AA52"/>
  <c r="AB38"/>
  <c r="AC38"/>
  <c r="AD38"/>
  <c r="AE38"/>
  <c r="AF38"/>
  <c r="AG38"/>
  <c r="AH38"/>
  <c r="AI38"/>
  <c r="AJ38"/>
  <c r="AK38"/>
  <c r="AL38"/>
  <c r="AM38"/>
  <c r="AN38"/>
  <c r="AO38"/>
  <c r="AP38"/>
  <c r="AQ38"/>
  <c r="AR38"/>
  <c r="AS38"/>
  <c r="AT38"/>
  <c r="AU38"/>
  <c r="P53"/>
  <c r="Q53"/>
  <c r="R53"/>
  <c r="S53"/>
  <c r="T53"/>
  <c r="U53"/>
  <c r="V53"/>
  <c r="W53"/>
  <c r="X53"/>
  <c r="Y53"/>
  <c r="Z53"/>
  <c r="AA53"/>
  <c r="AB39"/>
  <c r="AC39"/>
  <c r="AD39"/>
  <c r="AE39"/>
  <c r="AF39"/>
  <c r="AG39"/>
  <c r="AH39"/>
  <c r="AI39"/>
  <c r="AJ39"/>
  <c r="AK39"/>
  <c r="AL39"/>
  <c r="AM39"/>
  <c r="AN39"/>
  <c r="AO39"/>
  <c r="AP39"/>
  <c r="AQ39"/>
  <c r="AR39"/>
  <c r="AS39"/>
  <c r="AT39"/>
  <c r="AU39"/>
  <c r="P54"/>
  <c r="Q54"/>
  <c r="R54"/>
  <c r="S54"/>
  <c r="T54"/>
  <c r="U54"/>
  <c r="V54"/>
  <c r="W54"/>
  <c r="X54"/>
  <c r="Y54"/>
  <c r="Z54"/>
  <c r="AA54"/>
  <c r="AB40"/>
  <c r="AC40"/>
  <c r="AD40"/>
  <c r="AE40"/>
  <c r="AF40"/>
  <c r="AG40"/>
  <c r="AH40"/>
  <c r="AI40"/>
  <c r="AJ40"/>
  <c r="AK40"/>
  <c r="AL40"/>
  <c r="AM40"/>
  <c r="AN40"/>
  <c r="AO40"/>
  <c r="AP40"/>
  <c r="AQ40"/>
  <c r="AR40"/>
  <c r="AS40"/>
  <c r="AT40"/>
  <c r="AU40"/>
  <c r="P55"/>
  <c r="Q55"/>
  <c r="R55"/>
  <c r="S55"/>
  <c r="T55"/>
  <c r="U55"/>
  <c r="V55"/>
  <c r="W55"/>
  <c r="X55"/>
  <c r="Y55"/>
  <c r="Z55"/>
  <c r="AA55"/>
  <c r="AB41"/>
  <c r="AC41"/>
  <c r="AD41"/>
  <c r="AE41"/>
  <c r="AF41"/>
  <c r="AG41"/>
  <c r="AH41"/>
  <c r="AI41"/>
  <c r="AJ41"/>
  <c r="AK41"/>
  <c r="AL41"/>
  <c r="AM41"/>
  <c r="AN41"/>
  <c r="AO41"/>
  <c r="AP41"/>
  <c r="AQ41"/>
  <c r="AR41"/>
  <c r="AS41"/>
  <c r="AT41"/>
  <c r="AU41"/>
  <c r="P56"/>
  <c r="Q56"/>
  <c r="R56"/>
  <c r="S56"/>
  <c r="T56"/>
  <c r="U56"/>
  <c r="V56"/>
  <c r="W56"/>
  <c r="X56"/>
  <c r="Y56"/>
  <c r="Z56"/>
  <c r="AA56"/>
  <c r="AB42"/>
  <c r="AC42"/>
  <c r="AD42"/>
  <c r="AE42"/>
  <c r="AF42"/>
  <c r="AG42"/>
  <c r="AH42"/>
  <c r="AI42"/>
  <c r="AJ42"/>
  <c r="AK42"/>
  <c r="AL42"/>
  <c r="AM42"/>
  <c r="AN42"/>
  <c r="AO42"/>
  <c r="AP42"/>
  <c r="AQ42"/>
  <c r="AR42"/>
  <c r="AS42"/>
  <c r="AT42"/>
  <c r="AU42"/>
  <c r="P57"/>
  <c r="Q57"/>
  <c r="R57"/>
  <c r="S57"/>
  <c r="T57"/>
  <c r="U57"/>
  <c r="V57"/>
  <c r="W57"/>
  <c r="X57"/>
  <c r="Y57"/>
  <c r="Z57"/>
  <c r="AA57"/>
  <c r="AB43"/>
  <c r="AC43"/>
  <c r="AD43"/>
  <c r="AE43"/>
  <c r="AF43"/>
  <c r="AG43"/>
  <c r="AH43"/>
  <c r="AI43"/>
  <c r="AJ43"/>
  <c r="AK43"/>
  <c r="AL43"/>
  <c r="AM43"/>
  <c r="AN43"/>
  <c r="AO43"/>
  <c r="AP43"/>
  <c r="AQ43"/>
  <c r="AR43"/>
  <c r="AS43"/>
  <c r="AT43"/>
  <c r="AU43"/>
  <c r="P58"/>
  <c r="Q58"/>
  <c r="R58"/>
  <c r="S58"/>
  <c r="T58"/>
  <c r="U58"/>
  <c r="V58"/>
  <c r="W58"/>
  <c r="X58"/>
  <c r="Y58"/>
  <c r="Z58"/>
  <c r="AA58"/>
  <c r="H63"/>
  <c r="I63"/>
  <c r="J63"/>
  <c r="K63"/>
  <c r="H64"/>
  <c r="I64"/>
  <c r="J64"/>
  <c r="K64"/>
  <c r="H65"/>
  <c r="I65"/>
  <c r="J65"/>
  <c r="K65"/>
  <c r="H66"/>
  <c r="I66"/>
  <c r="J66"/>
  <c r="K66"/>
  <c r="H67"/>
  <c r="I67"/>
  <c r="J67"/>
  <c r="K67"/>
  <c r="H68"/>
  <c r="I68"/>
  <c r="J68"/>
  <c r="K68"/>
  <c r="H69"/>
  <c r="I69"/>
  <c r="J69"/>
  <c r="K69"/>
  <c r="H70"/>
  <c r="I70"/>
  <c r="J70"/>
  <c r="K70"/>
  <c r="H71"/>
  <c r="I71"/>
  <c r="J71"/>
  <c r="K71"/>
  <c r="H72"/>
  <c r="I72"/>
  <c r="J72"/>
  <c r="K72"/>
  <c r="H73"/>
  <c r="I73"/>
  <c r="J73"/>
  <c r="K73"/>
  <c r="H57" i="31" l="1"/>
  <c r="F30" i="29"/>
  <c r="P54" i="31"/>
  <c r="X56"/>
  <c r="N15" i="29"/>
  <c r="N17"/>
  <c r="N29"/>
  <c r="A4" i="20"/>
  <c r="A5"/>
  <c r="A6"/>
  <c r="A7"/>
  <c r="A8"/>
  <c r="A9"/>
  <c r="A10"/>
  <c r="A11"/>
  <c r="A12"/>
  <c r="A13"/>
  <c r="A14"/>
  <c r="A15"/>
  <c r="A16"/>
  <c r="A17"/>
  <c r="A18"/>
  <c r="A19"/>
  <c r="A20"/>
  <c r="A3"/>
  <c r="C14" i="14"/>
  <c r="D7" i="29" l="1"/>
  <c r="B13" s="1"/>
  <c r="K8" i="19"/>
  <c r="H58" i="31"/>
  <c r="D5" i="29"/>
  <c r="B11" s="1"/>
  <c r="P55" i="31"/>
  <c r="X57"/>
  <c r="X58"/>
  <c r="D6" i="29"/>
  <c r="B12" s="1"/>
  <c r="K141" i="9"/>
  <c r="K142"/>
  <c r="K143"/>
  <c r="K144"/>
  <c r="K145"/>
  <c r="K140"/>
  <c r="C15" i="14"/>
  <c r="H59" i="31" l="1"/>
  <c r="P56"/>
  <c r="T5" i="2"/>
  <c r="T87" s="1"/>
  <c r="U5"/>
  <c r="T46"/>
  <c r="T3"/>
  <c r="H60" i="31" l="1"/>
  <c r="P58"/>
  <c r="P57"/>
  <c r="T4" i="2"/>
  <c r="T58"/>
  <c r="T62"/>
  <c r="T66"/>
  <c r="T70"/>
  <c r="T74"/>
  <c r="T78"/>
  <c r="T82"/>
  <c r="T86"/>
  <c r="T56"/>
  <c r="T60"/>
  <c r="T64"/>
  <c r="T68"/>
  <c r="T72"/>
  <c r="T76"/>
  <c r="T80"/>
  <c r="T84"/>
  <c r="T88"/>
  <c r="T49"/>
  <c r="T57"/>
  <c r="T59"/>
  <c r="T61"/>
  <c r="T63"/>
  <c r="T65"/>
  <c r="T67"/>
  <c r="T69"/>
  <c r="T71"/>
  <c r="T73"/>
  <c r="T75"/>
  <c r="T77"/>
  <c r="T79"/>
  <c r="T81"/>
  <c r="T83"/>
  <c r="T85"/>
  <c r="H61" i="31" l="1"/>
  <c r="T50" i="2"/>
  <c r="T51" s="1"/>
  <c r="T52" s="1"/>
  <c r="T53" s="1"/>
  <c r="T54" s="1"/>
  <c r="T55" s="1"/>
  <c r="B115" i="9"/>
  <c r="B114"/>
  <c r="B110"/>
  <c r="B112"/>
  <c r="H63" i="31" l="1"/>
  <c r="H62"/>
  <c r="T89" i="2"/>
  <c r="I9" i="31" l="1"/>
  <c r="AF6" i="2"/>
  <c r="AH110" i="31" s="1"/>
  <c r="AJ110" s="1"/>
  <c r="AF7" i="2" l="1"/>
  <c r="AH111" i="31" s="1"/>
  <c r="AJ111" s="1"/>
  <c r="AF9" i="2"/>
  <c r="AH113" i="31" s="1"/>
  <c r="AJ113" s="1"/>
  <c r="I8" l="1"/>
  <c r="K5" s="1"/>
  <c r="I7" i="28"/>
  <c r="I33" l="1"/>
  <c r="I66"/>
  <c r="I45"/>
  <c r="I46"/>
  <c r="I43"/>
  <c r="I44"/>
  <c r="I21"/>
  <c r="I15"/>
  <c r="I22"/>
  <c r="I28"/>
  <c r="I29"/>
  <c r="I34"/>
  <c r="I37"/>
  <c r="I63"/>
  <c r="I67"/>
  <c r="J7"/>
  <c r="J33" l="1"/>
  <c r="J66"/>
  <c r="J45"/>
  <c r="J46"/>
  <c r="J43"/>
  <c r="J44"/>
  <c r="J21"/>
  <c r="J15"/>
  <c r="J22"/>
  <c r="J28"/>
  <c r="J29"/>
  <c r="J34"/>
  <c r="J37"/>
  <c r="J63"/>
  <c r="J67"/>
  <c r="J8"/>
  <c r="I47" i="2" a="1"/>
  <c r="I47" s="1"/>
  <c r="B17" i="18" l="1"/>
  <c r="C17"/>
  <c r="D17"/>
  <c r="B6"/>
  <c r="D62" i="28"/>
  <c r="C62"/>
  <c r="D61"/>
  <c r="C61"/>
  <c r="C17" i="14"/>
  <c r="C16"/>
  <c r="B18" i="9"/>
  <c r="K17"/>
  <c r="K18"/>
  <c r="I61" i="28" l="1"/>
  <c r="J61"/>
  <c r="I62"/>
  <c r="J62"/>
  <c r="K166" i="9"/>
  <c r="K167"/>
  <c r="K165"/>
  <c r="B167" l="1"/>
  <c r="K314" l="1"/>
  <c r="K315"/>
  <c r="K316"/>
  <c r="K317"/>
  <c r="B324"/>
  <c r="K323"/>
  <c r="K324"/>
  <c r="B316"/>
  <c r="B317"/>
  <c r="B318"/>
  <c r="K305"/>
  <c r="K306"/>
  <c r="K307"/>
  <c r="K308"/>
  <c r="B305"/>
  <c r="B306"/>
  <c r="B307"/>
  <c r="B308"/>
  <c r="B309"/>
  <c r="K234" l="1"/>
  <c r="K233"/>
  <c r="K232"/>
  <c r="K231"/>
  <c r="K230"/>
  <c r="K244"/>
  <c r="K243"/>
  <c r="K242"/>
  <c r="K241"/>
  <c r="K240"/>
  <c r="K252"/>
  <c r="K251"/>
  <c r="K250"/>
  <c r="K259"/>
  <c r="K258"/>
  <c r="B277"/>
  <c r="B276"/>
  <c r="B275"/>
  <c r="B274"/>
  <c r="B273"/>
  <c r="B241"/>
  <c r="B242"/>
  <c r="B243"/>
  <c r="B244"/>
  <c r="B245"/>
  <c r="B246"/>
  <c r="B230"/>
  <c r="B231"/>
  <c r="B232"/>
  <c r="B233"/>
  <c r="B234"/>
  <c r="B235"/>
  <c r="B211"/>
  <c r="B212"/>
  <c r="B213"/>
  <c r="B214"/>
  <c r="K210"/>
  <c r="K211"/>
  <c r="K212"/>
  <c r="K213"/>
  <c r="K200"/>
  <c r="K201"/>
  <c r="K202"/>
  <c r="K203"/>
  <c r="K204"/>
  <c r="B220"/>
  <c r="B221"/>
  <c r="B200"/>
  <c r="B201"/>
  <c r="B202"/>
  <c r="B203"/>
  <c r="B204"/>
  <c r="K183"/>
  <c r="K184"/>
  <c r="K185"/>
  <c r="K186"/>
  <c r="K187"/>
  <c r="K188"/>
  <c r="K189"/>
  <c r="K190"/>
  <c r="B187"/>
  <c r="B186"/>
  <c r="B185"/>
  <c r="B184"/>
  <c r="B183"/>
  <c r="K134"/>
  <c r="K135"/>
  <c r="K126"/>
  <c r="K127"/>
  <c r="K128"/>
  <c r="K114"/>
  <c r="K115"/>
  <c r="K116"/>
  <c r="K117"/>
  <c r="K118"/>
  <c r="K119"/>
  <c r="K120"/>
  <c r="K101"/>
  <c r="K102"/>
  <c r="K103"/>
  <c r="K104"/>
  <c r="K105"/>
  <c r="K106"/>
  <c r="K107"/>
  <c r="K89"/>
  <c r="K90"/>
  <c r="K91"/>
  <c r="K92"/>
  <c r="K93"/>
  <c r="K94"/>
  <c r="K95"/>
  <c r="B138"/>
  <c r="B139"/>
  <c r="B140"/>
  <c r="B141"/>
  <c r="B142"/>
  <c r="B143"/>
  <c r="B144"/>
  <c r="B121"/>
  <c r="B122"/>
  <c r="B123"/>
  <c r="B124"/>
  <c r="B125"/>
  <c r="B126"/>
  <c r="B127"/>
  <c r="B128"/>
  <c r="B129"/>
  <c r="B130"/>
  <c r="B131"/>
  <c r="B132"/>
  <c r="B104"/>
  <c r="B105"/>
  <c r="B106"/>
  <c r="B107"/>
  <c r="B108"/>
  <c r="B109"/>
  <c r="B111"/>
  <c r="B113"/>
  <c r="K53"/>
  <c r="K54"/>
  <c r="K55"/>
  <c r="K56"/>
  <c r="K57"/>
  <c r="K58"/>
  <c r="K59"/>
  <c r="B77"/>
  <c r="B78"/>
  <c r="B79"/>
  <c r="B80"/>
  <c r="K66"/>
  <c r="K67"/>
  <c r="K68"/>
  <c r="K69"/>
  <c r="K70"/>
  <c r="K71"/>
  <c r="K72"/>
  <c r="B67"/>
  <c r="B68"/>
  <c r="B69"/>
  <c r="B70"/>
  <c r="B71"/>
  <c r="B53"/>
  <c r="B54"/>
  <c r="B55"/>
  <c r="B56"/>
  <c r="B57"/>
  <c r="B58"/>
  <c r="B59"/>
  <c r="B60"/>
  <c r="B61"/>
  <c r="K24"/>
  <c r="K25"/>
  <c r="K26"/>
  <c r="K27"/>
  <c r="K28"/>
  <c r="K29"/>
  <c r="K30"/>
  <c r="K31"/>
  <c r="K32"/>
  <c r="K33"/>
  <c r="K8"/>
  <c r="K9"/>
  <c r="K10"/>
  <c r="K11"/>
  <c r="K12"/>
  <c r="K13"/>
  <c r="K14"/>
  <c r="K15"/>
  <c r="K16"/>
  <c r="K40"/>
  <c r="K41"/>
  <c r="K42"/>
  <c r="K43"/>
  <c r="K44"/>
  <c r="B24"/>
  <c r="B25"/>
  <c r="B26"/>
  <c r="B27"/>
  <c r="B28"/>
  <c r="B29"/>
  <c r="B30"/>
  <c r="B31"/>
  <c r="B32"/>
  <c r="B33"/>
  <c r="B40"/>
  <c r="B41"/>
  <c r="B42"/>
  <c r="B43"/>
  <c r="B44"/>
  <c r="B8"/>
  <c r="B9"/>
  <c r="B10"/>
  <c r="B11"/>
  <c r="B12"/>
  <c r="B13"/>
  <c r="B14"/>
  <c r="B15"/>
  <c r="B16"/>
  <c r="B17"/>
  <c r="C19" i="14" l="1"/>
  <c r="C18"/>
  <c r="AO3" i="2" l="1"/>
  <c r="C20" i="14" l="1"/>
  <c r="C21" l="1"/>
  <c r="C22"/>
  <c r="C23"/>
  <c r="C24"/>
  <c r="AG3" i="2" l="1"/>
  <c r="C25" i="14" l="1"/>
  <c r="BD3" i="2" l="1"/>
  <c r="BC3"/>
  <c r="C26" i="14" l="1"/>
  <c r="C27" l="1"/>
  <c r="BB3" i="2" l="1"/>
  <c r="BA3"/>
  <c r="AZ3"/>
  <c r="AY3"/>
  <c r="AI3"/>
  <c r="AH3"/>
  <c r="AX3"/>
  <c r="AW3"/>
  <c r="AV3"/>
  <c r="AU3"/>
  <c r="AT3"/>
  <c r="AS3"/>
  <c r="AR3"/>
  <c r="AQ3"/>
  <c r="AP3"/>
  <c r="C28" i="14" l="1"/>
  <c r="L3" i="2" l="1"/>
  <c r="C29" i="14" l="1"/>
  <c r="C66" l="1"/>
  <c r="C65"/>
  <c r="C64"/>
  <c r="C63"/>
  <c r="C62"/>
  <c r="C61"/>
  <c r="C60"/>
  <c r="C59"/>
  <c r="C58"/>
  <c r="C57"/>
  <c r="C56"/>
  <c r="C55"/>
  <c r="C54"/>
  <c r="C53"/>
  <c r="C52"/>
  <c r="C51"/>
  <c r="C50"/>
  <c r="C49"/>
  <c r="C48"/>
  <c r="C47"/>
  <c r="C46"/>
  <c r="C45"/>
  <c r="C44"/>
  <c r="C43"/>
  <c r="C42"/>
  <c r="C41"/>
  <c r="C40"/>
  <c r="C39"/>
  <c r="C38"/>
  <c r="C37"/>
  <c r="C36"/>
  <c r="C35"/>
  <c r="C34"/>
  <c r="C33"/>
  <c r="C32"/>
  <c r="C31"/>
  <c r="C30"/>
  <c r="K322" i="9" l="1"/>
  <c r="AB5" i="2" l="1"/>
  <c r="AB3"/>
  <c r="Y3"/>
  <c r="AD3"/>
  <c r="AA3"/>
  <c r="P30" i="22" l="1"/>
  <c r="Q29"/>
  <c r="K29"/>
  <c r="L29" l="1"/>
  <c r="N29"/>
  <c r="M29"/>
  <c r="C73" i="28"/>
  <c r="D73"/>
  <c r="D72"/>
  <c r="C72"/>
  <c r="D71"/>
  <c r="C71"/>
  <c r="D70"/>
  <c r="C70"/>
  <c r="D69"/>
  <c r="C69"/>
  <c r="D68"/>
  <c r="C68"/>
  <c r="D60"/>
  <c r="C60"/>
  <c r="AA5" i="2"/>
  <c r="AD5"/>
  <c r="AC5"/>
  <c r="AC3"/>
  <c r="Z5"/>
  <c r="I73" i="28" l="1"/>
  <c r="J73"/>
  <c r="I60"/>
  <c r="J60"/>
  <c r="I68"/>
  <c r="J68"/>
  <c r="I69"/>
  <c r="J69"/>
  <c r="I70"/>
  <c r="J70"/>
  <c r="I71"/>
  <c r="J71"/>
  <c r="I72"/>
  <c r="J72"/>
  <c r="K158" i="9"/>
  <c r="K159"/>
  <c r="K160"/>
  <c r="K157"/>
  <c r="K173"/>
  <c r="K174"/>
  <c r="K172"/>
  <c r="B173" l="1"/>
  <c r="B174"/>
  <c r="B175"/>
  <c r="B172"/>
  <c r="B158" l="1"/>
  <c r="B159"/>
  <c r="B160"/>
  <c r="B161"/>
  <c r="B162"/>
  <c r="B157" l="1"/>
  <c r="K88" l="1"/>
  <c r="C59" i="28" l="1"/>
  <c r="G61" l="1"/>
  <c r="BD46" i="2" l="1"/>
  <c r="B137" i="9"/>
  <c r="BD4" i="2" l="1"/>
  <c r="D59" i="28" l="1"/>
  <c r="BA46" i="2"/>
  <c r="I59" i="28" l="1"/>
  <c r="J59"/>
  <c r="BA4" i="2"/>
  <c r="G59" i="28"/>
  <c r="G60"/>
  <c r="AD46" i="2" l="1"/>
  <c r="AD87"/>
  <c r="AD4" l="1"/>
  <c r="AD49" s="1"/>
  <c r="AD50" s="1"/>
  <c r="AD51" s="1"/>
  <c r="AD52"/>
  <c r="AD54"/>
  <c r="AD56"/>
  <c r="AD58"/>
  <c r="AD60"/>
  <c r="AD62"/>
  <c r="AD64"/>
  <c r="AD66"/>
  <c r="AD68"/>
  <c r="AD70"/>
  <c r="AD72"/>
  <c r="AD74"/>
  <c r="AD76"/>
  <c r="AD78"/>
  <c r="AD80"/>
  <c r="AD82"/>
  <c r="AD84"/>
  <c r="AD86"/>
  <c r="AD88"/>
  <c r="AD53"/>
  <c r="AD55"/>
  <c r="AD57"/>
  <c r="AD59"/>
  <c r="AD61"/>
  <c r="AD63"/>
  <c r="AD65"/>
  <c r="AD67"/>
  <c r="AD69"/>
  <c r="AD71"/>
  <c r="AD73"/>
  <c r="AD75"/>
  <c r="AD77"/>
  <c r="AD79"/>
  <c r="AD81"/>
  <c r="AD83"/>
  <c r="AD85"/>
  <c r="G73" i="28"/>
  <c r="R46" i="2"/>
  <c r="AC46"/>
  <c r="AC4" s="1"/>
  <c r="AB46"/>
  <c r="AA46"/>
  <c r="AC87"/>
  <c r="AB88"/>
  <c r="AA87"/>
  <c r="G68" i="28"/>
  <c r="AD89" i="2" l="1"/>
  <c r="G70" i="28"/>
  <c r="G69"/>
  <c r="G71"/>
  <c r="G72"/>
  <c r="AB4" i="2"/>
  <c r="AB49" s="1"/>
  <c r="AB50" s="1"/>
  <c r="AB51" s="1"/>
  <c r="AB52" s="1"/>
  <c r="AB53" s="1"/>
  <c r="AA4"/>
  <c r="AA49" s="1"/>
  <c r="AA50" s="1"/>
  <c r="AA51" s="1"/>
  <c r="AA52" s="1"/>
  <c r="AA53" s="1"/>
  <c r="AA54"/>
  <c r="AC54"/>
  <c r="AB55"/>
  <c r="AA56"/>
  <c r="AC56"/>
  <c r="AB57"/>
  <c r="AA58"/>
  <c r="AC58"/>
  <c r="AB59"/>
  <c r="AA60"/>
  <c r="AC60"/>
  <c r="AB61"/>
  <c r="AA62"/>
  <c r="AC62"/>
  <c r="AB63"/>
  <c r="AA64"/>
  <c r="AC64"/>
  <c r="AB65"/>
  <c r="AA66"/>
  <c r="AC66"/>
  <c r="AB67"/>
  <c r="AA68"/>
  <c r="AC68"/>
  <c r="AB69"/>
  <c r="AA70"/>
  <c r="AC70"/>
  <c r="AB71"/>
  <c r="AA72"/>
  <c r="AC72"/>
  <c r="AB73"/>
  <c r="AA74"/>
  <c r="AC74"/>
  <c r="AB75"/>
  <c r="AA76"/>
  <c r="AC76"/>
  <c r="AB77"/>
  <c r="AA78"/>
  <c r="AC78"/>
  <c r="AB79"/>
  <c r="AA80"/>
  <c r="AC80"/>
  <c r="AB81"/>
  <c r="AA82"/>
  <c r="AC82"/>
  <c r="AB83"/>
  <c r="AA84"/>
  <c r="AC84"/>
  <c r="AB85"/>
  <c r="AA86"/>
  <c r="AC86"/>
  <c r="AB87"/>
  <c r="AA88"/>
  <c r="AC88"/>
  <c r="AC49"/>
  <c r="AB54"/>
  <c r="AA55"/>
  <c r="AC55"/>
  <c r="AB56"/>
  <c r="AA57"/>
  <c r="AC57"/>
  <c r="AB58"/>
  <c r="AA59"/>
  <c r="AC59"/>
  <c r="AB60"/>
  <c r="AA61"/>
  <c r="AC61"/>
  <c r="AB62"/>
  <c r="AA63"/>
  <c r="AC63"/>
  <c r="AB64"/>
  <c r="AA65"/>
  <c r="AC65"/>
  <c r="AB66"/>
  <c r="AA67"/>
  <c r="AC67"/>
  <c r="AB68"/>
  <c r="AA69"/>
  <c r="AC69"/>
  <c r="AB70"/>
  <c r="AA71"/>
  <c r="AC71"/>
  <c r="AB72"/>
  <c r="AA73"/>
  <c r="AC73"/>
  <c r="AB74"/>
  <c r="AA75"/>
  <c r="AC75"/>
  <c r="AB76"/>
  <c r="AA77"/>
  <c r="AC77"/>
  <c r="AB78"/>
  <c r="AA79"/>
  <c r="AC79"/>
  <c r="AB80"/>
  <c r="AA81"/>
  <c r="AC81"/>
  <c r="AB82"/>
  <c r="AA83"/>
  <c r="AC83"/>
  <c r="AB84"/>
  <c r="AA85"/>
  <c r="AC85"/>
  <c r="AB86"/>
  <c r="Q46"/>
  <c r="R5"/>
  <c r="R88" s="1"/>
  <c r="Q5"/>
  <c r="Q88" s="1"/>
  <c r="R3"/>
  <c r="R4" s="1"/>
  <c r="Q3"/>
  <c r="Q4" l="1"/>
  <c r="Q49" s="1"/>
  <c r="Q50" s="1"/>
  <c r="Q51" s="1"/>
  <c r="Q52" s="1"/>
  <c r="Q53" s="1"/>
  <c r="Q54" s="1"/>
  <c r="Q55" s="1"/>
  <c r="Q56" s="1"/>
  <c r="AA89"/>
  <c r="AC50"/>
  <c r="AC51" s="1"/>
  <c r="AC52" s="1"/>
  <c r="AC53" s="1"/>
  <c r="AB89"/>
  <c r="Q57"/>
  <c r="Q58"/>
  <c r="Q59"/>
  <c r="Q60"/>
  <c r="Q61"/>
  <c r="Q62"/>
  <c r="Q63"/>
  <c r="Q64"/>
  <c r="Q65"/>
  <c r="Q66"/>
  <c r="Q67"/>
  <c r="Q68"/>
  <c r="Q69"/>
  <c r="Q70"/>
  <c r="Q71"/>
  <c r="Q72"/>
  <c r="Q73"/>
  <c r="Q74"/>
  <c r="Q75"/>
  <c r="Q76"/>
  <c r="Q77"/>
  <c r="Q78"/>
  <c r="Q79"/>
  <c r="Q80"/>
  <c r="Q81"/>
  <c r="Q82"/>
  <c r="Q83"/>
  <c r="Q84"/>
  <c r="Q85"/>
  <c r="Q86"/>
  <c r="Q87"/>
  <c r="R49"/>
  <c r="R57"/>
  <c r="R58"/>
  <c r="R59"/>
  <c r="R60"/>
  <c r="R61"/>
  <c r="R62"/>
  <c r="R63"/>
  <c r="R64"/>
  <c r="R65"/>
  <c r="R66"/>
  <c r="R67"/>
  <c r="R68"/>
  <c r="R69"/>
  <c r="R70"/>
  <c r="R71"/>
  <c r="R72"/>
  <c r="R73"/>
  <c r="R74"/>
  <c r="R75"/>
  <c r="R76"/>
  <c r="R77"/>
  <c r="R78"/>
  <c r="R79"/>
  <c r="R80"/>
  <c r="R81"/>
  <c r="R82"/>
  <c r="R83"/>
  <c r="R84"/>
  <c r="R85"/>
  <c r="R86"/>
  <c r="R87"/>
  <c r="Q24" i="22"/>
  <c r="Q25"/>
  <c r="AC89" i="2" l="1"/>
  <c r="R50"/>
  <c r="R51" s="1"/>
  <c r="R52" s="1"/>
  <c r="R53" s="1"/>
  <c r="R54" s="1"/>
  <c r="R55" s="1"/>
  <c r="R56" s="1"/>
  <c r="Q89"/>
  <c r="R89" l="1"/>
  <c r="B5" l="1"/>
  <c r="C9" i="28" l="1"/>
  <c r="K7" l="1"/>
  <c r="I2"/>
  <c r="K33" l="1"/>
  <c r="K66"/>
  <c r="K44"/>
  <c r="K45"/>
  <c r="K46"/>
  <c r="K43"/>
  <c r="K21"/>
  <c r="K15"/>
  <c r="K22"/>
  <c r="K28"/>
  <c r="K29"/>
  <c r="K34"/>
  <c r="K37"/>
  <c r="K59"/>
  <c r="K60"/>
  <c r="K61"/>
  <c r="K62"/>
  <c r="K8"/>
  <c r="K63"/>
  <c r="K67"/>
  <c r="K68"/>
  <c r="K69"/>
  <c r="K70"/>
  <c r="K71"/>
  <c r="K72"/>
  <c r="K73"/>
  <c r="L7"/>
  <c r="I8"/>
  <c r="L66" l="1"/>
  <c r="L33"/>
  <c r="L45"/>
  <c r="L46"/>
  <c r="L43"/>
  <c r="L44"/>
  <c r="L21"/>
  <c r="L15"/>
  <c r="L22"/>
  <c r="L28"/>
  <c r="L29"/>
  <c r="L34"/>
  <c r="L37"/>
  <c r="L59"/>
  <c r="L60"/>
  <c r="L61"/>
  <c r="L62"/>
  <c r="L63"/>
  <c r="L67"/>
  <c r="L68"/>
  <c r="L69"/>
  <c r="L70"/>
  <c r="L71"/>
  <c r="L72"/>
  <c r="L73"/>
  <c r="L8"/>
  <c r="M7"/>
  <c r="B343" i="9"/>
  <c r="M12" i="10"/>
  <c r="A2" i="9"/>
  <c r="Q26" i="22"/>
  <c r="Q27"/>
  <c r="Q28"/>
  <c r="S6"/>
  <c r="S7"/>
  <c r="S8"/>
  <c r="S9"/>
  <c r="S10"/>
  <c r="S11"/>
  <c r="S12"/>
  <c r="S13"/>
  <c r="S14"/>
  <c r="S5"/>
  <c r="M66" i="28" l="1"/>
  <c r="M33"/>
  <c r="D147" i="9"/>
  <c r="E147"/>
  <c r="C149" s="1"/>
  <c r="C150" s="1"/>
  <c r="V331"/>
  <c r="Y331" s="1"/>
  <c r="W331"/>
  <c r="U333" s="1"/>
  <c r="U334" s="1"/>
  <c r="U335" s="1"/>
  <c r="U336" s="1"/>
  <c r="U337" s="1"/>
  <c r="U338" s="1"/>
  <c r="U339" s="1"/>
  <c r="U340" s="1"/>
  <c r="U341" s="1"/>
  <c r="U342" s="1"/>
  <c r="U343" s="1"/>
  <c r="U344" s="1"/>
  <c r="U345" s="1"/>
  <c r="U346" s="1"/>
  <c r="U347" s="1"/>
  <c r="U348" s="1"/>
  <c r="U349" s="1"/>
  <c r="U350" s="1"/>
  <c r="U351" s="1"/>
  <c r="U352" s="1"/>
  <c r="U353" s="1"/>
  <c r="U354" s="1"/>
  <c r="U355" s="1"/>
  <c r="U356" s="1"/>
  <c r="U357" s="1"/>
  <c r="U358" s="1"/>
  <c r="U359" s="1"/>
  <c r="U360" s="1"/>
  <c r="U361" s="1"/>
  <c r="U362" s="1"/>
  <c r="U363" s="1"/>
  <c r="U364" s="1"/>
  <c r="U365" s="1"/>
  <c r="U366" s="1"/>
  <c r="U367" s="1"/>
  <c r="U368" s="1"/>
  <c r="U369" s="1"/>
  <c r="U370" s="1"/>
  <c r="U371" s="1"/>
  <c r="U372" s="1"/>
  <c r="D283"/>
  <c r="D291"/>
  <c r="G291" s="1"/>
  <c r="M283"/>
  <c r="P283" s="1"/>
  <c r="Q283" s="1"/>
  <c r="T18" i="16" s="1"/>
  <c r="M45" i="28"/>
  <c r="M46"/>
  <c r="M43"/>
  <c r="M44"/>
  <c r="M21"/>
  <c r="G283" i="9"/>
  <c r="N75"/>
  <c r="L77" s="1"/>
  <c r="L78" s="1"/>
  <c r="L79" s="1"/>
  <c r="M75"/>
  <c r="P75" s="1"/>
  <c r="M15" i="28"/>
  <c r="M22"/>
  <c r="M28"/>
  <c r="M29"/>
  <c r="M34"/>
  <c r="M37"/>
  <c r="M59"/>
  <c r="M60"/>
  <c r="M61"/>
  <c r="M62"/>
  <c r="M63"/>
  <c r="M67"/>
  <c r="M68"/>
  <c r="M69"/>
  <c r="M70"/>
  <c r="M71"/>
  <c r="M72"/>
  <c r="M73"/>
  <c r="M8"/>
  <c r="M138" i="9"/>
  <c r="P138" s="1"/>
  <c r="N138"/>
  <c r="E155"/>
  <c r="E165"/>
  <c r="C167" s="1"/>
  <c r="N163"/>
  <c r="L165" s="1"/>
  <c r="L166" s="1"/>
  <c r="L167" s="1"/>
  <c r="M163"/>
  <c r="P163" s="1"/>
  <c r="D165"/>
  <c r="G165" s="1"/>
  <c r="E180"/>
  <c r="C182" s="1"/>
  <c r="D180"/>
  <c r="N170"/>
  <c r="L172" s="1"/>
  <c r="L173" s="1"/>
  <c r="L174" s="1"/>
  <c r="M155"/>
  <c r="P155" s="1"/>
  <c r="N155"/>
  <c r="M170"/>
  <c r="P170" s="1"/>
  <c r="D170"/>
  <c r="G170" s="1"/>
  <c r="D155"/>
  <c r="G155" s="1"/>
  <c r="E170"/>
  <c r="C172" s="1"/>
  <c r="C173" s="1"/>
  <c r="C174" s="1"/>
  <c r="C175" s="1"/>
  <c r="E86"/>
  <c r="C88" s="1"/>
  <c r="D331"/>
  <c r="N7" i="28"/>
  <c r="E331" i="9"/>
  <c r="C333" s="1"/>
  <c r="BC46" i="2"/>
  <c r="K28" i="22"/>
  <c r="N33" i="28" l="1"/>
  <c r="N66"/>
  <c r="L140" i="9"/>
  <c r="L141" s="1"/>
  <c r="L142" s="1"/>
  <c r="L143" s="1"/>
  <c r="L144" s="1"/>
  <c r="L145" s="1"/>
  <c r="G147"/>
  <c r="H147" s="1"/>
  <c r="B27" i="16" s="1"/>
  <c r="W371" i="9"/>
  <c r="W369"/>
  <c r="W367"/>
  <c r="W365"/>
  <c r="W363"/>
  <c r="W361"/>
  <c r="W359"/>
  <c r="W357"/>
  <c r="W355"/>
  <c r="W353"/>
  <c r="W351"/>
  <c r="W349"/>
  <c r="W347"/>
  <c r="W345"/>
  <c r="W343"/>
  <c r="W341"/>
  <c r="W339"/>
  <c r="W337"/>
  <c r="W335"/>
  <c r="W333"/>
  <c r="W372"/>
  <c r="W370"/>
  <c r="W368"/>
  <c r="W366"/>
  <c r="W364"/>
  <c r="W362"/>
  <c r="W360"/>
  <c r="W358"/>
  <c r="W356"/>
  <c r="W354"/>
  <c r="W352"/>
  <c r="W350"/>
  <c r="W348"/>
  <c r="W346"/>
  <c r="W344"/>
  <c r="W342"/>
  <c r="W340"/>
  <c r="W338"/>
  <c r="W336"/>
  <c r="W334"/>
  <c r="Z331"/>
  <c r="T26" i="16" s="1"/>
  <c r="N45" i="28"/>
  <c r="N46"/>
  <c r="N43"/>
  <c r="N44"/>
  <c r="N21"/>
  <c r="H291" i="9"/>
  <c r="T19" i="16" s="1"/>
  <c r="H283" i="9"/>
  <c r="T17" i="16" s="1"/>
  <c r="Q75" i="9"/>
  <c r="H12" i="16" s="1"/>
  <c r="N15" i="28"/>
  <c r="N22"/>
  <c r="N28"/>
  <c r="N29"/>
  <c r="N34"/>
  <c r="N37"/>
  <c r="N59"/>
  <c r="N60"/>
  <c r="N61"/>
  <c r="N62"/>
  <c r="N63"/>
  <c r="N67"/>
  <c r="N68"/>
  <c r="N69"/>
  <c r="N70"/>
  <c r="N71"/>
  <c r="N72"/>
  <c r="N73"/>
  <c r="N8"/>
  <c r="Q163" i="9"/>
  <c r="N11" i="16" s="1"/>
  <c r="H165" i="9"/>
  <c r="N8" i="16" s="1"/>
  <c r="L157" i="9"/>
  <c r="L158" s="1"/>
  <c r="L159" s="1"/>
  <c r="L160" s="1"/>
  <c r="C157"/>
  <c r="C158" s="1"/>
  <c r="C159" s="1"/>
  <c r="C160" s="1"/>
  <c r="C161" s="1"/>
  <c r="C162" s="1"/>
  <c r="Q155"/>
  <c r="N10" i="16" s="1"/>
  <c r="Q170" i="9"/>
  <c r="N12" i="16" s="1"/>
  <c r="H170" i="9"/>
  <c r="N9" i="16" s="1"/>
  <c r="H155" i="9"/>
  <c r="N7" i="16" s="1"/>
  <c r="O7" i="28"/>
  <c r="N28" i="22"/>
  <c r="L28"/>
  <c r="M28"/>
  <c r="A2" i="28"/>
  <c r="O33" l="1"/>
  <c r="O66"/>
  <c r="E150" i="9"/>
  <c r="E149"/>
  <c r="X336"/>
  <c r="V336"/>
  <c r="Y336"/>
  <c r="X340"/>
  <c r="V340"/>
  <c r="Y340"/>
  <c r="X344"/>
  <c r="V344"/>
  <c r="Y344"/>
  <c r="X348"/>
  <c r="V348"/>
  <c r="Y348"/>
  <c r="X352"/>
  <c r="V352"/>
  <c r="Y352"/>
  <c r="X356"/>
  <c r="Z356" s="1"/>
  <c r="V356"/>
  <c r="Y356"/>
  <c r="AA356" s="1"/>
  <c r="X360"/>
  <c r="Z360" s="1"/>
  <c r="V360"/>
  <c r="Y360"/>
  <c r="AA360" s="1"/>
  <c r="X364"/>
  <c r="Z364" s="1"/>
  <c r="V364"/>
  <c r="Y364"/>
  <c r="AA364" s="1"/>
  <c r="X368"/>
  <c r="Z368" s="1"/>
  <c r="V368"/>
  <c r="Y368"/>
  <c r="AA368" s="1"/>
  <c r="X372"/>
  <c r="Z372" s="1"/>
  <c r="V372"/>
  <c r="Y372"/>
  <c r="AA372" s="1"/>
  <c r="X335"/>
  <c r="Y335"/>
  <c r="V335"/>
  <c r="X339"/>
  <c r="Y339"/>
  <c r="V339"/>
  <c r="X343"/>
  <c r="Y343"/>
  <c r="V343"/>
  <c r="X347"/>
  <c r="Y347"/>
  <c r="V347"/>
  <c r="X351"/>
  <c r="Y351"/>
  <c r="V351"/>
  <c r="X355"/>
  <c r="Z355" s="1"/>
  <c r="Y355"/>
  <c r="AA355" s="1"/>
  <c r="V355"/>
  <c r="X359"/>
  <c r="Z359" s="1"/>
  <c r="Y359"/>
  <c r="AA359" s="1"/>
  <c r="V359"/>
  <c r="X363"/>
  <c r="Z363" s="1"/>
  <c r="Y363"/>
  <c r="AA363" s="1"/>
  <c r="V363"/>
  <c r="X367"/>
  <c r="Z367" s="1"/>
  <c r="Y367"/>
  <c r="AA367" s="1"/>
  <c r="V367"/>
  <c r="X371"/>
  <c r="Z371" s="1"/>
  <c r="Y371"/>
  <c r="AA371" s="1"/>
  <c r="V371"/>
  <c r="X334"/>
  <c r="V334"/>
  <c r="Y334"/>
  <c r="X338"/>
  <c r="V338"/>
  <c r="Y338"/>
  <c r="X342"/>
  <c r="V342"/>
  <c r="Y342"/>
  <c r="X346"/>
  <c r="V346"/>
  <c r="Y346"/>
  <c r="X350"/>
  <c r="V350"/>
  <c r="Y350"/>
  <c r="X354"/>
  <c r="Z354" s="1"/>
  <c r="V354"/>
  <c r="Y354"/>
  <c r="AA354" s="1"/>
  <c r="X358"/>
  <c r="Z358" s="1"/>
  <c r="V358"/>
  <c r="Y358"/>
  <c r="AA358" s="1"/>
  <c r="X362"/>
  <c r="Z362" s="1"/>
  <c r="V362"/>
  <c r="Y362"/>
  <c r="AA362" s="1"/>
  <c r="X366"/>
  <c r="Z366" s="1"/>
  <c r="V366"/>
  <c r="Y366"/>
  <c r="AA366" s="1"/>
  <c r="X370"/>
  <c r="Z370" s="1"/>
  <c r="V370"/>
  <c r="Y370"/>
  <c r="AA370" s="1"/>
  <c r="V333"/>
  <c r="Y333"/>
  <c r="X333"/>
  <c r="X337"/>
  <c r="Y337"/>
  <c r="V337"/>
  <c r="X341"/>
  <c r="Y341"/>
  <c r="V341"/>
  <c r="X345"/>
  <c r="Y345"/>
  <c r="V345"/>
  <c r="X349"/>
  <c r="Y349"/>
  <c r="V349"/>
  <c r="X353"/>
  <c r="Z353" s="1"/>
  <c r="Y353"/>
  <c r="AA353" s="1"/>
  <c r="V353"/>
  <c r="X357"/>
  <c r="Z357" s="1"/>
  <c r="Y357"/>
  <c r="AA357" s="1"/>
  <c r="V357"/>
  <c r="X361"/>
  <c r="Z361" s="1"/>
  <c r="Y361"/>
  <c r="AA361" s="1"/>
  <c r="V361"/>
  <c r="X365"/>
  <c r="Z365" s="1"/>
  <c r="Y365"/>
  <c r="AA365" s="1"/>
  <c r="V365"/>
  <c r="X369"/>
  <c r="Z369" s="1"/>
  <c r="Y369"/>
  <c r="AA369" s="1"/>
  <c r="V369"/>
  <c r="T20" i="16"/>
  <c r="O44" i="28"/>
  <c r="O45"/>
  <c r="O46"/>
  <c r="O43"/>
  <c r="O21"/>
  <c r="O15"/>
  <c r="O22"/>
  <c r="O28"/>
  <c r="O29"/>
  <c r="O34"/>
  <c r="O37"/>
  <c r="O59"/>
  <c r="O60"/>
  <c r="O61"/>
  <c r="O62"/>
  <c r="O8"/>
  <c r="O63"/>
  <c r="O67"/>
  <c r="O68"/>
  <c r="O69"/>
  <c r="O70"/>
  <c r="O71"/>
  <c r="O72"/>
  <c r="O73"/>
  <c r="N13" i="16"/>
  <c r="P7" i="28"/>
  <c r="A2" i="19"/>
  <c r="B6" s="1"/>
  <c r="P66" i="28" l="1"/>
  <c r="P33"/>
  <c r="G150" i="9"/>
  <c r="F150"/>
  <c r="D150"/>
  <c r="D149"/>
  <c r="F149"/>
  <c r="G149"/>
  <c r="AA345"/>
  <c r="AA337"/>
  <c r="AA350"/>
  <c r="Z350"/>
  <c r="AA342"/>
  <c r="Z342"/>
  <c r="AA334"/>
  <c r="Z334"/>
  <c r="AA347"/>
  <c r="AA339"/>
  <c r="AA352"/>
  <c r="Z352"/>
  <c r="AA344"/>
  <c r="Z344"/>
  <c r="AA336"/>
  <c r="Z336"/>
  <c r="Z349"/>
  <c r="Z341"/>
  <c r="Z351"/>
  <c r="Z343"/>
  <c r="Z335"/>
  <c r="AA349"/>
  <c r="Z345"/>
  <c r="AA341"/>
  <c r="Z337"/>
  <c r="AA346"/>
  <c r="Z346"/>
  <c r="AA338"/>
  <c r="Z338"/>
  <c r="AA351"/>
  <c r="Z347"/>
  <c r="AA343"/>
  <c r="Z339"/>
  <c r="AA335"/>
  <c r="AA348"/>
  <c r="Z348"/>
  <c r="AA340"/>
  <c r="Z340"/>
  <c r="P45" i="28"/>
  <c r="P46"/>
  <c r="P43"/>
  <c r="P44"/>
  <c r="P21"/>
  <c r="P15"/>
  <c r="P22"/>
  <c r="P28"/>
  <c r="P29"/>
  <c r="P34"/>
  <c r="P37"/>
  <c r="P59"/>
  <c r="P60"/>
  <c r="P61"/>
  <c r="P62"/>
  <c r="P63"/>
  <c r="P67"/>
  <c r="P68"/>
  <c r="P69"/>
  <c r="P70"/>
  <c r="P71"/>
  <c r="P72"/>
  <c r="P73"/>
  <c r="P8"/>
  <c r="Q7"/>
  <c r="G6" i="19"/>
  <c r="F6"/>
  <c r="E6"/>
  <c r="D6"/>
  <c r="C6"/>
  <c r="Q66" i="28" l="1"/>
  <c r="Q33"/>
  <c r="I150" i="9"/>
  <c r="H150"/>
  <c r="I147"/>
  <c r="C27" i="16" s="1"/>
  <c r="Q45" i="28"/>
  <c r="Q46"/>
  <c r="Q43"/>
  <c r="Q44"/>
  <c r="Q21"/>
  <c r="Q15"/>
  <c r="Q22"/>
  <c r="Q28"/>
  <c r="Q29"/>
  <c r="Q34"/>
  <c r="Q37"/>
  <c r="Q59"/>
  <c r="Q60"/>
  <c r="Q61"/>
  <c r="Q62"/>
  <c r="Q63"/>
  <c r="Q67"/>
  <c r="Q68"/>
  <c r="Q69"/>
  <c r="Q70"/>
  <c r="Q71"/>
  <c r="Q72"/>
  <c r="Q73"/>
  <c r="Q8"/>
  <c r="R7"/>
  <c r="R33" l="1"/>
  <c r="R66"/>
  <c r="R45"/>
  <c r="R46"/>
  <c r="R43"/>
  <c r="R44"/>
  <c r="R21"/>
  <c r="R15"/>
  <c r="R22"/>
  <c r="R28"/>
  <c r="R29"/>
  <c r="R34"/>
  <c r="R37"/>
  <c r="R59"/>
  <c r="R60"/>
  <c r="R61"/>
  <c r="R62"/>
  <c r="R63"/>
  <c r="R67"/>
  <c r="R68"/>
  <c r="R69"/>
  <c r="R70"/>
  <c r="R71"/>
  <c r="R72"/>
  <c r="R73"/>
  <c r="R8"/>
  <c r="S7"/>
  <c r="G62"/>
  <c r="S33" l="1"/>
  <c r="S66"/>
  <c r="S44"/>
  <c r="S45"/>
  <c r="S46"/>
  <c r="S43"/>
  <c r="S21"/>
  <c r="S15"/>
  <c r="S22"/>
  <c r="S28"/>
  <c r="S29"/>
  <c r="S34"/>
  <c r="S37"/>
  <c r="S59"/>
  <c r="S60"/>
  <c r="S61"/>
  <c r="S62"/>
  <c r="S63"/>
  <c r="S67"/>
  <c r="S68"/>
  <c r="S69"/>
  <c r="S70"/>
  <c r="S71"/>
  <c r="S72"/>
  <c r="S73"/>
  <c r="S8"/>
  <c r="T7"/>
  <c r="T66" l="1"/>
  <c r="T33"/>
  <c r="T45"/>
  <c r="T46"/>
  <c r="T43"/>
  <c r="T44"/>
  <c r="T21"/>
  <c r="T15"/>
  <c r="T22"/>
  <c r="T28"/>
  <c r="T29"/>
  <c r="T34"/>
  <c r="T37"/>
  <c r="T59"/>
  <c r="T60"/>
  <c r="T61"/>
  <c r="T62"/>
  <c r="T63"/>
  <c r="T67"/>
  <c r="T68"/>
  <c r="T69"/>
  <c r="T70"/>
  <c r="T71"/>
  <c r="T72"/>
  <c r="T73"/>
  <c r="T8"/>
  <c r="U7"/>
  <c r="B323" i="9"/>
  <c r="BC4" i="2"/>
  <c r="K24" i="22"/>
  <c r="U66" i="28" l="1"/>
  <c r="U33"/>
  <c r="U45"/>
  <c r="U46"/>
  <c r="U43"/>
  <c r="U44"/>
  <c r="U21"/>
  <c r="U15"/>
  <c r="U22"/>
  <c r="U28"/>
  <c r="U29"/>
  <c r="U34"/>
  <c r="U37"/>
  <c r="U59"/>
  <c r="U60"/>
  <c r="U61"/>
  <c r="U62"/>
  <c r="U63"/>
  <c r="U8"/>
  <c r="U67"/>
  <c r="U68"/>
  <c r="U69"/>
  <c r="U70"/>
  <c r="U71"/>
  <c r="U72"/>
  <c r="U73"/>
  <c r="V7"/>
  <c r="V33" l="1"/>
  <c r="V66"/>
  <c r="V45"/>
  <c r="V46"/>
  <c r="V43"/>
  <c r="V44"/>
  <c r="V21"/>
  <c r="V15"/>
  <c r="V22"/>
  <c r="V28"/>
  <c r="V29"/>
  <c r="V34"/>
  <c r="V37"/>
  <c r="V59"/>
  <c r="V60"/>
  <c r="V61"/>
  <c r="V62"/>
  <c r="V63"/>
  <c r="V67"/>
  <c r="V68"/>
  <c r="V69"/>
  <c r="V70"/>
  <c r="V71"/>
  <c r="V72"/>
  <c r="V73"/>
  <c r="V8"/>
  <c r="W7"/>
  <c r="W66" l="1"/>
  <c r="W33"/>
  <c r="W44"/>
  <c r="W45"/>
  <c r="W46"/>
  <c r="W43"/>
  <c r="W21"/>
  <c r="W15"/>
  <c r="W22"/>
  <c r="W28"/>
  <c r="W29"/>
  <c r="W34"/>
  <c r="W37"/>
  <c r="W59"/>
  <c r="W60"/>
  <c r="W61"/>
  <c r="W62"/>
  <c r="W63"/>
  <c r="W67"/>
  <c r="W68"/>
  <c r="W69"/>
  <c r="W70"/>
  <c r="W71"/>
  <c r="W72"/>
  <c r="W73"/>
  <c r="W8"/>
  <c r="X7"/>
  <c r="X66" l="1"/>
  <c r="X33"/>
  <c r="X44"/>
  <c r="X45"/>
  <c r="X46"/>
  <c r="X43"/>
  <c r="X21"/>
  <c r="X15"/>
  <c r="X22"/>
  <c r="X28"/>
  <c r="X29"/>
  <c r="X34"/>
  <c r="X37"/>
  <c r="X59"/>
  <c r="X60"/>
  <c r="X61"/>
  <c r="X62"/>
  <c r="X63"/>
  <c r="X67"/>
  <c r="X68"/>
  <c r="X69"/>
  <c r="X70"/>
  <c r="X71"/>
  <c r="X72"/>
  <c r="X73"/>
  <c r="X8"/>
  <c r="Y7"/>
  <c r="Y33" l="1"/>
  <c r="Y66"/>
  <c r="Y44"/>
  <c r="Y45"/>
  <c r="Y46"/>
  <c r="Y43"/>
  <c r="Y21"/>
  <c r="Y15"/>
  <c r="Y22"/>
  <c r="Y28"/>
  <c r="Y29"/>
  <c r="Y34"/>
  <c r="Y37"/>
  <c r="Y59"/>
  <c r="Y60"/>
  <c r="Y61"/>
  <c r="Y62"/>
  <c r="Y63"/>
  <c r="Y8"/>
  <c r="Y67"/>
  <c r="Y68"/>
  <c r="Y69"/>
  <c r="Y70"/>
  <c r="Y71"/>
  <c r="Y72"/>
  <c r="Y73"/>
  <c r="Z7"/>
  <c r="Z66" l="1"/>
  <c r="Z33"/>
  <c r="Z44"/>
  <c r="Z45"/>
  <c r="Z46"/>
  <c r="Z43"/>
  <c r="Z21"/>
  <c r="Z15"/>
  <c r="Z22"/>
  <c r="Z28"/>
  <c r="Z29"/>
  <c r="Z34"/>
  <c r="Z37"/>
  <c r="Z59"/>
  <c r="Z60"/>
  <c r="Z61"/>
  <c r="Z62"/>
  <c r="Z63"/>
  <c r="Z67"/>
  <c r="Z68"/>
  <c r="Z69"/>
  <c r="Z70"/>
  <c r="Z71"/>
  <c r="Z72"/>
  <c r="Z73"/>
  <c r="Z8"/>
  <c r="AA7"/>
  <c r="D11"/>
  <c r="G11" s="1"/>
  <c r="C11"/>
  <c r="AA33" l="1"/>
  <c r="AA66"/>
  <c r="AA44"/>
  <c r="AA45"/>
  <c r="AA46"/>
  <c r="AA43"/>
  <c r="AA21"/>
  <c r="I11"/>
  <c r="J11"/>
  <c r="K11"/>
  <c r="L11"/>
  <c r="M11"/>
  <c r="N11"/>
  <c r="O11"/>
  <c r="P11"/>
  <c r="Q11"/>
  <c r="R11"/>
  <c r="S11"/>
  <c r="T11"/>
  <c r="U11"/>
  <c r="V11"/>
  <c r="W11"/>
  <c r="X11"/>
  <c r="Y11"/>
  <c r="AA11"/>
  <c r="AA15"/>
  <c r="AA22"/>
  <c r="AA28"/>
  <c r="AA29"/>
  <c r="AA34"/>
  <c r="AA37"/>
  <c r="AA59"/>
  <c r="AA60"/>
  <c r="AA61"/>
  <c r="AA62"/>
  <c r="AA63"/>
  <c r="AA67"/>
  <c r="AA68"/>
  <c r="AA69"/>
  <c r="AA70"/>
  <c r="AA71"/>
  <c r="AA72"/>
  <c r="AA73"/>
  <c r="AA8"/>
  <c r="Z11"/>
  <c r="AB7"/>
  <c r="I3"/>
  <c r="I4" s="1"/>
  <c r="AB66" l="1"/>
  <c r="AB33"/>
  <c r="AB44"/>
  <c r="AB45"/>
  <c r="AB46"/>
  <c r="AB43"/>
  <c r="AB21"/>
  <c r="AB11"/>
  <c r="AB15"/>
  <c r="AB22"/>
  <c r="AB28"/>
  <c r="AB29"/>
  <c r="AB34"/>
  <c r="AB37"/>
  <c r="AB59"/>
  <c r="AB60"/>
  <c r="AB61"/>
  <c r="AB62"/>
  <c r="AB63"/>
  <c r="AB67"/>
  <c r="AB68"/>
  <c r="AB69"/>
  <c r="AB70"/>
  <c r="AB71"/>
  <c r="AB72"/>
  <c r="AB73"/>
  <c r="AB8"/>
  <c r="AC7"/>
  <c r="I5"/>
  <c r="D10"/>
  <c r="G10" s="1"/>
  <c r="C10"/>
  <c r="AC33" l="1"/>
  <c r="AC66"/>
  <c r="AC44"/>
  <c r="AC45"/>
  <c r="AC46"/>
  <c r="AC43"/>
  <c r="AC21"/>
  <c r="I10"/>
  <c r="J10"/>
  <c r="K10"/>
  <c r="L10"/>
  <c r="M10"/>
  <c r="N10"/>
  <c r="O10"/>
  <c r="P10"/>
  <c r="Q10"/>
  <c r="R10"/>
  <c r="S10"/>
  <c r="T10"/>
  <c r="U10"/>
  <c r="V10"/>
  <c r="W10"/>
  <c r="X10"/>
  <c r="Y10"/>
  <c r="Z10"/>
  <c r="AA10"/>
  <c r="AC10"/>
  <c r="AC11"/>
  <c r="AC15"/>
  <c r="AC22"/>
  <c r="AC28"/>
  <c r="AC29"/>
  <c r="AC34"/>
  <c r="AC37"/>
  <c r="AC59"/>
  <c r="AC60"/>
  <c r="AC61"/>
  <c r="AC62"/>
  <c r="AC63"/>
  <c r="AC8"/>
  <c r="AC67"/>
  <c r="AC68"/>
  <c r="AC69"/>
  <c r="AC70"/>
  <c r="AC71"/>
  <c r="AC72"/>
  <c r="AC73"/>
  <c r="AB10"/>
  <c r="AD7"/>
  <c r="A3" i="27"/>
  <c r="A4" s="1"/>
  <c r="A5" s="1"/>
  <c r="A6" s="1"/>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367" s="1"/>
  <c r="A368" s="1"/>
  <c r="A369" s="1"/>
  <c r="A370" s="1"/>
  <c r="A371" s="1"/>
  <c r="A372" s="1"/>
  <c r="A373" s="1"/>
  <c r="A374" s="1"/>
  <c r="A375" s="1"/>
  <c r="A376" s="1"/>
  <c r="A377" s="1"/>
  <c r="A378" s="1"/>
  <c r="A379" s="1"/>
  <c r="A380" s="1"/>
  <c r="A381" s="1"/>
  <c r="A382" s="1"/>
  <c r="A383" s="1"/>
  <c r="A384" s="1"/>
  <c r="A385" s="1"/>
  <c r="A386" s="1"/>
  <c r="A387" s="1"/>
  <c r="A388" s="1"/>
  <c r="A389" s="1"/>
  <c r="A390" s="1"/>
  <c r="A391" s="1"/>
  <c r="A392" s="1"/>
  <c r="A393" s="1"/>
  <c r="A394" s="1"/>
  <c r="A395" s="1"/>
  <c r="A396" s="1"/>
  <c r="A397" s="1"/>
  <c r="A398" s="1"/>
  <c r="A399" s="1"/>
  <c r="A400" s="1"/>
  <c r="A401" s="1"/>
  <c r="A402" s="1"/>
  <c r="A403" s="1"/>
  <c r="A404" s="1"/>
  <c r="A405" s="1"/>
  <c r="A406" s="1"/>
  <c r="A407" s="1"/>
  <c r="A408" s="1"/>
  <c r="A409" s="1"/>
  <c r="A410" s="1"/>
  <c r="A411" s="1"/>
  <c r="A412" s="1"/>
  <c r="A413" s="1"/>
  <c r="A414" s="1"/>
  <c r="A415" s="1"/>
  <c r="A416" s="1"/>
  <c r="A417" s="1"/>
  <c r="A418" s="1"/>
  <c r="A419" s="1"/>
  <c r="A420" s="1"/>
  <c r="A421" s="1"/>
  <c r="A422" s="1"/>
  <c r="A423" s="1"/>
  <c r="A424" s="1"/>
  <c r="A425" s="1"/>
  <c r="A426" s="1"/>
  <c r="A427" s="1"/>
  <c r="A428" s="1"/>
  <c r="A429" s="1"/>
  <c r="A430" s="1"/>
  <c r="A431" s="1"/>
  <c r="A432" s="1"/>
  <c r="A433" s="1"/>
  <c r="A434" s="1"/>
  <c r="A435" s="1"/>
  <c r="A436" s="1"/>
  <c r="A437" s="1"/>
  <c r="A438" s="1"/>
  <c r="A439" s="1"/>
  <c r="A440" s="1"/>
  <c r="A441" s="1"/>
  <c r="A442" s="1"/>
  <c r="A443" s="1"/>
  <c r="A444" s="1"/>
  <c r="A445" s="1"/>
  <c r="A446" s="1"/>
  <c r="A447" s="1"/>
  <c r="A448" s="1"/>
  <c r="A449" s="1"/>
  <c r="A450" s="1"/>
  <c r="A451" s="1"/>
  <c r="A452" s="1"/>
  <c r="A453" s="1"/>
  <c r="A454" s="1"/>
  <c r="A455" s="1"/>
  <c r="A456" s="1"/>
  <c r="A457" s="1"/>
  <c r="A458" s="1"/>
  <c r="A459" s="1"/>
  <c r="A460" s="1"/>
  <c r="A461" s="1"/>
  <c r="A462" s="1"/>
  <c r="A463" s="1"/>
  <c r="A464" s="1"/>
  <c r="A465" s="1"/>
  <c r="A466" s="1"/>
  <c r="A467" s="1"/>
  <c r="A468" s="1"/>
  <c r="A469" s="1"/>
  <c r="A470" s="1"/>
  <c r="A471" s="1"/>
  <c r="A472" s="1"/>
  <c r="A473" s="1"/>
  <c r="A474" s="1"/>
  <c r="A475" s="1"/>
  <c r="A476" s="1"/>
  <c r="A477" s="1"/>
  <c r="A478" s="1"/>
  <c r="A479" s="1"/>
  <c r="A480" s="1"/>
  <c r="A481" s="1"/>
  <c r="A482" s="1"/>
  <c r="A483" s="1"/>
  <c r="A484" s="1"/>
  <c r="A485" s="1"/>
  <c r="A486" s="1"/>
  <c r="A487" s="1"/>
  <c r="A488" s="1"/>
  <c r="A489" s="1"/>
  <c r="A490" s="1"/>
  <c r="A491" s="1"/>
  <c r="A492" s="1"/>
  <c r="A493" s="1"/>
  <c r="A494" s="1"/>
  <c r="A495" s="1"/>
  <c r="A496" s="1"/>
  <c r="A497" s="1"/>
  <c r="A498" s="1"/>
  <c r="A499" s="1"/>
  <c r="A500" s="1"/>
  <c r="A501" s="1"/>
  <c r="A502" s="1"/>
  <c r="A503" s="1"/>
  <c r="A504" s="1"/>
  <c r="A505" s="1"/>
  <c r="A506" s="1"/>
  <c r="A507" s="1"/>
  <c r="A508" s="1"/>
  <c r="A509" s="1"/>
  <c r="A510" s="1"/>
  <c r="A511" s="1"/>
  <c r="A512" s="1"/>
  <c r="A513" s="1"/>
  <c r="A514" s="1"/>
  <c r="A515" s="1"/>
  <c r="A516" s="1"/>
  <c r="A517" s="1"/>
  <c r="A518" s="1"/>
  <c r="A519" s="1"/>
  <c r="A520" s="1"/>
  <c r="A521" s="1"/>
  <c r="A522" s="1"/>
  <c r="A523" s="1"/>
  <c r="A524" s="1"/>
  <c r="A525" s="1"/>
  <c r="A526" s="1"/>
  <c r="A527" s="1"/>
  <c r="A528" s="1"/>
  <c r="A529" s="1"/>
  <c r="A530" s="1"/>
  <c r="A531" s="1"/>
  <c r="A532" s="1"/>
  <c r="A533" s="1"/>
  <c r="A534" s="1"/>
  <c r="A535" s="1"/>
  <c r="A536" s="1"/>
  <c r="A537" s="1"/>
  <c r="A538" s="1"/>
  <c r="A539" s="1"/>
  <c r="A540" s="1"/>
  <c r="A541" s="1"/>
  <c r="A542" s="1"/>
  <c r="A543" s="1"/>
  <c r="A544" s="1"/>
  <c r="A545" s="1"/>
  <c r="A546" s="1"/>
  <c r="A547" s="1"/>
  <c r="A548" s="1"/>
  <c r="A549" s="1"/>
  <c r="A550" s="1"/>
  <c r="A551" s="1"/>
  <c r="A552" s="1"/>
  <c r="A553" s="1"/>
  <c r="A554" s="1"/>
  <c r="A555" s="1"/>
  <c r="A556" s="1"/>
  <c r="A557" s="1"/>
  <c r="A558" s="1"/>
  <c r="A559" s="1"/>
  <c r="A560" s="1"/>
  <c r="A561" s="1"/>
  <c r="A562" s="1"/>
  <c r="A563" s="1"/>
  <c r="A564" s="1"/>
  <c r="A565" s="1"/>
  <c r="A566" s="1"/>
  <c r="A567" s="1"/>
  <c r="A568" s="1"/>
  <c r="A569" s="1"/>
  <c r="A570" s="1"/>
  <c r="A571" s="1"/>
  <c r="A572" s="1"/>
  <c r="A573" s="1"/>
  <c r="A574" s="1"/>
  <c r="A575" s="1"/>
  <c r="A576" s="1"/>
  <c r="A577" s="1"/>
  <c r="A578" s="1"/>
  <c r="A579" s="1"/>
  <c r="A580" s="1"/>
  <c r="A581" s="1"/>
  <c r="A582" s="1"/>
  <c r="A583" s="1"/>
  <c r="A584" s="1"/>
  <c r="A585" s="1"/>
  <c r="A586" s="1"/>
  <c r="A587" s="1"/>
  <c r="A588" s="1"/>
  <c r="A589" s="1"/>
  <c r="A590" s="1"/>
  <c r="A591" s="1"/>
  <c r="A592" s="1"/>
  <c r="A593" s="1"/>
  <c r="A594" s="1"/>
  <c r="A595" s="1"/>
  <c r="A596" s="1"/>
  <c r="A597" s="1"/>
  <c r="A598" s="1"/>
  <c r="A599" s="1"/>
  <c r="A600" s="1"/>
  <c r="A601" s="1"/>
  <c r="A602" s="1"/>
  <c r="A603" s="1"/>
  <c r="A604" s="1"/>
  <c r="A605" s="1"/>
  <c r="A606" s="1"/>
  <c r="A607" s="1"/>
  <c r="A608" s="1"/>
  <c r="A609" s="1"/>
  <c r="A610" s="1"/>
  <c r="A611" s="1"/>
  <c r="A612" s="1"/>
  <c r="A613" s="1"/>
  <c r="A614" s="1"/>
  <c r="A615" s="1"/>
  <c r="A616" s="1"/>
  <c r="A617" s="1"/>
  <c r="A618" s="1"/>
  <c r="A619" s="1"/>
  <c r="A620" s="1"/>
  <c r="A621" s="1"/>
  <c r="A622" s="1"/>
  <c r="A623" s="1"/>
  <c r="A624" s="1"/>
  <c r="A625" s="1"/>
  <c r="A626" s="1"/>
  <c r="A627" s="1"/>
  <c r="A628" s="1"/>
  <c r="A629" s="1"/>
  <c r="A630" s="1"/>
  <c r="A631" s="1"/>
  <c r="A632" s="1"/>
  <c r="A633" s="1"/>
  <c r="A634" s="1"/>
  <c r="A635" s="1"/>
  <c r="A636" s="1"/>
  <c r="A637" s="1"/>
  <c r="A638" s="1"/>
  <c r="A639" s="1"/>
  <c r="A640" s="1"/>
  <c r="A641" s="1"/>
  <c r="A642" s="1"/>
  <c r="A643" s="1"/>
  <c r="A644" s="1"/>
  <c r="A645" s="1"/>
  <c r="A646" s="1"/>
  <c r="A647" s="1"/>
  <c r="A648" s="1"/>
  <c r="A649" s="1"/>
  <c r="A650" s="1"/>
  <c r="A651" s="1"/>
  <c r="A652" s="1"/>
  <c r="A653" s="1"/>
  <c r="A654" s="1"/>
  <c r="A655" s="1"/>
  <c r="A656" s="1"/>
  <c r="A657" s="1"/>
  <c r="A658" s="1"/>
  <c r="A659" s="1"/>
  <c r="A660" s="1"/>
  <c r="A661" s="1"/>
  <c r="A662" s="1"/>
  <c r="A663" s="1"/>
  <c r="A664" s="1"/>
  <c r="A665" s="1"/>
  <c r="A666" s="1"/>
  <c r="A667" s="1"/>
  <c r="A668" s="1"/>
  <c r="A669" s="1"/>
  <c r="A670" s="1"/>
  <c r="A671" s="1"/>
  <c r="A672" s="1"/>
  <c r="A673" s="1"/>
  <c r="A674" s="1"/>
  <c r="A675" s="1"/>
  <c r="A676" s="1"/>
  <c r="A677" s="1"/>
  <c r="A678" s="1"/>
  <c r="A679" s="1"/>
  <c r="A680" s="1"/>
  <c r="A681" s="1"/>
  <c r="A682" s="1"/>
  <c r="A683" s="1"/>
  <c r="A684" s="1"/>
  <c r="A685" s="1"/>
  <c r="A686" s="1"/>
  <c r="A687" s="1"/>
  <c r="A688" s="1"/>
  <c r="A689" s="1"/>
  <c r="A690" s="1"/>
  <c r="A691" s="1"/>
  <c r="A692" s="1"/>
  <c r="A693" s="1"/>
  <c r="A694" s="1"/>
  <c r="A695" s="1"/>
  <c r="A696" s="1"/>
  <c r="A697" s="1"/>
  <c r="A698" s="1"/>
  <c r="A699" s="1"/>
  <c r="A700" s="1"/>
  <c r="A701" s="1"/>
  <c r="A702" s="1"/>
  <c r="A703" s="1"/>
  <c r="A704" s="1"/>
  <c r="A705" s="1"/>
  <c r="A706" s="1"/>
  <c r="A707" s="1"/>
  <c r="A708" s="1"/>
  <c r="A709" s="1"/>
  <c r="A710" s="1"/>
  <c r="A711" s="1"/>
  <c r="A712" s="1"/>
  <c r="A713" s="1"/>
  <c r="A714" s="1"/>
  <c r="A715" s="1"/>
  <c r="A716" s="1"/>
  <c r="A717" s="1"/>
  <c r="A718" s="1"/>
  <c r="A719" s="1"/>
  <c r="A720" s="1"/>
  <c r="A721" s="1"/>
  <c r="A722" s="1"/>
  <c r="A723" s="1"/>
  <c r="A724" s="1"/>
  <c r="A725" s="1"/>
  <c r="A726" s="1"/>
  <c r="A727" s="1"/>
  <c r="A728" s="1"/>
  <c r="A729" s="1"/>
  <c r="A730" s="1"/>
  <c r="A731" s="1"/>
  <c r="A732" s="1"/>
  <c r="A733" s="1"/>
  <c r="A734" s="1"/>
  <c r="A735" s="1"/>
  <c r="A736" s="1"/>
  <c r="A737" s="1"/>
  <c r="A738" s="1"/>
  <c r="A739" s="1"/>
  <c r="A740" s="1"/>
  <c r="A741" s="1"/>
  <c r="A742" s="1"/>
  <c r="A743" s="1"/>
  <c r="A744" s="1"/>
  <c r="A745" s="1"/>
  <c r="A746" s="1"/>
  <c r="A747" s="1"/>
  <c r="A748" s="1"/>
  <c r="A749" s="1"/>
  <c r="A750" s="1"/>
  <c r="A751" s="1"/>
  <c r="A752" s="1"/>
  <c r="A753" s="1"/>
  <c r="A754" s="1"/>
  <c r="A755" s="1"/>
  <c r="A756" s="1"/>
  <c r="A757" s="1"/>
  <c r="A758" s="1"/>
  <c r="A759" s="1"/>
  <c r="A760" s="1"/>
  <c r="A761" s="1"/>
  <c r="A762" s="1"/>
  <c r="A763" s="1"/>
  <c r="A764" s="1"/>
  <c r="A765" s="1"/>
  <c r="A766" s="1"/>
  <c r="A767" s="1"/>
  <c r="A768" s="1"/>
  <c r="A769" s="1"/>
  <c r="A770" s="1"/>
  <c r="A771" s="1"/>
  <c r="A772" s="1"/>
  <c r="A773" s="1"/>
  <c r="A774" s="1"/>
  <c r="A775" s="1"/>
  <c r="A776" s="1"/>
  <c r="A777" s="1"/>
  <c r="A778" s="1"/>
  <c r="A779" s="1"/>
  <c r="A780" s="1"/>
  <c r="A781" s="1"/>
  <c r="A782" s="1"/>
  <c r="A783" s="1"/>
  <c r="A784" s="1"/>
  <c r="A785" s="1"/>
  <c r="A786" s="1"/>
  <c r="A787" s="1"/>
  <c r="A788" s="1"/>
  <c r="A789" s="1"/>
  <c r="A790" s="1"/>
  <c r="A791" s="1"/>
  <c r="A792" s="1"/>
  <c r="A793" s="1"/>
  <c r="A794" s="1"/>
  <c r="A795" s="1"/>
  <c r="A796" s="1"/>
  <c r="A797" s="1"/>
  <c r="A798" s="1"/>
  <c r="A799" s="1"/>
  <c r="A800" s="1"/>
  <c r="A801" s="1"/>
  <c r="A802" s="1"/>
  <c r="A803" s="1"/>
  <c r="A804" s="1"/>
  <c r="A805" s="1"/>
  <c r="A806" s="1"/>
  <c r="A807" s="1"/>
  <c r="A808" s="1"/>
  <c r="A809" s="1"/>
  <c r="A810" s="1"/>
  <c r="A811" s="1"/>
  <c r="A812" s="1"/>
  <c r="A813" s="1"/>
  <c r="A814" s="1"/>
  <c r="A815" s="1"/>
  <c r="A816" s="1"/>
  <c r="A817" s="1"/>
  <c r="A818" s="1"/>
  <c r="A819" s="1"/>
  <c r="A820" s="1"/>
  <c r="A821" s="1"/>
  <c r="A822" s="1"/>
  <c r="A823" s="1"/>
  <c r="A824" s="1"/>
  <c r="A825" s="1"/>
  <c r="A826" s="1"/>
  <c r="A827" s="1"/>
  <c r="A828" s="1"/>
  <c r="A829" s="1"/>
  <c r="A830" s="1"/>
  <c r="A831" s="1"/>
  <c r="A832" s="1"/>
  <c r="A833" s="1"/>
  <c r="A834" s="1"/>
  <c r="A835" s="1"/>
  <c r="A836" s="1"/>
  <c r="A837" s="1"/>
  <c r="A838" s="1"/>
  <c r="A839" s="1"/>
  <c r="A840" s="1"/>
  <c r="A841" s="1"/>
  <c r="A842" s="1"/>
  <c r="A843" s="1"/>
  <c r="A844" s="1"/>
  <c r="A845" s="1"/>
  <c r="A846" s="1"/>
  <c r="A847" s="1"/>
  <c r="A848" s="1"/>
  <c r="A849" s="1"/>
  <c r="A850" s="1"/>
  <c r="A851" s="1"/>
  <c r="A852" s="1"/>
  <c r="A853" s="1"/>
  <c r="A854" s="1"/>
  <c r="A855" s="1"/>
  <c r="A856" s="1"/>
  <c r="A857" s="1"/>
  <c r="A858" s="1"/>
  <c r="A859" s="1"/>
  <c r="A860" s="1"/>
  <c r="A861" s="1"/>
  <c r="A862" s="1"/>
  <c r="A863" s="1"/>
  <c r="A864" s="1"/>
  <c r="A865" s="1"/>
  <c r="A866" s="1"/>
  <c r="A867" s="1"/>
  <c r="A868" s="1"/>
  <c r="A869" s="1"/>
  <c r="A870" s="1"/>
  <c r="A871" s="1"/>
  <c r="A872" s="1"/>
  <c r="A873" s="1"/>
  <c r="A874" s="1"/>
  <c r="A875" s="1"/>
  <c r="A876" s="1"/>
  <c r="A877" s="1"/>
  <c r="A878" s="1"/>
  <c r="A879" s="1"/>
  <c r="A880" s="1"/>
  <c r="A881" s="1"/>
  <c r="A882" s="1"/>
  <c r="A883" s="1"/>
  <c r="A884" s="1"/>
  <c r="A885" s="1"/>
  <c r="A886" s="1"/>
  <c r="A887" s="1"/>
  <c r="A888" s="1"/>
  <c r="A889" s="1"/>
  <c r="A890" s="1"/>
  <c r="A891" s="1"/>
  <c r="A892" s="1"/>
  <c r="A893" s="1"/>
  <c r="A894" s="1"/>
  <c r="A895" s="1"/>
  <c r="A896" s="1"/>
  <c r="A897" s="1"/>
  <c r="A898" s="1"/>
  <c r="A899" s="1"/>
  <c r="A900" s="1"/>
  <c r="A901" s="1"/>
  <c r="A902" s="1"/>
  <c r="A903" s="1"/>
  <c r="A904" s="1"/>
  <c r="A905" s="1"/>
  <c r="A906" s="1"/>
  <c r="A907" s="1"/>
  <c r="A908" s="1"/>
  <c r="A909" s="1"/>
  <c r="A910" s="1"/>
  <c r="A911" s="1"/>
  <c r="A912" s="1"/>
  <c r="A913" s="1"/>
  <c r="A914" s="1"/>
  <c r="A915" s="1"/>
  <c r="A916" s="1"/>
  <c r="A917" s="1"/>
  <c r="A918" s="1"/>
  <c r="A919" s="1"/>
  <c r="A920" s="1"/>
  <c r="A921" s="1"/>
  <c r="A922" s="1"/>
  <c r="A923" s="1"/>
  <c r="A924" s="1"/>
  <c r="A925" s="1"/>
  <c r="A926" s="1"/>
  <c r="A927" s="1"/>
  <c r="A928" s="1"/>
  <c r="A929" s="1"/>
  <c r="A930" s="1"/>
  <c r="A931" s="1"/>
  <c r="A932" s="1"/>
  <c r="A933" s="1"/>
  <c r="A934" s="1"/>
  <c r="A935" s="1"/>
  <c r="A936" s="1"/>
  <c r="A937" s="1"/>
  <c r="A938" s="1"/>
  <c r="A939" s="1"/>
  <c r="A940" s="1"/>
  <c r="A941" s="1"/>
  <c r="A942" s="1"/>
  <c r="A943" s="1"/>
  <c r="A944" s="1"/>
  <c r="A945" s="1"/>
  <c r="A946" s="1"/>
  <c r="A947" s="1"/>
  <c r="A948" s="1"/>
  <c r="A949" s="1"/>
  <c r="A950" s="1"/>
  <c r="A951" s="1"/>
  <c r="A952" s="1"/>
  <c r="A953" s="1"/>
  <c r="A954" s="1"/>
  <c r="A955" s="1"/>
  <c r="A956" s="1"/>
  <c r="A957" s="1"/>
  <c r="A958" s="1"/>
  <c r="A959" s="1"/>
  <c r="A960" s="1"/>
  <c r="A961" s="1"/>
  <c r="A962" s="1"/>
  <c r="A963" s="1"/>
  <c r="A964" s="1"/>
  <c r="A965" s="1"/>
  <c r="A966" s="1"/>
  <c r="A967" s="1"/>
  <c r="A968" s="1"/>
  <c r="A969" s="1"/>
  <c r="A970" s="1"/>
  <c r="A971" s="1"/>
  <c r="A972" s="1"/>
  <c r="A973" s="1"/>
  <c r="A974" s="1"/>
  <c r="A975" s="1"/>
  <c r="A976" s="1"/>
  <c r="A977" s="1"/>
  <c r="A978" s="1"/>
  <c r="A979" s="1"/>
  <c r="A980" s="1"/>
  <c r="A981" s="1"/>
  <c r="A982" s="1"/>
  <c r="A983" s="1"/>
  <c r="A984" s="1"/>
  <c r="A985" s="1"/>
  <c r="A986" s="1"/>
  <c r="A987" s="1"/>
  <c r="A988" s="1"/>
  <c r="A989" s="1"/>
  <c r="A990" s="1"/>
  <c r="A991" s="1"/>
  <c r="A992" s="1"/>
  <c r="A993" s="1"/>
  <c r="A994" s="1"/>
  <c r="A995" s="1"/>
  <c r="A996" s="1"/>
  <c r="A997" s="1"/>
  <c r="A998" s="1"/>
  <c r="A999" s="1"/>
  <c r="A1000" s="1"/>
  <c r="AD66" i="28" l="1"/>
  <c r="AD33"/>
  <c r="AD44"/>
  <c r="AD45"/>
  <c r="AD46"/>
  <c r="AD43"/>
  <c r="AD21"/>
  <c r="AD10"/>
  <c r="AD11"/>
  <c r="AD15"/>
  <c r="AD22"/>
  <c r="AD28"/>
  <c r="AD29"/>
  <c r="AD34"/>
  <c r="AD37"/>
  <c r="AD59"/>
  <c r="AD60"/>
  <c r="AD61"/>
  <c r="AD62"/>
  <c r="AD63"/>
  <c r="AD67"/>
  <c r="AD68"/>
  <c r="AD69"/>
  <c r="AD70"/>
  <c r="AD71"/>
  <c r="AD72"/>
  <c r="AD73"/>
  <c r="AD8"/>
  <c r="AE7"/>
  <c r="D65"/>
  <c r="D64"/>
  <c r="D57"/>
  <c r="D58"/>
  <c r="D47"/>
  <c r="D56"/>
  <c r="D55"/>
  <c r="AD55" s="1"/>
  <c r="D54"/>
  <c r="D53"/>
  <c r="AD53" s="1"/>
  <c r="D52"/>
  <c r="D51"/>
  <c r="AD51" s="1"/>
  <c r="D50"/>
  <c r="D49"/>
  <c r="AD49" s="1"/>
  <c r="D48"/>
  <c r="AD48" s="1"/>
  <c r="D38"/>
  <c r="AD38" s="1"/>
  <c r="D42"/>
  <c r="D41"/>
  <c r="D40"/>
  <c r="D39"/>
  <c r="D35"/>
  <c r="D36"/>
  <c r="AD36" s="1"/>
  <c r="D23"/>
  <c r="D32"/>
  <c r="D31"/>
  <c r="D30"/>
  <c r="D27"/>
  <c r="D26"/>
  <c r="D25"/>
  <c r="D24"/>
  <c r="D16"/>
  <c r="D20"/>
  <c r="AD20" s="1"/>
  <c r="D19"/>
  <c r="D18"/>
  <c r="AD18" s="1"/>
  <c r="D17"/>
  <c r="D14"/>
  <c r="D13"/>
  <c r="D12"/>
  <c r="G12" s="1"/>
  <c r="D9"/>
  <c r="C65"/>
  <c r="C64"/>
  <c r="C58"/>
  <c r="C57"/>
  <c r="C56"/>
  <c r="C55"/>
  <c r="C54"/>
  <c r="C53"/>
  <c r="C52"/>
  <c r="C51"/>
  <c r="C50"/>
  <c r="C49"/>
  <c r="C48"/>
  <c r="C47"/>
  <c r="C42"/>
  <c r="C41"/>
  <c r="C40"/>
  <c r="C39"/>
  <c r="C38"/>
  <c r="C36"/>
  <c r="C35"/>
  <c r="C32"/>
  <c r="C31"/>
  <c r="C30"/>
  <c r="C28"/>
  <c r="C27"/>
  <c r="C26"/>
  <c r="C25"/>
  <c r="C24"/>
  <c r="C23"/>
  <c r="C20"/>
  <c r="C19"/>
  <c r="C18"/>
  <c r="C17"/>
  <c r="C16"/>
  <c r="C14"/>
  <c r="C13"/>
  <c r="C12"/>
  <c r="AE33" l="1"/>
  <c r="AE66"/>
  <c r="I47"/>
  <c r="J47"/>
  <c r="K47"/>
  <c r="L47"/>
  <c r="M47"/>
  <c r="N47"/>
  <c r="O47"/>
  <c r="P47"/>
  <c r="Q47"/>
  <c r="R47"/>
  <c r="S47"/>
  <c r="T47"/>
  <c r="U47"/>
  <c r="V47"/>
  <c r="W47"/>
  <c r="X47"/>
  <c r="Y47"/>
  <c r="Z47"/>
  <c r="AA47"/>
  <c r="AB47"/>
  <c r="AC47"/>
  <c r="I48"/>
  <c r="J48"/>
  <c r="K48"/>
  <c r="L48"/>
  <c r="M48"/>
  <c r="N48"/>
  <c r="O48"/>
  <c r="P48"/>
  <c r="Q48"/>
  <c r="R48"/>
  <c r="S48"/>
  <c r="T48"/>
  <c r="U48"/>
  <c r="V48"/>
  <c r="W48"/>
  <c r="X48"/>
  <c r="Y48"/>
  <c r="Z48"/>
  <c r="AA48"/>
  <c r="AB48"/>
  <c r="AC48"/>
  <c r="AE44"/>
  <c r="AE45"/>
  <c r="AE46"/>
  <c r="AE47"/>
  <c r="AE48"/>
  <c r="AE43"/>
  <c r="AD47"/>
  <c r="AE21"/>
  <c r="AD14"/>
  <c r="G14"/>
  <c r="L13"/>
  <c r="G13"/>
  <c r="AD12"/>
  <c r="L12"/>
  <c r="I9"/>
  <c r="J9"/>
  <c r="K9"/>
  <c r="L9"/>
  <c r="M9"/>
  <c r="N9"/>
  <c r="O9"/>
  <c r="P9"/>
  <c r="Q9"/>
  <c r="R9"/>
  <c r="S9"/>
  <c r="T9"/>
  <c r="U9"/>
  <c r="V9"/>
  <c r="W9"/>
  <c r="X9"/>
  <c r="Y9"/>
  <c r="Z9"/>
  <c r="AA9"/>
  <c r="AB9"/>
  <c r="AC9"/>
  <c r="I13"/>
  <c r="J13"/>
  <c r="K13"/>
  <c r="M13"/>
  <c r="N13"/>
  <c r="O13"/>
  <c r="P13"/>
  <c r="Q13"/>
  <c r="R13"/>
  <c r="S13"/>
  <c r="T13"/>
  <c r="U13"/>
  <c r="V13"/>
  <c r="W13"/>
  <c r="X13"/>
  <c r="Y13"/>
  <c r="Z13"/>
  <c r="AA13"/>
  <c r="AB13"/>
  <c r="AC13"/>
  <c r="I17"/>
  <c r="J17"/>
  <c r="K17"/>
  <c r="L17"/>
  <c r="M17"/>
  <c r="N17"/>
  <c r="O17"/>
  <c r="P17"/>
  <c r="Q17"/>
  <c r="R17"/>
  <c r="S17"/>
  <c r="T17"/>
  <c r="U17"/>
  <c r="V17"/>
  <c r="W17"/>
  <c r="X17"/>
  <c r="Y17"/>
  <c r="Z17"/>
  <c r="AA17"/>
  <c r="AB17"/>
  <c r="AC17"/>
  <c r="I19"/>
  <c r="J19"/>
  <c r="K19"/>
  <c r="L19"/>
  <c r="M19"/>
  <c r="N19"/>
  <c r="O19"/>
  <c r="P19"/>
  <c r="Q19"/>
  <c r="R19"/>
  <c r="S19"/>
  <c r="T19"/>
  <c r="U19"/>
  <c r="V19"/>
  <c r="W19"/>
  <c r="X19"/>
  <c r="Y19"/>
  <c r="Z19"/>
  <c r="AA19"/>
  <c r="AB19"/>
  <c r="AC19"/>
  <c r="I16"/>
  <c r="J16"/>
  <c r="K16"/>
  <c r="L16"/>
  <c r="M16"/>
  <c r="N16"/>
  <c r="O16"/>
  <c r="P16"/>
  <c r="Q16"/>
  <c r="R16"/>
  <c r="S16"/>
  <c r="T16"/>
  <c r="U16"/>
  <c r="V16"/>
  <c r="W16"/>
  <c r="X16"/>
  <c r="Y16"/>
  <c r="Z16"/>
  <c r="AA16"/>
  <c r="AB16"/>
  <c r="AC16"/>
  <c r="I25"/>
  <c r="J25"/>
  <c r="K25"/>
  <c r="L25"/>
  <c r="M25"/>
  <c r="N25"/>
  <c r="O25"/>
  <c r="P25"/>
  <c r="Q25"/>
  <c r="R25"/>
  <c r="S25"/>
  <c r="T25"/>
  <c r="U25"/>
  <c r="V25"/>
  <c r="W25"/>
  <c r="X25"/>
  <c r="Y25"/>
  <c r="Z25"/>
  <c r="AA25"/>
  <c r="AB25"/>
  <c r="AC25"/>
  <c r="I27"/>
  <c r="J27"/>
  <c r="K27"/>
  <c r="L27"/>
  <c r="M27"/>
  <c r="N27"/>
  <c r="O27"/>
  <c r="P27"/>
  <c r="Q27"/>
  <c r="R27"/>
  <c r="S27"/>
  <c r="T27"/>
  <c r="U27"/>
  <c r="V27"/>
  <c r="W27"/>
  <c r="X27"/>
  <c r="Y27"/>
  <c r="Z27"/>
  <c r="AA27"/>
  <c r="AB27"/>
  <c r="AC27"/>
  <c r="I31"/>
  <c r="J31"/>
  <c r="K31"/>
  <c r="L31"/>
  <c r="M31"/>
  <c r="N31"/>
  <c r="O31"/>
  <c r="P31"/>
  <c r="Q31"/>
  <c r="R31"/>
  <c r="S31"/>
  <c r="T31"/>
  <c r="U31"/>
  <c r="V31"/>
  <c r="W31"/>
  <c r="X31"/>
  <c r="Y31"/>
  <c r="Z31"/>
  <c r="AA31"/>
  <c r="AB31"/>
  <c r="AC31"/>
  <c r="I23"/>
  <c r="J23"/>
  <c r="K23"/>
  <c r="L23"/>
  <c r="M23"/>
  <c r="N23"/>
  <c r="O23"/>
  <c r="P23"/>
  <c r="Q23"/>
  <c r="R23"/>
  <c r="S23"/>
  <c r="T23"/>
  <c r="U23"/>
  <c r="V23"/>
  <c r="W23"/>
  <c r="X23"/>
  <c r="Y23"/>
  <c r="Z23"/>
  <c r="AA23"/>
  <c r="AB23"/>
  <c r="AC23"/>
  <c r="I35"/>
  <c r="J35"/>
  <c r="K35"/>
  <c r="L35"/>
  <c r="M35"/>
  <c r="N35"/>
  <c r="O35"/>
  <c r="P35"/>
  <c r="Q35"/>
  <c r="R35"/>
  <c r="S35"/>
  <c r="T35"/>
  <c r="U35"/>
  <c r="V35"/>
  <c r="W35"/>
  <c r="X35"/>
  <c r="Y35"/>
  <c r="Z35"/>
  <c r="AA35"/>
  <c r="AB35"/>
  <c r="AC35"/>
  <c r="I40"/>
  <c r="J40"/>
  <c r="K40"/>
  <c r="L40"/>
  <c r="M40"/>
  <c r="N40"/>
  <c r="O40"/>
  <c r="P40"/>
  <c r="Q40"/>
  <c r="R40"/>
  <c r="S40"/>
  <c r="T40"/>
  <c r="U40"/>
  <c r="V40"/>
  <c r="W40"/>
  <c r="X40"/>
  <c r="Y40"/>
  <c r="Z40"/>
  <c r="AA40"/>
  <c r="AB40"/>
  <c r="AC40"/>
  <c r="I42"/>
  <c r="J42"/>
  <c r="K42"/>
  <c r="L42"/>
  <c r="M42"/>
  <c r="N42"/>
  <c r="O42"/>
  <c r="P42"/>
  <c r="Q42"/>
  <c r="R42"/>
  <c r="S42"/>
  <c r="T42"/>
  <c r="U42"/>
  <c r="V42"/>
  <c r="W42"/>
  <c r="X42"/>
  <c r="Y42"/>
  <c r="Z42"/>
  <c r="AA42"/>
  <c r="AB42"/>
  <c r="AC42"/>
  <c r="I50"/>
  <c r="J50"/>
  <c r="K50"/>
  <c r="L50"/>
  <c r="M50"/>
  <c r="N50"/>
  <c r="O50"/>
  <c r="P50"/>
  <c r="Q50"/>
  <c r="R50"/>
  <c r="S50"/>
  <c r="T50"/>
  <c r="U50"/>
  <c r="V50"/>
  <c r="W50"/>
  <c r="X50"/>
  <c r="Y50"/>
  <c r="Z50"/>
  <c r="AA50"/>
  <c r="AB50"/>
  <c r="AC50"/>
  <c r="I52"/>
  <c r="J52"/>
  <c r="K52"/>
  <c r="L52"/>
  <c r="M52"/>
  <c r="N52"/>
  <c r="O52"/>
  <c r="P52"/>
  <c r="Q52"/>
  <c r="R52"/>
  <c r="S52"/>
  <c r="T52"/>
  <c r="U52"/>
  <c r="V52"/>
  <c r="W52"/>
  <c r="X52"/>
  <c r="Y52"/>
  <c r="Z52"/>
  <c r="AA52"/>
  <c r="AB52"/>
  <c r="AC52"/>
  <c r="I54"/>
  <c r="J54"/>
  <c r="K54"/>
  <c r="L54"/>
  <c r="M54"/>
  <c r="N54"/>
  <c r="O54"/>
  <c r="P54"/>
  <c r="Q54"/>
  <c r="R54"/>
  <c r="S54"/>
  <c r="T54"/>
  <c r="U54"/>
  <c r="V54"/>
  <c r="W54"/>
  <c r="X54"/>
  <c r="Y54"/>
  <c r="Z54"/>
  <c r="AA54"/>
  <c r="AB54"/>
  <c r="AC54"/>
  <c r="I56"/>
  <c r="J56"/>
  <c r="K56"/>
  <c r="L56"/>
  <c r="M56"/>
  <c r="N56"/>
  <c r="O56"/>
  <c r="P56"/>
  <c r="Q56"/>
  <c r="R56"/>
  <c r="S56"/>
  <c r="T56"/>
  <c r="U56"/>
  <c r="V56"/>
  <c r="W56"/>
  <c r="X56"/>
  <c r="Y56"/>
  <c r="Z56"/>
  <c r="AA56"/>
  <c r="AB56"/>
  <c r="AC56"/>
  <c r="I58"/>
  <c r="J58"/>
  <c r="K58"/>
  <c r="L58"/>
  <c r="M58"/>
  <c r="N58"/>
  <c r="O58"/>
  <c r="P58"/>
  <c r="Q58"/>
  <c r="R58"/>
  <c r="S58"/>
  <c r="T58"/>
  <c r="U58"/>
  <c r="V58"/>
  <c r="W58"/>
  <c r="X58"/>
  <c r="Y58"/>
  <c r="Z58"/>
  <c r="AA58"/>
  <c r="AB58"/>
  <c r="AC58"/>
  <c r="I64"/>
  <c r="J64"/>
  <c r="K64"/>
  <c r="L64"/>
  <c r="M64"/>
  <c r="N64"/>
  <c r="O64"/>
  <c r="P64"/>
  <c r="Q64"/>
  <c r="R64"/>
  <c r="S64"/>
  <c r="T64"/>
  <c r="U64"/>
  <c r="V64"/>
  <c r="W64"/>
  <c r="X64"/>
  <c r="Y64"/>
  <c r="Z64"/>
  <c r="AA64"/>
  <c r="AB64"/>
  <c r="AC64"/>
  <c r="AE10"/>
  <c r="AE11"/>
  <c r="AE12"/>
  <c r="AE13"/>
  <c r="AE14"/>
  <c r="AE15"/>
  <c r="AE16"/>
  <c r="AE17"/>
  <c r="AE18"/>
  <c r="AE19"/>
  <c r="AE20"/>
  <c r="AE22"/>
  <c r="AE23"/>
  <c r="AE24"/>
  <c r="AE25"/>
  <c r="AE26"/>
  <c r="AE27"/>
  <c r="AE28"/>
  <c r="AE29"/>
  <c r="AE30"/>
  <c r="AE31"/>
  <c r="AE32"/>
  <c r="AE34"/>
  <c r="AE35"/>
  <c r="AE36"/>
  <c r="AE37"/>
  <c r="AE38"/>
  <c r="AE39"/>
  <c r="AE40"/>
  <c r="AE41"/>
  <c r="AE42"/>
  <c r="AE49"/>
  <c r="AE50"/>
  <c r="AE51"/>
  <c r="AE52"/>
  <c r="AE53"/>
  <c r="AE54"/>
  <c r="AE55"/>
  <c r="AE56"/>
  <c r="AE57"/>
  <c r="AE58"/>
  <c r="AE59"/>
  <c r="AE60"/>
  <c r="AE61"/>
  <c r="AE62"/>
  <c r="AE63"/>
  <c r="AE64"/>
  <c r="AE65"/>
  <c r="AE67"/>
  <c r="AE68"/>
  <c r="AE69"/>
  <c r="AE70"/>
  <c r="AE71"/>
  <c r="AE72"/>
  <c r="AE73"/>
  <c r="AE9"/>
  <c r="AE8"/>
  <c r="AD9"/>
  <c r="AD64"/>
  <c r="AD58"/>
  <c r="AD42"/>
  <c r="AD40"/>
  <c r="AD31"/>
  <c r="AD27"/>
  <c r="AD25"/>
  <c r="AD23"/>
  <c r="AD16"/>
  <c r="I12"/>
  <c r="J12"/>
  <c r="K12"/>
  <c r="M12"/>
  <c r="N12"/>
  <c r="O12"/>
  <c r="P12"/>
  <c r="Q12"/>
  <c r="R12"/>
  <c r="S12"/>
  <c r="T12"/>
  <c r="U12"/>
  <c r="V12"/>
  <c r="W12"/>
  <c r="X12"/>
  <c r="Y12"/>
  <c r="Z12"/>
  <c r="AA12"/>
  <c r="AB12"/>
  <c r="AC12"/>
  <c r="I14"/>
  <c r="J14"/>
  <c r="K14"/>
  <c r="L14"/>
  <c r="M14"/>
  <c r="N14"/>
  <c r="O14"/>
  <c r="P14"/>
  <c r="Q14"/>
  <c r="R14"/>
  <c r="S14"/>
  <c r="T14"/>
  <c r="U14"/>
  <c r="V14"/>
  <c r="W14"/>
  <c r="X14"/>
  <c r="Y14"/>
  <c r="Z14"/>
  <c r="AA14"/>
  <c r="AB14"/>
  <c r="AC14"/>
  <c r="I18"/>
  <c r="J18"/>
  <c r="K18"/>
  <c r="L18"/>
  <c r="M18"/>
  <c r="N18"/>
  <c r="O18"/>
  <c r="P18"/>
  <c r="Q18"/>
  <c r="R18"/>
  <c r="S18"/>
  <c r="T18"/>
  <c r="U18"/>
  <c r="V18"/>
  <c r="W18"/>
  <c r="X18"/>
  <c r="Y18"/>
  <c r="Z18"/>
  <c r="AA18"/>
  <c r="AB18"/>
  <c r="AC18"/>
  <c r="I20"/>
  <c r="J20"/>
  <c r="K20"/>
  <c r="L20"/>
  <c r="M20"/>
  <c r="N20"/>
  <c r="O20"/>
  <c r="P20"/>
  <c r="Q20"/>
  <c r="R20"/>
  <c r="S20"/>
  <c r="T20"/>
  <c r="U20"/>
  <c r="V20"/>
  <c r="W20"/>
  <c r="X20"/>
  <c r="Y20"/>
  <c r="Z20"/>
  <c r="AA20"/>
  <c r="AB20"/>
  <c r="AC20"/>
  <c r="I24"/>
  <c r="J24"/>
  <c r="K24"/>
  <c r="L24"/>
  <c r="M24"/>
  <c r="N24"/>
  <c r="O24"/>
  <c r="P24"/>
  <c r="Q24"/>
  <c r="R24"/>
  <c r="S24"/>
  <c r="T24"/>
  <c r="U24"/>
  <c r="V24"/>
  <c r="W24"/>
  <c r="X24"/>
  <c r="Y24"/>
  <c r="Z24"/>
  <c r="AA24"/>
  <c r="AB24"/>
  <c r="AC24"/>
  <c r="I26"/>
  <c r="J26"/>
  <c r="K26"/>
  <c r="L26"/>
  <c r="M26"/>
  <c r="N26"/>
  <c r="O26"/>
  <c r="P26"/>
  <c r="Q26"/>
  <c r="R26"/>
  <c r="S26"/>
  <c r="T26"/>
  <c r="U26"/>
  <c r="V26"/>
  <c r="W26"/>
  <c r="X26"/>
  <c r="Y26"/>
  <c r="Z26"/>
  <c r="AA26"/>
  <c r="AB26"/>
  <c r="AC26"/>
  <c r="I30"/>
  <c r="J30"/>
  <c r="K30"/>
  <c r="L30"/>
  <c r="M30"/>
  <c r="N30"/>
  <c r="O30"/>
  <c r="P30"/>
  <c r="Q30"/>
  <c r="R30"/>
  <c r="S30"/>
  <c r="T30"/>
  <c r="U30"/>
  <c r="V30"/>
  <c r="W30"/>
  <c r="X30"/>
  <c r="Y30"/>
  <c r="Z30"/>
  <c r="AA30"/>
  <c r="AB30"/>
  <c r="AC30"/>
  <c r="I32"/>
  <c r="J32"/>
  <c r="K32"/>
  <c r="L32"/>
  <c r="M32"/>
  <c r="N32"/>
  <c r="O32"/>
  <c r="P32"/>
  <c r="Q32"/>
  <c r="R32"/>
  <c r="S32"/>
  <c r="T32"/>
  <c r="U32"/>
  <c r="V32"/>
  <c r="W32"/>
  <c r="X32"/>
  <c r="Y32"/>
  <c r="Z32"/>
  <c r="AA32"/>
  <c r="AB32"/>
  <c r="AC32"/>
  <c r="I36"/>
  <c r="J36"/>
  <c r="K36"/>
  <c r="L36"/>
  <c r="M36"/>
  <c r="N36"/>
  <c r="O36"/>
  <c r="P36"/>
  <c r="Q36"/>
  <c r="R36"/>
  <c r="S36"/>
  <c r="T36"/>
  <c r="U36"/>
  <c r="V36"/>
  <c r="W36"/>
  <c r="X36"/>
  <c r="Y36"/>
  <c r="Z36"/>
  <c r="AA36"/>
  <c r="AB36"/>
  <c r="AC36"/>
  <c r="I39"/>
  <c r="J39"/>
  <c r="K39"/>
  <c r="L39"/>
  <c r="M39"/>
  <c r="N39"/>
  <c r="O39"/>
  <c r="P39"/>
  <c r="Q39"/>
  <c r="R39"/>
  <c r="S39"/>
  <c r="T39"/>
  <c r="U39"/>
  <c r="V39"/>
  <c r="W39"/>
  <c r="X39"/>
  <c r="Y39"/>
  <c r="Z39"/>
  <c r="AA39"/>
  <c r="AB39"/>
  <c r="AC39"/>
  <c r="I41"/>
  <c r="J41"/>
  <c r="K41"/>
  <c r="L41"/>
  <c r="M41"/>
  <c r="N41"/>
  <c r="O41"/>
  <c r="P41"/>
  <c r="Q41"/>
  <c r="R41"/>
  <c r="S41"/>
  <c r="T41"/>
  <c r="U41"/>
  <c r="V41"/>
  <c r="W41"/>
  <c r="X41"/>
  <c r="Y41"/>
  <c r="Z41"/>
  <c r="AA41"/>
  <c r="AB41"/>
  <c r="AC41"/>
  <c r="I38"/>
  <c r="J38"/>
  <c r="K38"/>
  <c r="L38"/>
  <c r="M38"/>
  <c r="N38"/>
  <c r="O38"/>
  <c r="P38"/>
  <c r="Q38"/>
  <c r="R38"/>
  <c r="S38"/>
  <c r="T38"/>
  <c r="U38"/>
  <c r="V38"/>
  <c r="W38"/>
  <c r="X38"/>
  <c r="Y38"/>
  <c r="Z38"/>
  <c r="AA38"/>
  <c r="AB38"/>
  <c r="AC38"/>
  <c r="I49"/>
  <c r="J49"/>
  <c r="K49"/>
  <c r="L49"/>
  <c r="M49"/>
  <c r="N49"/>
  <c r="O49"/>
  <c r="P49"/>
  <c r="Q49"/>
  <c r="R49"/>
  <c r="S49"/>
  <c r="T49"/>
  <c r="U49"/>
  <c r="V49"/>
  <c r="W49"/>
  <c r="X49"/>
  <c r="Y49"/>
  <c r="Z49"/>
  <c r="AA49"/>
  <c r="AB49"/>
  <c r="AC49"/>
  <c r="I51"/>
  <c r="J51"/>
  <c r="K51"/>
  <c r="L51"/>
  <c r="M51"/>
  <c r="N51"/>
  <c r="O51"/>
  <c r="P51"/>
  <c r="Q51"/>
  <c r="R51"/>
  <c r="S51"/>
  <c r="T51"/>
  <c r="U51"/>
  <c r="V51"/>
  <c r="W51"/>
  <c r="X51"/>
  <c r="Y51"/>
  <c r="Z51"/>
  <c r="AA51"/>
  <c r="AB51"/>
  <c r="AC51"/>
  <c r="I53"/>
  <c r="J53"/>
  <c r="K53"/>
  <c r="L53"/>
  <c r="M53"/>
  <c r="N53"/>
  <c r="O53"/>
  <c r="P53"/>
  <c r="Q53"/>
  <c r="R53"/>
  <c r="S53"/>
  <c r="T53"/>
  <c r="U53"/>
  <c r="V53"/>
  <c r="W53"/>
  <c r="X53"/>
  <c r="Y53"/>
  <c r="Z53"/>
  <c r="AA53"/>
  <c r="AB53"/>
  <c r="AC53"/>
  <c r="I55"/>
  <c r="J55"/>
  <c r="K55"/>
  <c r="L55"/>
  <c r="M55"/>
  <c r="N55"/>
  <c r="O55"/>
  <c r="P55"/>
  <c r="Q55"/>
  <c r="R55"/>
  <c r="S55"/>
  <c r="T55"/>
  <c r="U55"/>
  <c r="V55"/>
  <c r="W55"/>
  <c r="X55"/>
  <c r="Y55"/>
  <c r="Z55"/>
  <c r="AA55"/>
  <c r="AB55"/>
  <c r="AC55"/>
  <c r="I57"/>
  <c r="J57"/>
  <c r="K57"/>
  <c r="L57"/>
  <c r="M57"/>
  <c r="N57"/>
  <c r="O57"/>
  <c r="P57"/>
  <c r="Q57"/>
  <c r="R57"/>
  <c r="S57"/>
  <c r="T57"/>
  <c r="U57"/>
  <c r="V57"/>
  <c r="W57"/>
  <c r="X57"/>
  <c r="Y57"/>
  <c r="Z57"/>
  <c r="AA57"/>
  <c r="AB57"/>
  <c r="AC57"/>
  <c r="I65"/>
  <c r="J65"/>
  <c r="K65"/>
  <c r="L65"/>
  <c r="M65"/>
  <c r="N65"/>
  <c r="O65"/>
  <c r="P65"/>
  <c r="Q65"/>
  <c r="R65"/>
  <c r="S65"/>
  <c r="T65"/>
  <c r="U65"/>
  <c r="V65"/>
  <c r="W65"/>
  <c r="X65"/>
  <c r="Y65"/>
  <c r="Z65"/>
  <c r="AA65"/>
  <c r="AB65"/>
  <c r="AC65"/>
  <c r="AD65"/>
  <c r="AD57"/>
  <c r="AD56"/>
  <c r="AD54"/>
  <c r="AD52"/>
  <c r="AD50"/>
  <c r="AD41"/>
  <c r="AD39"/>
  <c r="AD35"/>
  <c r="AD32"/>
  <c r="AD30"/>
  <c r="AD26"/>
  <c r="AD24"/>
  <c r="AD19"/>
  <c r="AD17"/>
  <c r="AD13"/>
  <c r="AF7"/>
  <c r="G9"/>
  <c r="G17"/>
  <c r="G19"/>
  <c r="G25"/>
  <c r="G30"/>
  <c r="G36"/>
  <c r="G49"/>
  <c r="G53"/>
  <c r="G47"/>
  <c r="G57"/>
  <c r="G16"/>
  <c r="G27"/>
  <c r="G32"/>
  <c r="G39"/>
  <c r="G38"/>
  <c r="G51"/>
  <c r="G55"/>
  <c r="G65"/>
  <c r="G18"/>
  <c r="G24"/>
  <c r="G28"/>
  <c r="G23"/>
  <c r="G40"/>
  <c r="G48"/>
  <c r="G52"/>
  <c r="G56"/>
  <c r="G41"/>
  <c r="G20"/>
  <c r="G26"/>
  <c r="G31"/>
  <c r="G35"/>
  <c r="G42"/>
  <c r="G50"/>
  <c r="G54"/>
  <c r="G58"/>
  <c r="G64"/>
  <c r="AF66" l="1"/>
  <c r="AF33"/>
  <c r="J6"/>
  <c r="I6"/>
  <c r="AE6"/>
  <c r="AD6"/>
  <c r="AB6"/>
  <c r="Z6"/>
  <c r="X6"/>
  <c r="V6"/>
  <c r="T6"/>
  <c r="R6"/>
  <c r="P6"/>
  <c r="N6"/>
  <c r="L6"/>
  <c r="AC6"/>
  <c r="AA6"/>
  <c r="Y6"/>
  <c r="W6"/>
  <c r="U6"/>
  <c r="S6"/>
  <c r="Q6"/>
  <c r="O6"/>
  <c r="M6"/>
  <c r="K6"/>
  <c r="AF44"/>
  <c r="AF45"/>
  <c r="AF46"/>
  <c r="AF47"/>
  <c r="AF48"/>
  <c r="AF43"/>
  <c r="AF21"/>
  <c r="AF10"/>
  <c r="AF11"/>
  <c r="AF12"/>
  <c r="AF13"/>
  <c r="AF14"/>
  <c r="AF15"/>
  <c r="AF16"/>
  <c r="AF17"/>
  <c r="AF18"/>
  <c r="AF19"/>
  <c r="AF20"/>
  <c r="AF22"/>
  <c r="AF23"/>
  <c r="AF24"/>
  <c r="AF25"/>
  <c r="AF26"/>
  <c r="AF27"/>
  <c r="AF28"/>
  <c r="AF29"/>
  <c r="AF30"/>
  <c r="AF31"/>
  <c r="AF32"/>
  <c r="AF34"/>
  <c r="AF35"/>
  <c r="AF36"/>
  <c r="AF37"/>
  <c r="AF38"/>
  <c r="AF39"/>
  <c r="AF40"/>
  <c r="AF41"/>
  <c r="AF42"/>
  <c r="AF49"/>
  <c r="AF50"/>
  <c r="AF51"/>
  <c r="AF52"/>
  <c r="AF53"/>
  <c r="AF54"/>
  <c r="AF55"/>
  <c r="AF56"/>
  <c r="AF57"/>
  <c r="AF58"/>
  <c r="AF59"/>
  <c r="AF60"/>
  <c r="AF61"/>
  <c r="AF62"/>
  <c r="AF63"/>
  <c r="AF64"/>
  <c r="AF65"/>
  <c r="AF67"/>
  <c r="AF68"/>
  <c r="AF69"/>
  <c r="AF70"/>
  <c r="AF71"/>
  <c r="AF72"/>
  <c r="AF73"/>
  <c r="AF9"/>
  <c r="AF8"/>
  <c r="AG7"/>
  <c r="AG33" l="1"/>
  <c r="AG66"/>
  <c r="AF6"/>
  <c r="AG44"/>
  <c r="AG45"/>
  <c r="AG46"/>
  <c r="AG47"/>
  <c r="AG48"/>
  <c r="AG43"/>
  <c r="AG21"/>
  <c r="AG10"/>
  <c r="AG11"/>
  <c r="AG12"/>
  <c r="AG13"/>
  <c r="AG14"/>
  <c r="AG15"/>
  <c r="AG16"/>
  <c r="AG17"/>
  <c r="AG18"/>
  <c r="AG19"/>
  <c r="AG20"/>
  <c r="AG22"/>
  <c r="AG23"/>
  <c r="AG24"/>
  <c r="AG25"/>
  <c r="AG26"/>
  <c r="AG27"/>
  <c r="AG28"/>
  <c r="AG29"/>
  <c r="AG30"/>
  <c r="AG31"/>
  <c r="AG32"/>
  <c r="AG34"/>
  <c r="AG35"/>
  <c r="AG36"/>
  <c r="AG37"/>
  <c r="AG38"/>
  <c r="AG39"/>
  <c r="AG40"/>
  <c r="AG41"/>
  <c r="AG42"/>
  <c r="AG49"/>
  <c r="AG50"/>
  <c r="AG51"/>
  <c r="AG52"/>
  <c r="AG53"/>
  <c r="AG54"/>
  <c r="AG55"/>
  <c r="AG56"/>
  <c r="AG57"/>
  <c r="AG58"/>
  <c r="AG59"/>
  <c r="AG60"/>
  <c r="AG61"/>
  <c r="AG62"/>
  <c r="AG63"/>
  <c r="AG64"/>
  <c r="AG8"/>
  <c r="AG65"/>
  <c r="AG67"/>
  <c r="AG68"/>
  <c r="AG69"/>
  <c r="AG70"/>
  <c r="AG71"/>
  <c r="AG72"/>
  <c r="AG73"/>
  <c r="AG9"/>
  <c r="AG6" l="1"/>
  <c r="I3" i="19" l="1"/>
  <c r="K22"/>
  <c r="K21"/>
  <c r="C5" l="1"/>
  <c r="D5"/>
  <c r="E5"/>
  <c r="F5"/>
  <c r="F19" s="1"/>
  <c r="G5"/>
  <c r="B5"/>
  <c r="A2" i="18"/>
  <c r="A3" i="24"/>
  <c r="N77" i="9" l="1"/>
  <c r="N165"/>
  <c r="E172"/>
  <c r="N157"/>
  <c r="E167"/>
  <c r="N172"/>
  <c r="E157"/>
  <c r="N166"/>
  <c r="A4" i="24"/>
  <c r="N78" i="9" s="1"/>
  <c r="P78" l="1"/>
  <c r="M78"/>
  <c r="O78"/>
  <c r="M77"/>
  <c r="O77"/>
  <c r="P77"/>
  <c r="R77" s="1"/>
  <c r="N173"/>
  <c r="M173" s="1"/>
  <c r="E158"/>
  <c r="F158" s="1"/>
  <c r="F172"/>
  <c r="G172"/>
  <c r="N158"/>
  <c r="M158" s="1"/>
  <c r="E173"/>
  <c r="D157"/>
  <c r="G157"/>
  <c r="F157"/>
  <c r="F167"/>
  <c r="G167"/>
  <c r="D167"/>
  <c r="I165" s="1"/>
  <c r="O8" i="16" s="1"/>
  <c r="D172" i="9"/>
  <c r="P172"/>
  <c r="M172"/>
  <c r="O172"/>
  <c r="O157"/>
  <c r="M157"/>
  <c r="P157"/>
  <c r="M165"/>
  <c r="P165"/>
  <c r="O165"/>
  <c r="Q165" s="1"/>
  <c r="N167"/>
  <c r="O166"/>
  <c r="P166"/>
  <c r="M166"/>
  <c r="A5" i="24"/>
  <c r="N174" i="9" s="1"/>
  <c r="Q77" l="1"/>
  <c r="P173"/>
  <c r="R173" s="1"/>
  <c r="G158"/>
  <c r="O173"/>
  <c r="Q173" s="1"/>
  <c r="E159"/>
  <c r="G159" s="1"/>
  <c r="N79"/>
  <c r="O79" s="1"/>
  <c r="O158"/>
  <c r="Q158" s="1"/>
  <c r="N159"/>
  <c r="M159" s="1"/>
  <c r="D173"/>
  <c r="G173"/>
  <c r="F173"/>
  <c r="H173" s="1"/>
  <c r="P158"/>
  <c r="Q172"/>
  <c r="R172"/>
  <c r="I157"/>
  <c r="R165"/>
  <c r="R157"/>
  <c r="I172"/>
  <c r="E174"/>
  <c r="D174" s="1"/>
  <c r="H167"/>
  <c r="H168" s="1"/>
  <c r="P8" i="16" s="1"/>
  <c r="Q157" i="9"/>
  <c r="H172"/>
  <c r="I167"/>
  <c r="I168" s="1"/>
  <c r="Q8" i="16" s="1"/>
  <c r="R8" s="1"/>
  <c r="R158" i="9"/>
  <c r="R166"/>
  <c r="Q166"/>
  <c r="E175"/>
  <c r="G175" s="1"/>
  <c r="O174"/>
  <c r="M174"/>
  <c r="R170" s="1"/>
  <c r="O12" i="16" s="1"/>
  <c r="P174" i="9"/>
  <c r="P167"/>
  <c r="M167"/>
  <c r="R163" s="1"/>
  <c r="O11" i="16" s="1"/>
  <c r="O167" i="9"/>
  <c r="A6" i="24"/>
  <c r="F159" i="9" l="1"/>
  <c r="P159"/>
  <c r="M79"/>
  <c r="R75" s="1"/>
  <c r="I12" i="16" s="1"/>
  <c r="N160" i="9"/>
  <c r="O160" s="1"/>
  <c r="P79"/>
  <c r="O159"/>
  <c r="Q159" s="1"/>
  <c r="E160"/>
  <c r="G160" s="1"/>
  <c r="I173"/>
  <c r="F174"/>
  <c r="G174"/>
  <c r="I174" s="1"/>
  <c r="Q167"/>
  <c r="R167"/>
  <c r="R168" s="1"/>
  <c r="Q11" i="16" s="1"/>
  <c r="R11" s="1"/>
  <c r="Q174" i="9"/>
  <c r="Q175" s="1"/>
  <c r="P12" i="16" s="1"/>
  <c r="R174" i="9"/>
  <c r="R175" s="1"/>
  <c r="Q168"/>
  <c r="P11" i="16" s="1"/>
  <c r="R159" i="9"/>
  <c r="H174"/>
  <c r="F175"/>
  <c r="D175"/>
  <c r="I170" s="1"/>
  <c r="O9" i="16" s="1"/>
  <c r="P160" i="9"/>
  <c r="A7" i="24"/>
  <c r="A2" i="22"/>
  <c r="K14"/>
  <c r="N14" s="1"/>
  <c r="M160" i="9" l="1"/>
  <c r="R155" s="1"/>
  <c r="O10" i="16" s="1"/>
  <c r="E161" i="9"/>
  <c r="F161" s="1"/>
  <c r="F160"/>
  <c r="H175"/>
  <c r="H176" s="1"/>
  <c r="P9" i="16" s="1"/>
  <c r="I175" i="9"/>
  <c r="A8" i="24"/>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E162" i="9"/>
  <c r="L14" i="22"/>
  <c r="M14"/>
  <c r="O30"/>
  <c r="P15"/>
  <c r="Q15"/>
  <c r="R15"/>
  <c r="O15"/>
  <c r="R160" i="9" l="1"/>
  <c r="R161" s="1"/>
  <c r="G161"/>
  <c r="Q160"/>
  <c r="Q161" s="1"/>
  <c r="P10" i="16" s="1"/>
  <c r="G162" i="9"/>
  <c r="F162"/>
  <c r="Q30" i="22"/>
  <c r="S15"/>
  <c r="C9"/>
  <c r="C8"/>
  <c r="D8" s="1"/>
  <c r="C7"/>
  <c r="F7" s="1"/>
  <c r="C6"/>
  <c r="E6" s="1"/>
  <c r="C5"/>
  <c r="D5" s="1"/>
  <c r="K13"/>
  <c r="E9" l="1"/>
  <c r="D9"/>
  <c r="F9"/>
  <c r="D6"/>
  <c r="F8"/>
  <c r="E5"/>
  <c r="F5"/>
  <c r="F6"/>
  <c r="D7"/>
  <c r="E8"/>
  <c r="E7"/>
  <c r="K26"/>
  <c r="G17" l="1"/>
  <c r="G14"/>
  <c r="G15"/>
  <c r="K27"/>
  <c r="N26"/>
  <c r="K25"/>
  <c r="N25" s="1"/>
  <c r="N24"/>
  <c r="N27" l="1"/>
  <c r="Q33" s="1"/>
  <c r="L27"/>
  <c r="L24"/>
  <c r="M24"/>
  <c r="L25"/>
  <c r="M25"/>
  <c r="L26"/>
  <c r="M26"/>
  <c r="M27"/>
  <c r="M13"/>
  <c r="K12"/>
  <c r="M12" s="1"/>
  <c r="K11"/>
  <c r="L11" s="1"/>
  <c r="K10"/>
  <c r="N10" s="1"/>
  <c r="K9"/>
  <c r="M9" s="1"/>
  <c r="K8"/>
  <c r="M8" s="1"/>
  <c r="K7"/>
  <c r="L7" s="1"/>
  <c r="K6"/>
  <c r="N6" s="1"/>
  <c r="M5"/>
  <c r="P33" l="1"/>
  <c r="O33"/>
  <c r="P31"/>
  <c r="O31"/>
  <c r="O32"/>
  <c r="P32"/>
  <c r="N9"/>
  <c r="L10"/>
  <c r="N13"/>
  <c r="L6"/>
  <c r="N11"/>
  <c r="N5"/>
  <c r="L8"/>
  <c r="L12"/>
  <c r="M6"/>
  <c r="M10"/>
  <c r="L5"/>
  <c r="L9"/>
  <c r="L13"/>
  <c r="M7"/>
  <c r="M11"/>
  <c r="N8"/>
  <c r="N12"/>
  <c r="N7"/>
  <c r="Q32" l="1"/>
  <c r="S24" s="1"/>
  <c r="Q31"/>
  <c r="O16"/>
  <c r="O17"/>
  <c r="R16"/>
  <c r="Q16"/>
  <c r="P16"/>
  <c r="S18"/>
  <c r="R18"/>
  <c r="Q18"/>
  <c r="P18"/>
  <c r="O18"/>
  <c r="R17"/>
  <c r="Q17"/>
  <c r="P17"/>
  <c r="D5" i="18"/>
  <c r="S17" i="22" l="1"/>
  <c r="S16"/>
  <c r="B5" i="18"/>
  <c r="C5"/>
  <c r="S23" i="22" l="1"/>
  <c r="D2" i="19"/>
  <c r="G3" i="20" l="1"/>
  <c r="G19" i="19"/>
  <c r="G18"/>
  <c r="G22" i="20"/>
  <c r="G18"/>
  <c r="G14"/>
  <c r="G10"/>
  <c r="G6"/>
  <c r="G21"/>
  <c r="G17"/>
  <c r="G13"/>
  <c r="G9"/>
  <c r="G5"/>
  <c r="G20"/>
  <c r="G16"/>
  <c r="G12"/>
  <c r="G8"/>
  <c r="G4"/>
  <c r="G23"/>
  <c r="G19"/>
  <c r="G15"/>
  <c r="G11"/>
  <c r="G7"/>
  <c r="M8" i="19" l="1"/>
  <c r="L8"/>
  <c r="J7"/>
  <c r="J6"/>
  <c r="J5"/>
  <c r="B14"/>
  <c r="B18" s="1"/>
  <c r="B24" l="1"/>
  <c r="L7"/>
  <c r="K7"/>
  <c r="B23"/>
  <c r="B22"/>
  <c r="B20"/>
  <c r="B21"/>
  <c r="B19"/>
  <c r="B229" i="9"/>
  <c r="B25" i="19" l="1"/>
  <c r="K5" s="1"/>
  <c r="C14" l="1"/>
  <c r="C19" s="1"/>
  <c r="E20"/>
  <c r="E24"/>
  <c r="E21"/>
  <c r="E18"/>
  <c r="E22"/>
  <c r="E14"/>
  <c r="E19"/>
  <c r="E23"/>
  <c r="D14"/>
  <c r="D18" s="1"/>
  <c r="G22"/>
  <c r="G14"/>
  <c r="G23"/>
  <c r="G20"/>
  <c r="G24"/>
  <c r="G21"/>
  <c r="F14"/>
  <c r="F23"/>
  <c r="F18"/>
  <c r="F20"/>
  <c r="F24"/>
  <c r="F21"/>
  <c r="F22"/>
  <c r="D7" i="18"/>
  <c r="D8"/>
  <c r="D9"/>
  <c r="D10"/>
  <c r="D11"/>
  <c r="D12"/>
  <c r="D13"/>
  <c r="D14"/>
  <c r="D15"/>
  <c r="D16"/>
  <c r="D6"/>
  <c r="C6"/>
  <c r="C7"/>
  <c r="C8"/>
  <c r="C9"/>
  <c r="C10"/>
  <c r="C11"/>
  <c r="C12"/>
  <c r="C13"/>
  <c r="C14"/>
  <c r="C15"/>
  <c r="C16"/>
  <c r="B16"/>
  <c r="B15"/>
  <c r="B7"/>
  <c r="B8"/>
  <c r="B9"/>
  <c r="B10"/>
  <c r="B11"/>
  <c r="B12"/>
  <c r="B13"/>
  <c r="B14"/>
  <c r="B18" l="1"/>
  <c r="B19" s="1"/>
  <c r="C18"/>
  <c r="C19" s="1"/>
  <c r="C23" i="19"/>
  <c r="D19"/>
  <c r="C24"/>
  <c r="D24"/>
  <c r="D20"/>
  <c r="D22"/>
  <c r="D23"/>
  <c r="D21"/>
  <c r="C22"/>
  <c r="C21"/>
  <c r="C20"/>
  <c r="G25"/>
  <c r="M6" s="1"/>
  <c r="E25"/>
  <c r="K6" s="1"/>
  <c r="K9" s="1"/>
  <c r="C18"/>
  <c r="F25"/>
  <c r="L6" s="1"/>
  <c r="D18" i="18"/>
  <c r="D19" s="1"/>
  <c r="D25" i="19" l="1"/>
  <c r="M5" s="1"/>
  <c r="M9" s="1"/>
  <c r="C25"/>
  <c r="L5" s="1"/>
  <c r="L9" s="1"/>
  <c r="A2" i="16" l="1"/>
  <c r="BG5" i="2" l="1"/>
  <c r="BE5"/>
  <c r="AE5"/>
  <c r="O5"/>
  <c r="P5"/>
  <c r="S5"/>
  <c r="V5"/>
  <c r="X5"/>
  <c r="N5"/>
  <c r="I5"/>
  <c r="J5"/>
  <c r="K5"/>
  <c r="L5"/>
  <c r="H5"/>
  <c r="C5"/>
  <c r="D5"/>
  <c r="E5"/>
  <c r="F5"/>
  <c r="G5"/>
  <c r="B61" l="1"/>
  <c r="B62"/>
  <c r="B63"/>
  <c r="B64"/>
  <c r="B65"/>
  <c r="B66"/>
  <c r="B67"/>
  <c r="B68"/>
  <c r="B69"/>
  <c r="B70"/>
  <c r="B71"/>
  <c r="B72"/>
  <c r="B73"/>
  <c r="B74"/>
  <c r="B75"/>
  <c r="B76"/>
  <c r="B77"/>
  <c r="B78"/>
  <c r="B79"/>
  <c r="B80"/>
  <c r="B81"/>
  <c r="B82"/>
  <c r="B83"/>
  <c r="B84"/>
  <c r="B85"/>
  <c r="B86"/>
  <c r="B87"/>
  <c r="B88"/>
  <c r="G55"/>
  <c r="G56"/>
  <c r="G57"/>
  <c r="G58"/>
  <c r="G59"/>
  <c r="G60"/>
  <c r="G61"/>
  <c r="G62"/>
  <c r="G63"/>
  <c r="G64"/>
  <c r="G65"/>
  <c r="G66"/>
  <c r="G67"/>
  <c r="G68"/>
  <c r="G69"/>
  <c r="G70"/>
  <c r="G71"/>
  <c r="G72"/>
  <c r="G73"/>
  <c r="G74"/>
  <c r="G75"/>
  <c r="G76"/>
  <c r="G77"/>
  <c r="G78"/>
  <c r="G79"/>
  <c r="G80"/>
  <c r="G81"/>
  <c r="G82"/>
  <c r="G83"/>
  <c r="G84"/>
  <c r="G85"/>
  <c r="G86"/>
  <c r="G87"/>
  <c r="G88"/>
  <c r="F61"/>
  <c r="F62"/>
  <c r="F63"/>
  <c r="F64"/>
  <c r="F65"/>
  <c r="F66"/>
  <c r="F67"/>
  <c r="F68"/>
  <c r="F69"/>
  <c r="F70"/>
  <c r="F71"/>
  <c r="F72"/>
  <c r="F73"/>
  <c r="F74"/>
  <c r="F75"/>
  <c r="F76"/>
  <c r="F77"/>
  <c r="F78"/>
  <c r="F79"/>
  <c r="F80"/>
  <c r="F81"/>
  <c r="F82"/>
  <c r="F83"/>
  <c r="F84"/>
  <c r="F85"/>
  <c r="F86"/>
  <c r="F87"/>
  <c r="F88"/>
  <c r="E61"/>
  <c r="E62"/>
  <c r="E63"/>
  <c r="E64"/>
  <c r="E65"/>
  <c r="E66"/>
  <c r="E67"/>
  <c r="E68"/>
  <c r="E69"/>
  <c r="E70"/>
  <c r="E71"/>
  <c r="E72"/>
  <c r="E73"/>
  <c r="E74"/>
  <c r="E75"/>
  <c r="E76"/>
  <c r="E77"/>
  <c r="E78"/>
  <c r="E79"/>
  <c r="E80"/>
  <c r="E81"/>
  <c r="E82"/>
  <c r="E83"/>
  <c r="E84"/>
  <c r="E85"/>
  <c r="E86"/>
  <c r="E87"/>
  <c r="E88"/>
  <c r="D55"/>
  <c r="D56"/>
  <c r="D57"/>
  <c r="D58"/>
  <c r="D59"/>
  <c r="D60"/>
  <c r="D61"/>
  <c r="D62"/>
  <c r="D63"/>
  <c r="D64"/>
  <c r="D65"/>
  <c r="D66"/>
  <c r="D67"/>
  <c r="D68"/>
  <c r="D69"/>
  <c r="D70"/>
  <c r="D71"/>
  <c r="D72"/>
  <c r="D73"/>
  <c r="D74"/>
  <c r="D75"/>
  <c r="D76"/>
  <c r="D77"/>
  <c r="D78"/>
  <c r="D79"/>
  <c r="D80"/>
  <c r="D81"/>
  <c r="D82"/>
  <c r="D83"/>
  <c r="D84"/>
  <c r="D85"/>
  <c r="D86"/>
  <c r="D87"/>
  <c r="D88"/>
  <c r="C61"/>
  <c r="C62"/>
  <c r="C63"/>
  <c r="C64"/>
  <c r="C65"/>
  <c r="C66"/>
  <c r="C67"/>
  <c r="C68"/>
  <c r="C69"/>
  <c r="C70"/>
  <c r="C71"/>
  <c r="C72"/>
  <c r="C73"/>
  <c r="C74"/>
  <c r="C75"/>
  <c r="C76"/>
  <c r="C77"/>
  <c r="C78"/>
  <c r="C79"/>
  <c r="C80"/>
  <c r="C81"/>
  <c r="C82"/>
  <c r="C83"/>
  <c r="C84"/>
  <c r="C85"/>
  <c r="C86"/>
  <c r="C87"/>
  <c r="C88"/>
  <c r="H59"/>
  <c r="H60"/>
  <c r="H61"/>
  <c r="H62"/>
  <c r="H63"/>
  <c r="H64"/>
  <c r="H65"/>
  <c r="H66"/>
  <c r="H67"/>
  <c r="H68"/>
  <c r="H69"/>
  <c r="H70"/>
  <c r="H71"/>
  <c r="H72"/>
  <c r="H73"/>
  <c r="H74"/>
  <c r="H75"/>
  <c r="H76"/>
  <c r="H77"/>
  <c r="H78"/>
  <c r="H79"/>
  <c r="H80"/>
  <c r="H81"/>
  <c r="H82"/>
  <c r="H83"/>
  <c r="H84"/>
  <c r="H85"/>
  <c r="H86"/>
  <c r="H87"/>
  <c r="H88"/>
  <c r="L54"/>
  <c r="L55"/>
  <c r="L56"/>
  <c r="L57"/>
  <c r="L58"/>
  <c r="L59"/>
  <c r="L60"/>
  <c r="L61"/>
  <c r="L62"/>
  <c r="L63"/>
  <c r="L64"/>
  <c r="L65"/>
  <c r="L66"/>
  <c r="L67"/>
  <c r="L68"/>
  <c r="L69"/>
  <c r="L70"/>
  <c r="L71"/>
  <c r="L72"/>
  <c r="L73"/>
  <c r="L74"/>
  <c r="L75"/>
  <c r="L76"/>
  <c r="L77"/>
  <c r="L78"/>
  <c r="L79"/>
  <c r="L80"/>
  <c r="L81"/>
  <c r="L82"/>
  <c r="L83"/>
  <c r="L84"/>
  <c r="L85"/>
  <c r="L86"/>
  <c r="L87"/>
  <c r="L88"/>
  <c r="K58"/>
  <c r="K59"/>
  <c r="K60"/>
  <c r="K61"/>
  <c r="K62"/>
  <c r="K63"/>
  <c r="K64"/>
  <c r="K65"/>
  <c r="K66"/>
  <c r="K67"/>
  <c r="K68"/>
  <c r="K69"/>
  <c r="K70"/>
  <c r="K71"/>
  <c r="K72"/>
  <c r="K73"/>
  <c r="K74"/>
  <c r="K75"/>
  <c r="K76"/>
  <c r="K77"/>
  <c r="K78"/>
  <c r="K79"/>
  <c r="K80"/>
  <c r="K81"/>
  <c r="K82"/>
  <c r="K83"/>
  <c r="K84"/>
  <c r="K85"/>
  <c r="K86"/>
  <c r="K87"/>
  <c r="K88"/>
  <c r="J59"/>
  <c r="J60"/>
  <c r="J61"/>
  <c r="J62"/>
  <c r="J63"/>
  <c r="J64"/>
  <c r="J65"/>
  <c r="J66"/>
  <c r="J67"/>
  <c r="J68"/>
  <c r="J69"/>
  <c r="J70"/>
  <c r="J71"/>
  <c r="J72"/>
  <c r="J73"/>
  <c r="J74"/>
  <c r="J75"/>
  <c r="J76"/>
  <c r="J77"/>
  <c r="J78"/>
  <c r="J79"/>
  <c r="J80"/>
  <c r="J81"/>
  <c r="J82"/>
  <c r="J83"/>
  <c r="J84"/>
  <c r="J85"/>
  <c r="J86"/>
  <c r="J87"/>
  <c r="J88"/>
  <c r="I55"/>
  <c r="I56"/>
  <c r="I57"/>
  <c r="I58"/>
  <c r="I59"/>
  <c r="I60"/>
  <c r="I61"/>
  <c r="I62"/>
  <c r="I63"/>
  <c r="I64"/>
  <c r="I65"/>
  <c r="I66"/>
  <c r="I67"/>
  <c r="I68"/>
  <c r="I69"/>
  <c r="I70"/>
  <c r="I71"/>
  <c r="I72"/>
  <c r="I73"/>
  <c r="I74"/>
  <c r="I75"/>
  <c r="I76"/>
  <c r="I77"/>
  <c r="I78"/>
  <c r="I79"/>
  <c r="I80"/>
  <c r="I81"/>
  <c r="I82"/>
  <c r="I83"/>
  <c r="I84"/>
  <c r="I85"/>
  <c r="I86"/>
  <c r="I87"/>
  <c r="I88"/>
  <c r="N60"/>
  <c r="N61"/>
  <c r="N62"/>
  <c r="N63"/>
  <c r="N64"/>
  <c r="N65"/>
  <c r="N66"/>
  <c r="N67"/>
  <c r="N68"/>
  <c r="N69"/>
  <c r="N70"/>
  <c r="N71"/>
  <c r="N72"/>
  <c r="N73"/>
  <c r="N74"/>
  <c r="N75"/>
  <c r="N76"/>
  <c r="N77"/>
  <c r="N78"/>
  <c r="N79"/>
  <c r="N80"/>
  <c r="N81"/>
  <c r="N82"/>
  <c r="N83"/>
  <c r="N84"/>
  <c r="N85"/>
  <c r="N86"/>
  <c r="N87"/>
  <c r="N88"/>
  <c r="X52"/>
  <c r="X53"/>
  <c r="X54"/>
  <c r="X55"/>
  <c r="X56"/>
  <c r="X57"/>
  <c r="X58"/>
  <c r="X59"/>
  <c r="X60"/>
  <c r="X61"/>
  <c r="X62"/>
  <c r="X63"/>
  <c r="X64"/>
  <c r="X65"/>
  <c r="X66"/>
  <c r="X67"/>
  <c r="X68"/>
  <c r="X69"/>
  <c r="X70"/>
  <c r="X71"/>
  <c r="X72"/>
  <c r="X73"/>
  <c r="X74"/>
  <c r="X75"/>
  <c r="X76"/>
  <c r="X77"/>
  <c r="X78"/>
  <c r="X79"/>
  <c r="X80"/>
  <c r="X81"/>
  <c r="X82"/>
  <c r="X83"/>
  <c r="X84"/>
  <c r="X85"/>
  <c r="X86"/>
  <c r="X87"/>
  <c r="X88"/>
  <c r="V53"/>
  <c r="V54"/>
  <c r="V55"/>
  <c r="V56"/>
  <c r="V57"/>
  <c r="V58"/>
  <c r="V59"/>
  <c r="V60"/>
  <c r="V61"/>
  <c r="V62"/>
  <c r="V63"/>
  <c r="V64"/>
  <c r="V65"/>
  <c r="V66"/>
  <c r="V67"/>
  <c r="V68"/>
  <c r="V69"/>
  <c r="V70"/>
  <c r="V71"/>
  <c r="V72"/>
  <c r="V73"/>
  <c r="V74"/>
  <c r="V75"/>
  <c r="V76"/>
  <c r="V77"/>
  <c r="V78"/>
  <c r="V79"/>
  <c r="V80"/>
  <c r="V81"/>
  <c r="V82"/>
  <c r="V83"/>
  <c r="V84"/>
  <c r="V85"/>
  <c r="V86"/>
  <c r="V87"/>
  <c r="V88"/>
  <c r="U57"/>
  <c r="U58"/>
  <c r="U59"/>
  <c r="U60"/>
  <c r="U61"/>
  <c r="U62"/>
  <c r="U63"/>
  <c r="U64"/>
  <c r="U65"/>
  <c r="U66"/>
  <c r="U67"/>
  <c r="U68"/>
  <c r="U69"/>
  <c r="U70"/>
  <c r="U71"/>
  <c r="U72"/>
  <c r="U73"/>
  <c r="U74"/>
  <c r="U75"/>
  <c r="U76"/>
  <c r="U77"/>
  <c r="U78"/>
  <c r="U79"/>
  <c r="U80"/>
  <c r="U81"/>
  <c r="U82"/>
  <c r="U83"/>
  <c r="U84"/>
  <c r="U85"/>
  <c r="U86"/>
  <c r="U87"/>
  <c r="U88"/>
  <c r="S58"/>
  <c r="S59"/>
  <c r="S60"/>
  <c r="S61"/>
  <c r="S62"/>
  <c r="S63"/>
  <c r="S64"/>
  <c r="S65"/>
  <c r="S66"/>
  <c r="S67"/>
  <c r="S68"/>
  <c r="S69"/>
  <c r="S70"/>
  <c r="S71"/>
  <c r="S72"/>
  <c r="S73"/>
  <c r="S74"/>
  <c r="S75"/>
  <c r="S76"/>
  <c r="S77"/>
  <c r="S78"/>
  <c r="S79"/>
  <c r="S80"/>
  <c r="S81"/>
  <c r="S82"/>
  <c r="S83"/>
  <c r="S84"/>
  <c r="S85"/>
  <c r="S86"/>
  <c r="S87"/>
  <c r="S88"/>
  <c r="Z57"/>
  <c r="Z58"/>
  <c r="Z59"/>
  <c r="Z60"/>
  <c r="Z61"/>
  <c r="Z62"/>
  <c r="Z63"/>
  <c r="Z64"/>
  <c r="Z65"/>
  <c r="Z66"/>
  <c r="Z67"/>
  <c r="Z68"/>
  <c r="Z69"/>
  <c r="Z70"/>
  <c r="Z71"/>
  <c r="Z72"/>
  <c r="Z73"/>
  <c r="Z74"/>
  <c r="Z75"/>
  <c r="Z76"/>
  <c r="Z77"/>
  <c r="Z78"/>
  <c r="Z79"/>
  <c r="Z80"/>
  <c r="Z81"/>
  <c r="Z82"/>
  <c r="Z83"/>
  <c r="Z84"/>
  <c r="Z85"/>
  <c r="Z86"/>
  <c r="Z87"/>
  <c r="Z88"/>
  <c r="Y58"/>
  <c r="Y59"/>
  <c r="Y60"/>
  <c r="Y61"/>
  <c r="Y62"/>
  <c r="Y63"/>
  <c r="Y64"/>
  <c r="Y65"/>
  <c r="Y66"/>
  <c r="Y67"/>
  <c r="Y68"/>
  <c r="Y69"/>
  <c r="Y70"/>
  <c r="Y71"/>
  <c r="Y72"/>
  <c r="Y73"/>
  <c r="Y74"/>
  <c r="Y75"/>
  <c r="Y76"/>
  <c r="Y77"/>
  <c r="Y78"/>
  <c r="Y79"/>
  <c r="Y80"/>
  <c r="Y81"/>
  <c r="Y82"/>
  <c r="Y83"/>
  <c r="Y84"/>
  <c r="Y85"/>
  <c r="Y86"/>
  <c r="Y87"/>
  <c r="Y88"/>
  <c r="P62"/>
  <c r="P63"/>
  <c r="P64"/>
  <c r="P65"/>
  <c r="P66"/>
  <c r="P67"/>
  <c r="P68"/>
  <c r="P69"/>
  <c r="P70"/>
  <c r="P71"/>
  <c r="P72"/>
  <c r="P73"/>
  <c r="P74"/>
  <c r="P75"/>
  <c r="P76"/>
  <c r="P77"/>
  <c r="P78"/>
  <c r="P79"/>
  <c r="P80"/>
  <c r="P81"/>
  <c r="P82"/>
  <c r="P83"/>
  <c r="P84"/>
  <c r="P85"/>
  <c r="P86"/>
  <c r="P87"/>
  <c r="P88"/>
  <c r="O62"/>
  <c r="O63"/>
  <c r="O64"/>
  <c r="O65"/>
  <c r="O66"/>
  <c r="O67"/>
  <c r="O68"/>
  <c r="O69"/>
  <c r="O70"/>
  <c r="O71"/>
  <c r="O72"/>
  <c r="O73"/>
  <c r="O74"/>
  <c r="O75"/>
  <c r="O76"/>
  <c r="O77"/>
  <c r="O78"/>
  <c r="O79"/>
  <c r="O80"/>
  <c r="O81"/>
  <c r="O82"/>
  <c r="O83"/>
  <c r="O84"/>
  <c r="O85"/>
  <c r="O86"/>
  <c r="O87"/>
  <c r="O88"/>
  <c r="AE55"/>
  <c r="AE56"/>
  <c r="AE57"/>
  <c r="AE58"/>
  <c r="AE59"/>
  <c r="AE60"/>
  <c r="AE61"/>
  <c r="AE62"/>
  <c r="AE63"/>
  <c r="AE64"/>
  <c r="AE65"/>
  <c r="AE66"/>
  <c r="AE67"/>
  <c r="AE68"/>
  <c r="AE69"/>
  <c r="AE70"/>
  <c r="AE71"/>
  <c r="AE72"/>
  <c r="AE73"/>
  <c r="AE74"/>
  <c r="AE75"/>
  <c r="AE76"/>
  <c r="AE77"/>
  <c r="AE78"/>
  <c r="AE79"/>
  <c r="AE80"/>
  <c r="AE81"/>
  <c r="AE82"/>
  <c r="AE83"/>
  <c r="AE84"/>
  <c r="AE85"/>
  <c r="AE86"/>
  <c r="AE87"/>
  <c r="AE88"/>
  <c r="AF60"/>
  <c r="AF61"/>
  <c r="AF62"/>
  <c r="AF63"/>
  <c r="AF64"/>
  <c r="AF65"/>
  <c r="AF66"/>
  <c r="AF67"/>
  <c r="AF68"/>
  <c r="AF69"/>
  <c r="AF70"/>
  <c r="AF71"/>
  <c r="AF72"/>
  <c r="AF73"/>
  <c r="AF74"/>
  <c r="AF75"/>
  <c r="AF76"/>
  <c r="AF77"/>
  <c r="AF78"/>
  <c r="AF79"/>
  <c r="AF80"/>
  <c r="AF81"/>
  <c r="AF82"/>
  <c r="AF83"/>
  <c r="AF84"/>
  <c r="AF85"/>
  <c r="AF86"/>
  <c r="AF87"/>
  <c r="AF88"/>
  <c r="BG3"/>
  <c r="BE3"/>
  <c r="AF3"/>
  <c r="AE3"/>
  <c r="O3"/>
  <c r="P3"/>
  <c r="S3"/>
  <c r="U3"/>
  <c r="V3"/>
  <c r="X3"/>
  <c r="N3"/>
  <c r="I3"/>
  <c r="J3"/>
  <c r="K3"/>
  <c r="H3"/>
  <c r="C3"/>
  <c r="D3"/>
  <c r="E3"/>
  <c r="F3"/>
  <c r="G3"/>
  <c r="B3"/>
  <c r="E29" i="12" l="1"/>
  <c r="C29"/>
  <c r="C18"/>
  <c r="B334" i="9"/>
  <c r="B335"/>
  <c r="B336"/>
  <c r="B337"/>
  <c r="B338"/>
  <c r="B339"/>
  <c r="B340"/>
  <c r="B341"/>
  <c r="B342"/>
  <c r="B344"/>
  <c r="B345"/>
  <c r="B346"/>
  <c r="B347"/>
  <c r="B348"/>
  <c r="B349"/>
  <c r="B350"/>
  <c r="B351"/>
  <c r="B352"/>
  <c r="B353"/>
  <c r="B354"/>
  <c r="B355"/>
  <c r="B356"/>
  <c r="B357"/>
  <c r="B358"/>
  <c r="B359"/>
  <c r="B360"/>
  <c r="B361"/>
  <c r="B362"/>
  <c r="B363"/>
  <c r="B364"/>
  <c r="B365"/>
  <c r="B366"/>
  <c r="B367"/>
  <c r="B368"/>
  <c r="B369"/>
  <c r="B370"/>
  <c r="B371"/>
  <c r="B372"/>
  <c r="B333"/>
  <c r="K313"/>
  <c r="B315"/>
  <c r="K304"/>
  <c r="B304"/>
  <c r="B240"/>
  <c r="K257"/>
  <c r="K249"/>
  <c r="K239"/>
  <c r="K229"/>
  <c r="B272"/>
  <c r="K209"/>
  <c r="B219"/>
  <c r="B210"/>
  <c r="K199"/>
  <c r="B199"/>
  <c r="K182"/>
  <c r="B182"/>
  <c r="C183" s="1"/>
  <c r="C184" s="1"/>
  <c r="C185" s="1"/>
  <c r="C186" s="1"/>
  <c r="C187" s="1"/>
  <c r="K133"/>
  <c r="K125"/>
  <c r="K113"/>
  <c r="K100"/>
  <c r="B120"/>
  <c r="B103"/>
  <c r="B89"/>
  <c r="B90"/>
  <c r="B91"/>
  <c r="B93"/>
  <c r="B94"/>
  <c r="B95"/>
  <c r="B96"/>
  <c r="B97"/>
  <c r="B98"/>
  <c r="B88"/>
  <c r="C89" s="1"/>
  <c r="B66"/>
  <c r="B52"/>
  <c r="B76"/>
  <c r="K52"/>
  <c r="K65"/>
  <c r="K23"/>
  <c r="K7"/>
  <c r="K39"/>
  <c r="B23"/>
  <c r="B39"/>
  <c r="B7"/>
  <c r="B46" i="2"/>
  <c r="C46"/>
  <c r="D46"/>
  <c r="E46"/>
  <c r="F46"/>
  <c r="G46"/>
  <c r="H46"/>
  <c r="I46"/>
  <c r="J46"/>
  <c r="K46"/>
  <c r="L46"/>
  <c r="N46"/>
  <c r="O46"/>
  <c r="P46"/>
  <c r="Y46"/>
  <c r="Z46"/>
  <c r="S46"/>
  <c r="U46"/>
  <c r="V46"/>
  <c r="AE46"/>
  <c r="AF46"/>
  <c r="AG46"/>
  <c r="AH46"/>
  <c r="AI46"/>
  <c r="AJ46"/>
  <c r="AJ4" s="1"/>
  <c r="AO46"/>
  <c r="AP46"/>
  <c r="AQ46"/>
  <c r="AR46"/>
  <c r="AS46"/>
  <c r="AT46"/>
  <c r="AU46"/>
  <c r="AV46"/>
  <c r="AW46"/>
  <c r="AX46"/>
  <c r="AX4" s="1"/>
  <c r="AY46"/>
  <c r="AZ46"/>
  <c r="BB46"/>
  <c r="BE46"/>
  <c r="I20" i="29" l="1"/>
  <c r="H59" i="12"/>
  <c r="I59" s="1"/>
  <c r="B59"/>
  <c r="C59" s="1"/>
  <c r="J59"/>
  <c r="K59" s="1"/>
  <c r="D59"/>
  <c r="E59" s="1"/>
  <c r="L59"/>
  <c r="M59" s="1"/>
  <c r="F59"/>
  <c r="G59" s="1"/>
  <c r="J3"/>
  <c r="H4"/>
  <c r="H44"/>
  <c r="I44" s="1"/>
  <c r="P44"/>
  <c r="Q44" s="1"/>
  <c r="B44"/>
  <c r="C44" s="1"/>
  <c r="J44"/>
  <c r="K44" s="1"/>
  <c r="R44"/>
  <c r="S44" s="1"/>
  <c r="D44"/>
  <c r="E44" s="1"/>
  <c r="L44"/>
  <c r="M44" s="1"/>
  <c r="T44"/>
  <c r="U44" s="1"/>
  <c r="F44"/>
  <c r="G44" s="1"/>
  <c r="N44"/>
  <c r="O44" s="1"/>
  <c r="H14"/>
  <c r="I14" s="1"/>
  <c r="F14"/>
  <c r="G14" s="1"/>
  <c r="D14"/>
  <c r="E14" s="1"/>
  <c r="B14"/>
  <c r="C14" s="1"/>
  <c r="J14"/>
  <c r="K14" s="1"/>
  <c r="I2" i="29"/>
  <c r="F33" i="12"/>
  <c r="G33" s="1"/>
  <c r="C90" i="9"/>
  <c r="C91" s="1"/>
  <c r="C92" s="1"/>
  <c r="C93" s="1"/>
  <c r="C94" s="1"/>
  <c r="C95" s="1"/>
  <c r="C96" s="1"/>
  <c r="C97" s="1"/>
  <c r="C98" s="1"/>
  <c r="K3" i="12"/>
  <c r="J7"/>
  <c r="K7" s="1"/>
  <c r="J11"/>
  <c r="K11" s="1"/>
  <c r="I4"/>
  <c r="H8"/>
  <c r="I8" s="1"/>
  <c r="H12"/>
  <c r="I12" s="1"/>
  <c r="F5"/>
  <c r="G5" s="1"/>
  <c r="F9"/>
  <c r="G9" s="1"/>
  <c r="F13"/>
  <c r="J4"/>
  <c r="K4" s="1"/>
  <c r="J8"/>
  <c r="K8" s="1"/>
  <c r="J12"/>
  <c r="H5"/>
  <c r="I5" s="1"/>
  <c r="H9"/>
  <c r="H13"/>
  <c r="F6"/>
  <c r="F10"/>
  <c r="G10" s="1"/>
  <c r="J5"/>
  <c r="J9"/>
  <c r="J13"/>
  <c r="H6"/>
  <c r="H10"/>
  <c r="F3"/>
  <c r="G3" s="1"/>
  <c r="F7"/>
  <c r="F11"/>
  <c r="J6"/>
  <c r="J10"/>
  <c r="H3"/>
  <c r="I3" s="1"/>
  <c r="H7"/>
  <c r="H11"/>
  <c r="F4"/>
  <c r="G4" s="1"/>
  <c r="F8"/>
  <c r="F12"/>
  <c r="D3"/>
  <c r="D7"/>
  <c r="E7" s="1"/>
  <c r="D11"/>
  <c r="E11" s="1"/>
  <c r="D4"/>
  <c r="E4" s="1"/>
  <c r="D8"/>
  <c r="E8" s="1"/>
  <c r="D12"/>
  <c r="E12" s="1"/>
  <c r="D10"/>
  <c r="E10" s="1"/>
  <c r="D5"/>
  <c r="D9"/>
  <c r="D13"/>
  <c r="P14" s="1"/>
  <c r="D6"/>
  <c r="E6" s="1"/>
  <c r="B3"/>
  <c r="C3" s="1"/>
  <c r="T33"/>
  <c r="U33" s="1"/>
  <c r="T37"/>
  <c r="U37" s="1"/>
  <c r="T41"/>
  <c r="U41" s="1"/>
  <c r="R34"/>
  <c r="S34" s="1"/>
  <c r="R38"/>
  <c r="S38" s="1"/>
  <c r="R42"/>
  <c r="S42" s="1"/>
  <c r="P35"/>
  <c r="Q35" s="1"/>
  <c r="P39"/>
  <c r="Q39" s="1"/>
  <c r="P43"/>
  <c r="N36"/>
  <c r="O36" s="1"/>
  <c r="N40"/>
  <c r="O40" s="1"/>
  <c r="L33"/>
  <c r="M33" s="1"/>
  <c r="L37"/>
  <c r="M37" s="1"/>
  <c r="L41"/>
  <c r="M41" s="1"/>
  <c r="J34"/>
  <c r="K34" s="1"/>
  <c r="J38"/>
  <c r="K38" s="1"/>
  <c r="J42"/>
  <c r="K42" s="1"/>
  <c r="H35"/>
  <c r="I35" s="1"/>
  <c r="H39"/>
  <c r="I39" s="1"/>
  <c r="H43"/>
  <c r="F36"/>
  <c r="G36" s="1"/>
  <c r="F40"/>
  <c r="G40" s="1"/>
  <c r="D33"/>
  <c r="E33" s="1"/>
  <c r="D37"/>
  <c r="E37" s="1"/>
  <c r="D41"/>
  <c r="E41" s="1"/>
  <c r="T34"/>
  <c r="U34" s="1"/>
  <c r="T38"/>
  <c r="U38" s="1"/>
  <c r="T42"/>
  <c r="R35"/>
  <c r="S35" s="1"/>
  <c r="R39"/>
  <c r="S39" s="1"/>
  <c r="R43"/>
  <c r="P36"/>
  <c r="Q36" s="1"/>
  <c r="P40"/>
  <c r="Q40" s="1"/>
  <c r="N33"/>
  <c r="O33" s="1"/>
  <c r="N37"/>
  <c r="O37" s="1"/>
  <c r="N41"/>
  <c r="O41" s="1"/>
  <c r="L34"/>
  <c r="M34" s="1"/>
  <c r="L38"/>
  <c r="M38" s="1"/>
  <c r="L42"/>
  <c r="M42" s="1"/>
  <c r="J35"/>
  <c r="K35" s="1"/>
  <c r="J39"/>
  <c r="K39" s="1"/>
  <c r="J43"/>
  <c r="H36"/>
  <c r="I36" s="1"/>
  <c r="H40"/>
  <c r="I40" s="1"/>
  <c r="F37"/>
  <c r="G37" s="1"/>
  <c r="F41"/>
  <c r="G41" s="1"/>
  <c r="D34"/>
  <c r="E34" s="1"/>
  <c r="D38"/>
  <c r="E38" s="1"/>
  <c r="D42"/>
  <c r="E42" s="1"/>
  <c r="T40"/>
  <c r="U40" s="1"/>
  <c r="R37"/>
  <c r="S37" s="1"/>
  <c r="P34"/>
  <c r="Q34" s="1"/>
  <c r="N35"/>
  <c r="O35" s="1"/>
  <c r="N43"/>
  <c r="L40"/>
  <c r="M40" s="1"/>
  <c r="J33"/>
  <c r="K33" s="1"/>
  <c r="J41"/>
  <c r="K41" s="1"/>
  <c r="H38"/>
  <c r="I38" s="1"/>
  <c r="F35"/>
  <c r="G35" s="1"/>
  <c r="D36"/>
  <c r="E36" s="1"/>
  <c r="T35"/>
  <c r="U35" s="1"/>
  <c r="T39"/>
  <c r="U39" s="1"/>
  <c r="T43"/>
  <c r="R36"/>
  <c r="S36" s="1"/>
  <c r="R40"/>
  <c r="S40" s="1"/>
  <c r="P33"/>
  <c r="Q33" s="1"/>
  <c r="P37"/>
  <c r="Q37" s="1"/>
  <c r="P41"/>
  <c r="Q41" s="1"/>
  <c r="N34"/>
  <c r="O34" s="1"/>
  <c r="N38"/>
  <c r="O38" s="1"/>
  <c r="N42"/>
  <c r="O42" s="1"/>
  <c r="L35"/>
  <c r="M35" s="1"/>
  <c r="L39"/>
  <c r="M39" s="1"/>
  <c r="L43"/>
  <c r="J36"/>
  <c r="K36" s="1"/>
  <c r="J40"/>
  <c r="K40" s="1"/>
  <c r="H33"/>
  <c r="I33" s="1"/>
  <c r="H37"/>
  <c r="I37" s="1"/>
  <c r="H41"/>
  <c r="I41" s="1"/>
  <c r="F34"/>
  <c r="G34" s="1"/>
  <c r="F38"/>
  <c r="F42"/>
  <c r="D35"/>
  <c r="E35" s="1"/>
  <c r="D39"/>
  <c r="E39" s="1"/>
  <c r="AA39" s="1"/>
  <c r="D43"/>
  <c r="T36"/>
  <c r="U36" s="1"/>
  <c r="R33"/>
  <c r="S33" s="1"/>
  <c r="R41"/>
  <c r="S41" s="1"/>
  <c r="P38"/>
  <c r="Q38" s="1"/>
  <c r="P42"/>
  <c r="Q42" s="1"/>
  <c r="N39"/>
  <c r="O39" s="1"/>
  <c r="L36"/>
  <c r="M36" s="1"/>
  <c r="AI36" s="1"/>
  <c r="J37"/>
  <c r="K37" s="1"/>
  <c r="H34"/>
  <c r="I34" s="1"/>
  <c r="H42"/>
  <c r="F39"/>
  <c r="G39" s="1"/>
  <c r="F43"/>
  <c r="D40"/>
  <c r="E40" s="1"/>
  <c r="B7"/>
  <c r="C7" s="1"/>
  <c r="B11"/>
  <c r="C11" s="1"/>
  <c r="B10"/>
  <c r="C10" s="1"/>
  <c r="B4"/>
  <c r="C4" s="1"/>
  <c r="B8"/>
  <c r="B12"/>
  <c r="B5"/>
  <c r="C5" s="1"/>
  <c r="B9"/>
  <c r="C9" s="1"/>
  <c r="B13"/>
  <c r="B6"/>
  <c r="C6" s="1"/>
  <c r="I21" i="22"/>
  <c r="L49" i="12"/>
  <c r="M49" s="1"/>
  <c r="L53"/>
  <c r="M53" s="1"/>
  <c r="L57"/>
  <c r="M57" s="1"/>
  <c r="J51"/>
  <c r="K51" s="1"/>
  <c r="J55"/>
  <c r="K55" s="1"/>
  <c r="H49"/>
  <c r="I49" s="1"/>
  <c r="H53"/>
  <c r="I53" s="1"/>
  <c r="H57"/>
  <c r="I57" s="1"/>
  <c r="F51"/>
  <c r="G51" s="1"/>
  <c r="F55"/>
  <c r="G55" s="1"/>
  <c r="D49"/>
  <c r="E49" s="1"/>
  <c r="D53"/>
  <c r="E53" s="1"/>
  <c r="D57"/>
  <c r="E57" s="1"/>
  <c r="B51"/>
  <c r="C51" s="1"/>
  <c r="B55"/>
  <c r="C55" s="1"/>
  <c r="L50"/>
  <c r="L54"/>
  <c r="M54" s="1"/>
  <c r="L58"/>
  <c r="Z59" s="1"/>
  <c r="J48"/>
  <c r="J52"/>
  <c r="J56"/>
  <c r="H50"/>
  <c r="H54"/>
  <c r="H58"/>
  <c r="V59" s="1"/>
  <c r="F48"/>
  <c r="F52"/>
  <c r="F56"/>
  <c r="D50"/>
  <c r="E50" s="1"/>
  <c r="D54"/>
  <c r="D58"/>
  <c r="R59" s="1"/>
  <c r="B48"/>
  <c r="B52"/>
  <c r="C52" s="1"/>
  <c r="B56"/>
  <c r="C56" s="1"/>
  <c r="J54"/>
  <c r="K54" s="1"/>
  <c r="H52"/>
  <c r="I52" s="1"/>
  <c r="F50"/>
  <c r="G50" s="1"/>
  <c r="F58"/>
  <c r="T59" s="1"/>
  <c r="D52"/>
  <c r="E52" s="1"/>
  <c r="B54"/>
  <c r="C54" s="1"/>
  <c r="L51"/>
  <c r="L55"/>
  <c r="J49"/>
  <c r="K49" s="1"/>
  <c r="J53"/>
  <c r="J57"/>
  <c r="H51"/>
  <c r="I51" s="1"/>
  <c r="H55"/>
  <c r="I55" s="1"/>
  <c r="F49"/>
  <c r="F53"/>
  <c r="G53" s="1"/>
  <c r="F57"/>
  <c r="G57" s="1"/>
  <c r="D51"/>
  <c r="D55"/>
  <c r="B49"/>
  <c r="C49" s="1"/>
  <c r="B53"/>
  <c r="B57"/>
  <c r="L48"/>
  <c r="L52"/>
  <c r="L56"/>
  <c r="J50"/>
  <c r="J58"/>
  <c r="X59" s="1"/>
  <c r="H48"/>
  <c r="H56"/>
  <c r="I56" s="1"/>
  <c r="F54"/>
  <c r="D48"/>
  <c r="D56"/>
  <c r="E56" s="1"/>
  <c r="B50"/>
  <c r="B58"/>
  <c r="P59" s="1"/>
  <c r="B33"/>
  <c r="C33" s="1"/>
  <c r="Y33" s="1"/>
  <c r="B37"/>
  <c r="C37" s="1"/>
  <c r="B41"/>
  <c r="C41" s="1"/>
  <c r="B34"/>
  <c r="C34" s="1"/>
  <c r="B38"/>
  <c r="C38" s="1"/>
  <c r="B42"/>
  <c r="C42" s="1"/>
  <c r="B40"/>
  <c r="C40" s="1"/>
  <c r="B35"/>
  <c r="C35" s="1"/>
  <c r="B39"/>
  <c r="C39" s="1"/>
  <c r="Y39" s="1"/>
  <c r="B43"/>
  <c r="B36"/>
  <c r="C36" s="1"/>
  <c r="I2" i="22"/>
  <c r="C334" i="9"/>
  <c r="C335" s="1"/>
  <c r="C336" s="1"/>
  <c r="C337" s="1"/>
  <c r="C338" s="1"/>
  <c r="C339" s="1"/>
  <c r="C340" s="1"/>
  <c r="C341" s="1"/>
  <c r="C342" s="1"/>
  <c r="C343" s="1"/>
  <c r="C344" s="1"/>
  <c r="C345" s="1"/>
  <c r="C346" s="1"/>
  <c r="C347" s="1"/>
  <c r="C348" s="1"/>
  <c r="C349" s="1"/>
  <c r="C350" s="1"/>
  <c r="C351" s="1"/>
  <c r="C352" s="1"/>
  <c r="C353" s="1"/>
  <c r="C354" s="1"/>
  <c r="C355" s="1"/>
  <c r="C356" s="1"/>
  <c r="C357" s="1"/>
  <c r="C358" s="1"/>
  <c r="C359" s="1"/>
  <c r="C360" s="1"/>
  <c r="C361" s="1"/>
  <c r="C362" s="1"/>
  <c r="C363" s="1"/>
  <c r="C364" s="1"/>
  <c r="C365" s="1"/>
  <c r="C366" s="1"/>
  <c r="C367" s="1"/>
  <c r="C368" s="1"/>
  <c r="C369" s="1"/>
  <c r="C370" s="1"/>
  <c r="C371" s="1"/>
  <c r="C372" s="1"/>
  <c r="G331"/>
  <c r="AZ4" i="2"/>
  <c r="AR4"/>
  <c r="AG4"/>
  <c r="V4"/>
  <c r="L4"/>
  <c r="L49" s="1"/>
  <c r="L50" s="1"/>
  <c r="L51" s="1"/>
  <c r="L52" s="1"/>
  <c r="D4"/>
  <c r="D49" s="1"/>
  <c r="AY4"/>
  <c r="AQ4"/>
  <c r="AF4"/>
  <c r="AF49" s="1"/>
  <c r="P4"/>
  <c r="P49" s="1"/>
  <c r="G4"/>
  <c r="G49" s="1"/>
  <c r="BB4"/>
  <c r="AT4"/>
  <c r="AP4"/>
  <c r="AI4"/>
  <c r="AE4"/>
  <c r="AE49" s="1"/>
  <c r="S4"/>
  <c r="S49" s="1"/>
  <c r="O4"/>
  <c r="O49" s="1"/>
  <c r="J4"/>
  <c r="J49" s="1"/>
  <c r="F4"/>
  <c r="F49" s="1"/>
  <c r="B4"/>
  <c r="B49" s="1"/>
  <c r="BG4"/>
  <c r="BG49" s="1"/>
  <c r="AV4"/>
  <c r="AK4"/>
  <c r="Y4"/>
  <c r="Y49" s="1"/>
  <c r="H4"/>
  <c r="BE4"/>
  <c r="BE49" s="1"/>
  <c r="AU4"/>
  <c r="U4"/>
  <c r="U49" s="1"/>
  <c r="K4"/>
  <c r="C4"/>
  <c r="C49" s="1"/>
  <c r="AW4"/>
  <c r="AS4"/>
  <c r="AO4"/>
  <c r="AH4"/>
  <c r="X4"/>
  <c r="X49" s="1"/>
  <c r="Z4"/>
  <c r="Z49" s="1"/>
  <c r="N4"/>
  <c r="N49" s="1"/>
  <c r="I4"/>
  <c r="E4"/>
  <c r="E49" s="1"/>
  <c r="I42" i="12" l="1"/>
  <c r="AE42" s="1"/>
  <c r="D249" i="9"/>
  <c r="K58" i="12"/>
  <c r="Y59" s="1"/>
  <c r="G58"/>
  <c r="U59" s="1"/>
  <c r="M43"/>
  <c r="AI44" s="1"/>
  <c r="AH44"/>
  <c r="O43"/>
  <c r="AK44" s="1"/>
  <c r="AJ44"/>
  <c r="K43"/>
  <c r="AG44" s="1"/>
  <c r="AF44"/>
  <c r="I43"/>
  <c r="AE44" s="1"/>
  <c r="AD44"/>
  <c r="C43"/>
  <c r="Y44" s="1"/>
  <c r="X44"/>
  <c r="M58"/>
  <c r="AA59" s="1"/>
  <c r="G43"/>
  <c r="AC44" s="1"/>
  <c r="AB44"/>
  <c r="E43"/>
  <c r="AA44" s="1"/>
  <c r="Z44"/>
  <c r="U43"/>
  <c r="AQ44" s="1"/>
  <c r="AP44"/>
  <c r="S43"/>
  <c r="AO44" s="1"/>
  <c r="AN44"/>
  <c r="Q43"/>
  <c r="AM44" s="1"/>
  <c r="AL44"/>
  <c r="AE37"/>
  <c r="AI35"/>
  <c r="AK38"/>
  <c r="AO36"/>
  <c r="AQ39"/>
  <c r="C13"/>
  <c r="O14" s="1"/>
  <c r="N14"/>
  <c r="K13"/>
  <c r="W14" s="1"/>
  <c r="V14"/>
  <c r="I13"/>
  <c r="U14" s="1"/>
  <c r="T14"/>
  <c r="G13"/>
  <c r="S14" s="1"/>
  <c r="R14"/>
  <c r="AI39"/>
  <c r="AK42"/>
  <c r="AM37"/>
  <c r="AQ35"/>
  <c r="G42"/>
  <c r="AC42" s="1"/>
  <c r="G38"/>
  <c r="AC38" s="1"/>
  <c r="U42"/>
  <c r="AQ42" s="1"/>
  <c r="M264" i="9"/>
  <c r="P264" s="1"/>
  <c r="Q264" s="1"/>
  <c r="AO40" i="12"/>
  <c r="N255" i="9"/>
  <c r="L257" s="1"/>
  <c r="L258" s="1"/>
  <c r="L259" s="1"/>
  <c r="K49" i="2"/>
  <c r="K50" s="1"/>
  <c r="K51" s="1"/>
  <c r="K52" s="1"/>
  <c r="K53" s="1"/>
  <c r="K54" s="1"/>
  <c r="K55" s="1"/>
  <c r="K56" s="1"/>
  <c r="K57" s="1"/>
  <c r="C28" i="12"/>
  <c r="K29" s="1"/>
  <c r="J28"/>
  <c r="C24"/>
  <c r="J24"/>
  <c r="C20"/>
  <c r="J20"/>
  <c r="E26"/>
  <c r="L26"/>
  <c r="E22"/>
  <c r="L22"/>
  <c r="G28"/>
  <c r="O29" s="1"/>
  <c r="N28"/>
  <c r="G24"/>
  <c r="N24"/>
  <c r="G20"/>
  <c r="N20"/>
  <c r="C27"/>
  <c r="J27"/>
  <c r="C23"/>
  <c r="J23"/>
  <c r="C19"/>
  <c r="J19"/>
  <c r="E27"/>
  <c r="M27" s="1"/>
  <c r="L27"/>
  <c r="E23"/>
  <c r="M23" s="1"/>
  <c r="L23"/>
  <c r="E19"/>
  <c r="L19"/>
  <c r="G27"/>
  <c r="N27"/>
  <c r="G23"/>
  <c r="N23"/>
  <c r="G19"/>
  <c r="N19"/>
  <c r="C26"/>
  <c r="J26"/>
  <c r="C22"/>
  <c r="J22"/>
  <c r="E28"/>
  <c r="M29" s="1"/>
  <c r="L28"/>
  <c r="E24"/>
  <c r="L24"/>
  <c r="E20"/>
  <c r="M20" s="1"/>
  <c r="L20"/>
  <c r="G26"/>
  <c r="N26"/>
  <c r="G22"/>
  <c r="N22"/>
  <c r="J18"/>
  <c r="C25"/>
  <c r="J25"/>
  <c r="C21"/>
  <c r="J21"/>
  <c r="E18"/>
  <c r="M18" s="1"/>
  <c r="L18"/>
  <c r="E25"/>
  <c r="L25"/>
  <c r="E21"/>
  <c r="L21"/>
  <c r="G18"/>
  <c r="O18" s="1"/>
  <c r="N18"/>
  <c r="G25"/>
  <c r="N25"/>
  <c r="G21"/>
  <c r="N21"/>
  <c r="J11" i="29"/>
  <c r="J13"/>
  <c r="J7"/>
  <c r="J6"/>
  <c r="J10"/>
  <c r="AM41" i="12"/>
  <c r="J12" i="29"/>
  <c r="AE41" i="12"/>
  <c r="AB36"/>
  <c r="Y35"/>
  <c r="AF42"/>
  <c r="Z39"/>
  <c r="AH35"/>
  <c r="AA40"/>
  <c r="AM42"/>
  <c r="W8"/>
  <c r="AN41"/>
  <c r="AF43"/>
  <c r="Q12"/>
  <c r="AA35"/>
  <c r="S10"/>
  <c r="U5"/>
  <c r="AQ36"/>
  <c r="AC41"/>
  <c r="AE36"/>
  <c r="AI42"/>
  <c r="AK37"/>
  <c r="AQ38"/>
  <c r="O6"/>
  <c r="Q11"/>
  <c r="R8"/>
  <c r="G8"/>
  <c r="R7"/>
  <c r="G7"/>
  <c r="R6"/>
  <c r="G6"/>
  <c r="S6" s="1"/>
  <c r="V12"/>
  <c r="K12"/>
  <c r="W12" s="1"/>
  <c r="O5"/>
  <c r="O10"/>
  <c r="P13"/>
  <c r="E13"/>
  <c r="Q7"/>
  <c r="V10"/>
  <c r="K10"/>
  <c r="V9"/>
  <c r="K9"/>
  <c r="S5"/>
  <c r="N12"/>
  <c r="C12"/>
  <c r="O12" s="1"/>
  <c r="O11"/>
  <c r="P9"/>
  <c r="E9"/>
  <c r="Q9" s="1"/>
  <c r="Q8"/>
  <c r="P3"/>
  <c r="E3"/>
  <c r="T11"/>
  <c r="I11"/>
  <c r="V6"/>
  <c r="K6"/>
  <c r="W7" s="1"/>
  <c r="T10"/>
  <c r="I10"/>
  <c r="V5"/>
  <c r="K5"/>
  <c r="W5" s="1"/>
  <c r="T9"/>
  <c r="I9"/>
  <c r="N8"/>
  <c r="C8"/>
  <c r="O8" s="1"/>
  <c r="O7"/>
  <c r="P5"/>
  <c r="E5"/>
  <c r="Q5" s="1"/>
  <c r="R12"/>
  <c r="G12"/>
  <c r="T7"/>
  <c r="I7"/>
  <c r="U8" s="1"/>
  <c r="R11"/>
  <c r="G11"/>
  <c r="T6"/>
  <c r="I6"/>
  <c r="U6" s="1"/>
  <c r="AJ35"/>
  <c r="AD38"/>
  <c r="Z43"/>
  <c r="AO41"/>
  <c r="AP35"/>
  <c r="AH43"/>
  <c r="AL34"/>
  <c r="AB39"/>
  <c r="V8"/>
  <c r="T13"/>
  <c r="R5"/>
  <c r="V11"/>
  <c r="V13"/>
  <c r="R9"/>
  <c r="T12"/>
  <c r="V7"/>
  <c r="R10"/>
  <c r="T5"/>
  <c r="R13"/>
  <c r="T8"/>
  <c r="P8"/>
  <c r="P4"/>
  <c r="P12"/>
  <c r="P6"/>
  <c r="P10"/>
  <c r="P11"/>
  <c r="P7"/>
  <c r="Y36"/>
  <c r="AA54"/>
  <c r="AK39"/>
  <c r="AE40"/>
  <c r="AK41"/>
  <c r="AM36"/>
  <c r="AA42"/>
  <c r="AC37"/>
  <c r="AI38"/>
  <c r="AO39"/>
  <c r="AJ43"/>
  <c r="AP40"/>
  <c r="AD34"/>
  <c r="Y38"/>
  <c r="AP36"/>
  <c r="Z40"/>
  <c r="AD37"/>
  <c r="Y40"/>
  <c r="AC35"/>
  <c r="AI40"/>
  <c r="AO37"/>
  <c r="AA37"/>
  <c r="AM39"/>
  <c r="Y41"/>
  <c r="AO34"/>
  <c r="AW5" i="2"/>
  <c r="AN37" i="12"/>
  <c r="AJ39"/>
  <c r="AF38"/>
  <c r="Y42"/>
  <c r="Y37"/>
  <c r="AE34"/>
  <c r="E259" i="9"/>
  <c r="C261" s="1"/>
  <c r="C262" s="1"/>
  <c r="C263" s="1"/>
  <c r="C264" s="1"/>
  <c r="C265" s="1"/>
  <c r="C266" s="1"/>
  <c r="C267" s="1"/>
  <c r="AR5" i="2"/>
  <c r="AR49" s="1"/>
  <c r="AE38" i="12"/>
  <c r="AQ40"/>
  <c r="J13" i="22"/>
  <c r="AE39" i="12"/>
  <c r="AK40"/>
  <c r="AM35"/>
  <c r="AQ41"/>
  <c r="AA34"/>
  <c r="AP5" i="2"/>
  <c r="AP49" s="1"/>
  <c r="AP50" s="1"/>
  <c r="AP51" s="1"/>
  <c r="AP52" s="1"/>
  <c r="AP53" s="1"/>
  <c r="AP54" s="1"/>
  <c r="AP55" s="1"/>
  <c r="E238" i="9"/>
  <c r="C240" s="1"/>
  <c r="C241" s="1"/>
  <c r="C242" s="1"/>
  <c r="C243" s="1"/>
  <c r="C244" s="1"/>
  <c r="C245" s="1"/>
  <c r="C246" s="1"/>
  <c r="AM38" i="12"/>
  <c r="J6" i="22"/>
  <c r="AK34" i="12"/>
  <c r="N237" i="9"/>
  <c r="L239" s="1"/>
  <c r="L240" s="1"/>
  <c r="L241" s="1"/>
  <c r="L242" s="1"/>
  <c r="L243" s="1"/>
  <c r="L244" s="1"/>
  <c r="AU5" i="2"/>
  <c r="AK35" i="12"/>
  <c r="AQ34"/>
  <c r="AC40"/>
  <c r="AE35"/>
  <c r="AI41"/>
  <c r="AK36"/>
  <c r="AO42"/>
  <c r="AQ37"/>
  <c r="AF39"/>
  <c r="AD41"/>
  <c r="Y34"/>
  <c r="E227" i="9"/>
  <c r="C229" s="1"/>
  <c r="C230" s="1"/>
  <c r="C231" s="1"/>
  <c r="C232" s="1"/>
  <c r="C233" s="1"/>
  <c r="C234" s="1"/>
  <c r="C235" s="1"/>
  <c r="AO5" i="2"/>
  <c r="AC34" i="12"/>
  <c r="E249" i="9"/>
  <c r="C251" s="1"/>
  <c r="C252" s="1"/>
  <c r="C253" s="1"/>
  <c r="C254" s="1"/>
  <c r="C255" s="1"/>
  <c r="C256" s="1"/>
  <c r="AQ5" i="2"/>
  <c r="AA36" i="12"/>
  <c r="AM34"/>
  <c r="N247" i="9"/>
  <c r="L249" s="1"/>
  <c r="L250" s="1"/>
  <c r="L251" s="1"/>
  <c r="L252" s="1"/>
  <c r="AV5" i="2"/>
  <c r="AA38" i="12"/>
  <c r="AI34"/>
  <c r="N227" i="9"/>
  <c r="L229" s="1"/>
  <c r="L230" s="1"/>
  <c r="L231" s="1"/>
  <c r="L232" s="1"/>
  <c r="L233" s="1"/>
  <c r="L234" s="1"/>
  <c r="AT5" i="2"/>
  <c r="AT49" s="1"/>
  <c r="AM40" i="12"/>
  <c r="AO35"/>
  <c r="AA41"/>
  <c r="AC36"/>
  <c r="AI37"/>
  <c r="J12" i="22"/>
  <c r="AO38" i="12"/>
  <c r="Q52"/>
  <c r="S50"/>
  <c r="N6"/>
  <c r="N11"/>
  <c r="N9"/>
  <c r="N5"/>
  <c r="N10"/>
  <c r="N13"/>
  <c r="D197" i="9"/>
  <c r="N7" i="12"/>
  <c r="R48"/>
  <c r="E48"/>
  <c r="S48" s="1"/>
  <c r="Z48"/>
  <c r="M48"/>
  <c r="AA48" s="1"/>
  <c r="R55"/>
  <c r="E55"/>
  <c r="S56" s="1"/>
  <c r="T49"/>
  <c r="G49"/>
  <c r="U50" s="1"/>
  <c r="X53"/>
  <c r="K53"/>
  <c r="Y54" s="1"/>
  <c r="W52"/>
  <c r="P48"/>
  <c r="C48"/>
  <c r="Q48" s="1"/>
  <c r="T56"/>
  <c r="G56"/>
  <c r="V54"/>
  <c r="I54"/>
  <c r="W54" s="1"/>
  <c r="X48"/>
  <c r="K48"/>
  <c r="Y48" s="1"/>
  <c r="Q55"/>
  <c r="W53"/>
  <c r="P58"/>
  <c r="C58"/>
  <c r="Q59" s="1"/>
  <c r="T54"/>
  <c r="G54"/>
  <c r="U54" s="1"/>
  <c r="X50"/>
  <c r="K50"/>
  <c r="Y50" s="1"/>
  <c r="P57"/>
  <c r="C57"/>
  <c r="Q57" s="1"/>
  <c r="R51"/>
  <c r="E51"/>
  <c r="S51" s="1"/>
  <c r="R58"/>
  <c r="E58"/>
  <c r="S59" s="1"/>
  <c r="T52"/>
  <c r="G52"/>
  <c r="U52" s="1"/>
  <c r="V50"/>
  <c r="I50"/>
  <c r="W50" s="1"/>
  <c r="P50"/>
  <c r="C50"/>
  <c r="Q50" s="1"/>
  <c r="W56"/>
  <c r="Z56"/>
  <c r="M56"/>
  <c r="P53"/>
  <c r="C53"/>
  <c r="Q53" s="1"/>
  <c r="Z55"/>
  <c r="M55"/>
  <c r="AA55" s="1"/>
  <c r="Q56"/>
  <c r="R54"/>
  <c r="E54"/>
  <c r="S54" s="1"/>
  <c r="T48"/>
  <c r="G48"/>
  <c r="U48" s="1"/>
  <c r="X56"/>
  <c r="K56"/>
  <c r="S57"/>
  <c r="U51"/>
  <c r="Y55"/>
  <c r="V48"/>
  <c r="I48"/>
  <c r="W48" s="1"/>
  <c r="Z52"/>
  <c r="M52"/>
  <c r="X57"/>
  <c r="K57"/>
  <c r="Z51"/>
  <c r="M51"/>
  <c r="V58"/>
  <c r="I58"/>
  <c r="W59" s="1"/>
  <c r="X52"/>
  <c r="K52"/>
  <c r="Y52" s="1"/>
  <c r="Z50"/>
  <c r="M50"/>
  <c r="AA50" s="1"/>
  <c r="S53"/>
  <c r="W57"/>
  <c r="X49"/>
  <c r="V56"/>
  <c r="T57"/>
  <c r="V51"/>
  <c r="P56"/>
  <c r="Z54"/>
  <c r="V55"/>
  <c r="X54"/>
  <c r="R56"/>
  <c r="P49"/>
  <c r="T53"/>
  <c r="P52"/>
  <c r="R50"/>
  <c r="X58"/>
  <c r="D321" i="9"/>
  <c r="G321" s="1"/>
  <c r="P54" i="12"/>
  <c r="V52"/>
  <c r="P55"/>
  <c r="R49"/>
  <c r="V53"/>
  <c r="Z57"/>
  <c r="R52"/>
  <c r="Z58"/>
  <c r="M320" i="9"/>
  <c r="P320" s="1"/>
  <c r="P51" i="12"/>
  <c r="T55"/>
  <c r="V49"/>
  <c r="Z53"/>
  <c r="T58"/>
  <c r="R57"/>
  <c r="T51"/>
  <c r="X55"/>
  <c r="Z49"/>
  <c r="T50"/>
  <c r="R53"/>
  <c r="V57"/>
  <c r="X51"/>
  <c r="Z41"/>
  <c r="AH38"/>
  <c r="AN40"/>
  <c r="AF36"/>
  <c r="AF40"/>
  <c r="AP43"/>
  <c r="AJ38"/>
  <c r="AH40"/>
  <c r="AF35"/>
  <c r="AB41"/>
  <c r="Z36"/>
  <c r="Z34"/>
  <c r="AD39"/>
  <c r="AD43"/>
  <c r="Z37"/>
  <c r="AH34"/>
  <c r="AD40"/>
  <c r="AB35"/>
  <c r="AH41"/>
  <c r="AB42"/>
  <c r="AD35"/>
  <c r="AF41"/>
  <c r="AD36"/>
  <c r="Z42"/>
  <c r="AP39"/>
  <c r="AJ34"/>
  <c r="AH36"/>
  <c r="AD42"/>
  <c r="AB37"/>
  <c r="AB34"/>
  <c r="AH39"/>
  <c r="AF34"/>
  <c r="AB40"/>
  <c r="Z35"/>
  <c r="AH37"/>
  <c r="AB38"/>
  <c r="AH42"/>
  <c r="AF37"/>
  <c r="AB43"/>
  <c r="Z38"/>
  <c r="AN38"/>
  <c r="AJ41"/>
  <c r="AL36"/>
  <c r="AP37"/>
  <c r="AJ37"/>
  <c r="AN34"/>
  <c r="AN35"/>
  <c r="AP41"/>
  <c r="AJ40"/>
  <c r="AN43"/>
  <c r="AP38"/>
  <c r="AP42"/>
  <c r="AN42"/>
  <c r="AN36"/>
  <c r="AJ42"/>
  <c r="AJ36"/>
  <c r="AN39"/>
  <c r="AP34"/>
  <c r="AL35"/>
  <c r="AL37"/>
  <c r="H49" i="2"/>
  <c r="H50" s="1"/>
  <c r="H51" s="1"/>
  <c r="H52" s="1"/>
  <c r="H53" s="1"/>
  <c r="H54" s="1"/>
  <c r="H55" s="1"/>
  <c r="H56" s="1"/>
  <c r="H57" s="1"/>
  <c r="H58" s="1"/>
  <c r="X39" i="12"/>
  <c r="V49" i="2"/>
  <c r="V50" s="1"/>
  <c r="V51" s="1"/>
  <c r="V52" s="1"/>
  <c r="I49"/>
  <c r="I50" s="1"/>
  <c r="I51" s="1"/>
  <c r="I52" s="1"/>
  <c r="I53" s="1"/>
  <c r="I54" s="1"/>
  <c r="S50"/>
  <c r="S51" s="1"/>
  <c r="S52" s="1"/>
  <c r="S53" s="1"/>
  <c r="S54" s="1"/>
  <c r="S55" s="1"/>
  <c r="S56" s="1"/>
  <c r="S57" s="1"/>
  <c r="Z50"/>
  <c r="Z51" s="1"/>
  <c r="Z52" s="1"/>
  <c r="Z53" s="1"/>
  <c r="Z54" s="1"/>
  <c r="Z55" s="1"/>
  <c r="Z56" s="1"/>
  <c r="P50"/>
  <c r="P51" s="1"/>
  <c r="P52" s="1"/>
  <c r="P53" s="1"/>
  <c r="P54" s="1"/>
  <c r="P55" s="1"/>
  <c r="P56" s="1"/>
  <c r="P57" s="1"/>
  <c r="P58" s="1"/>
  <c r="P59" s="1"/>
  <c r="P60" s="1"/>
  <c r="P61" s="1"/>
  <c r="N50"/>
  <c r="N51" s="1"/>
  <c r="N52" s="1"/>
  <c r="N53" s="1"/>
  <c r="BE50"/>
  <c r="BE51" s="1"/>
  <c r="BE52" s="1"/>
  <c r="BE53" s="1"/>
  <c r="BE54" s="1"/>
  <c r="BE55" s="1"/>
  <c r="BE56" s="1"/>
  <c r="BE57" s="1"/>
  <c r="BE58" s="1"/>
  <c r="BE59" s="1"/>
  <c r="BE60" s="1"/>
  <c r="BE61" s="1"/>
  <c r="BE62" s="1"/>
  <c r="BE63" s="1"/>
  <c r="BE64" s="1"/>
  <c r="BE65" s="1"/>
  <c r="BE66" s="1"/>
  <c r="BE67" s="1"/>
  <c r="BE68" s="1"/>
  <c r="BE69" s="1"/>
  <c r="BE70" s="1"/>
  <c r="BE71" s="1"/>
  <c r="BE72" s="1"/>
  <c r="BE73" s="1"/>
  <c r="BE74" s="1"/>
  <c r="BE75" s="1"/>
  <c r="BE76" s="1"/>
  <c r="BE77" s="1"/>
  <c r="BE78" s="1"/>
  <c r="BE79" s="1"/>
  <c r="BE80" s="1"/>
  <c r="BE81" s="1"/>
  <c r="BE82" s="1"/>
  <c r="BE83" s="1"/>
  <c r="BE84" s="1"/>
  <c r="BE85" s="1"/>
  <c r="BE86" s="1"/>
  <c r="BE87" s="1"/>
  <c r="BE88" s="1"/>
  <c r="AE50"/>
  <c r="AE51" s="1"/>
  <c r="AE52" s="1"/>
  <c r="AE53" s="1"/>
  <c r="AE54" s="1"/>
  <c r="AF50"/>
  <c r="AF51" s="1"/>
  <c r="AF52" s="1"/>
  <c r="AF53" s="1"/>
  <c r="AF54" s="1"/>
  <c r="AF55" s="1"/>
  <c r="AF56" s="1"/>
  <c r="AF57" s="1"/>
  <c r="AF58" s="1"/>
  <c r="AF59" s="1"/>
  <c r="U50"/>
  <c r="U51" s="1"/>
  <c r="U52" s="1"/>
  <c r="U53" s="1"/>
  <c r="U54" s="1"/>
  <c r="U55" s="1"/>
  <c r="U56" s="1"/>
  <c r="Y50"/>
  <c r="Y51" s="1"/>
  <c r="Y52" s="1"/>
  <c r="Y53" s="1"/>
  <c r="Y54" s="1"/>
  <c r="Y55" s="1"/>
  <c r="Y56" s="1"/>
  <c r="Y57" s="1"/>
  <c r="O50"/>
  <c r="O51" s="1"/>
  <c r="O52" s="1"/>
  <c r="O53" s="1"/>
  <c r="O54" s="1"/>
  <c r="O55" s="1"/>
  <c r="O56" s="1"/>
  <c r="O57" s="1"/>
  <c r="O58" s="1"/>
  <c r="O59" s="1"/>
  <c r="O60" s="1"/>
  <c r="O61" s="1"/>
  <c r="J50"/>
  <c r="J51" s="1"/>
  <c r="J52" s="1"/>
  <c r="J53" s="1"/>
  <c r="J54" s="1"/>
  <c r="J55" s="1"/>
  <c r="J56" s="1"/>
  <c r="J57" s="1"/>
  <c r="J58" s="1"/>
  <c r="L53"/>
  <c r="E50"/>
  <c r="E51" s="1"/>
  <c r="E52" s="1"/>
  <c r="E53" s="1"/>
  <c r="E54" s="1"/>
  <c r="E55" s="1"/>
  <c r="E56" s="1"/>
  <c r="E57" s="1"/>
  <c r="E58" s="1"/>
  <c r="E59" s="1"/>
  <c r="E60" s="1"/>
  <c r="C50"/>
  <c r="C51" s="1"/>
  <c r="C52" s="1"/>
  <c r="C53" s="1"/>
  <c r="C54" s="1"/>
  <c r="C55" s="1"/>
  <c r="C56" s="1"/>
  <c r="C57" s="1"/>
  <c r="C58" s="1"/>
  <c r="C59" s="1"/>
  <c r="C60" s="1"/>
  <c r="B50"/>
  <c r="B51" s="1"/>
  <c r="B52" s="1"/>
  <c r="B53" s="1"/>
  <c r="B54" s="1"/>
  <c r="B55" s="1"/>
  <c r="B56" s="1"/>
  <c r="B57" s="1"/>
  <c r="B58" s="1"/>
  <c r="B59" s="1"/>
  <c r="B60" s="1"/>
  <c r="F50"/>
  <c r="F51" s="1"/>
  <c r="F52" s="1"/>
  <c r="F53" s="1"/>
  <c r="F54" s="1"/>
  <c r="F55" s="1"/>
  <c r="F56" s="1"/>
  <c r="F57" s="1"/>
  <c r="F58" s="1"/>
  <c r="F59" s="1"/>
  <c r="F60" s="1"/>
  <c r="G50"/>
  <c r="G51" s="1"/>
  <c r="G52" s="1"/>
  <c r="G53" s="1"/>
  <c r="G54" s="1"/>
  <c r="D50"/>
  <c r="D51" s="1"/>
  <c r="D52" s="1"/>
  <c r="D53" s="1"/>
  <c r="D54" s="1"/>
  <c r="X50"/>
  <c r="BG50"/>
  <c r="BG51" s="1"/>
  <c r="BG52" s="1"/>
  <c r="BG53" s="1"/>
  <c r="BG54" s="1"/>
  <c r="BG55" s="1"/>
  <c r="BG56" s="1"/>
  <c r="BG57" s="1"/>
  <c r="BG58" s="1"/>
  <c r="BG59" s="1"/>
  <c r="BG60" s="1"/>
  <c r="BG61" s="1"/>
  <c r="BG62" s="1"/>
  <c r="BG63" s="1"/>
  <c r="BG64" s="1"/>
  <c r="BG65" s="1"/>
  <c r="BG66" s="1"/>
  <c r="BG67" s="1"/>
  <c r="BG68" s="1"/>
  <c r="BG69" s="1"/>
  <c r="BG70" s="1"/>
  <c r="BG71" s="1"/>
  <c r="BG72" s="1"/>
  <c r="BG73" s="1"/>
  <c r="BG74" s="1"/>
  <c r="BG75" s="1"/>
  <c r="BG76" s="1"/>
  <c r="BG77" s="1"/>
  <c r="BG78" s="1"/>
  <c r="BG79" s="1"/>
  <c r="BG80" s="1"/>
  <c r="BG81" s="1"/>
  <c r="BG82" s="1"/>
  <c r="BG83" s="1"/>
  <c r="BG84" s="1"/>
  <c r="BG85" s="1"/>
  <c r="BG86" s="1"/>
  <c r="BG87" s="1"/>
  <c r="BG88" s="1"/>
  <c r="C4" i="8"/>
  <c r="AO43" i="12" l="1"/>
  <c r="W11"/>
  <c r="AK5" i="2"/>
  <c r="AK49" s="1"/>
  <c r="AE43" i="12"/>
  <c r="AK43"/>
  <c r="J10" i="22"/>
  <c r="Y43" i="12"/>
  <c r="AA58"/>
  <c r="J7" i="22"/>
  <c r="J11"/>
  <c r="AI43" i="12"/>
  <c r="J5" i="22"/>
  <c r="S13" i="12"/>
  <c r="U13"/>
  <c r="J9" i="29"/>
  <c r="J5"/>
  <c r="AC43" i="12"/>
  <c r="U58"/>
  <c r="AM43"/>
  <c r="AA43"/>
  <c r="J26" i="29"/>
  <c r="AX5" i="2"/>
  <c r="AX62" s="1"/>
  <c r="N264" i="9"/>
  <c r="L266" s="1"/>
  <c r="L267" s="1"/>
  <c r="L268" s="1"/>
  <c r="L269" s="1"/>
  <c r="L270" s="1"/>
  <c r="N207"/>
  <c r="L209" s="1"/>
  <c r="L210" s="1"/>
  <c r="L211" s="1"/>
  <c r="L212" s="1"/>
  <c r="L213" s="1"/>
  <c r="Q13" i="12"/>
  <c r="Q14"/>
  <c r="AC39"/>
  <c r="B29" i="29"/>
  <c r="B27"/>
  <c r="J8" i="22"/>
  <c r="J8" i="29"/>
  <c r="AQ43" i="12"/>
  <c r="J14" i="29"/>
  <c r="J14" i="22"/>
  <c r="L260" i="9"/>
  <c r="L261" s="1"/>
  <c r="E291"/>
  <c r="E295" s="1"/>
  <c r="E283"/>
  <c r="C285" s="1"/>
  <c r="C286" s="1"/>
  <c r="C287" s="1"/>
  <c r="C288" s="1"/>
  <c r="B28" i="29"/>
  <c r="B12" i="22"/>
  <c r="B10"/>
  <c r="B9"/>
  <c r="M28" i="12"/>
  <c r="B11" i="22"/>
  <c r="C293" i="9"/>
  <c r="C294" s="1"/>
  <c r="C295" s="1"/>
  <c r="C296" s="1"/>
  <c r="AM5" i="2"/>
  <c r="N283" i="9"/>
  <c r="AL5" i="2"/>
  <c r="W9" i="12"/>
  <c r="K25"/>
  <c r="O21"/>
  <c r="O25"/>
  <c r="M21"/>
  <c r="M25"/>
  <c r="K21"/>
  <c r="K18"/>
  <c r="U9"/>
  <c r="AJ5" i="2"/>
  <c r="AJ72" s="1"/>
  <c r="M24" i="12"/>
  <c r="O24"/>
  <c r="AN5" i="2"/>
  <c r="K24" i="12"/>
  <c r="O22"/>
  <c r="O26"/>
  <c r="K22"/>
  <c r="K26"/>
  <c r="O19"/>
  <c r="O23"/>
  <c r="O27"/>
  <c r="M19"/>
  <c r="K19"/>
  <c r="K23"/>
  <c r="K27"/>
  <c r="O20"/>
  <c r="O28"/>
  <c r="M22"/>
  <c r="M26"/>
  <c r="K20"/>
  <c r="K28"/>
  <c r="J27" i="29"/>
  <c r="J23"/>
  <c r="B22"/>
  <c r="B23"/>
  <c r="J24"/>
  <c r="B26"/>
  <c r="AA57" i="12"/>
  <c r="J28" i="29"/>
  <c r="U57" i="12"/>
  <c r="J25" i="29"/>
  <c r="U12" i="12"/>
  <c r="B25" i="29"/>
  <c r="S11" i="12"/>
  <c r="B24" i="29"/>
  <c r="B5" i="22"/>
  <c r="T4" s="1"/>
  <c r="B6"/>
  <c r="B7"/>
  <c r="B8"/>
  <c r="J29"/>
  <c r="J28"/>
  <c r="E208" i="9"/>
  <c r="C210" s="1"/>
  <c r="C211" s="1"/>
  <c r="C212" s="1"/>
  <c r="C213" s="1"/>
  <c r="C214" s="1"/>
  <c r="E217"/>
  <c r="AI5" i="2"/>
  <c r="AI58" s="1"/>
  <c r="S49" i="12"/>
  <c r="J26" i="22"/>
  <c r="AR50" i="2"/>
  <c r="AR51" s="1"/>
  <c r="AR52" s="1"/>
  <c r="AR53" s="1"/>
  <c r="AR54" s="1"/>
  <c r="AR55" s="1"/>
  <c r="O13" i="12"/>
  <c r="U7"/>
  <c r="W13"/>
  <c r="Q10"/>
  <c r="U10"/>
  <c r="U11"/>
  <c r="S7"/>
  <c r="S8"/>
  <c r="Q6"/>
  <c r="S12"/>
  <c r="S9"/>
  <c r="O9"/>
  <c r="W6"/>
  <c r="W10"/>
  <c r="N311" i="9"/>
  <c r="L313" s="1"/>
  <c r="L314" s="1"/>
  <c r="L315" s="1"/>
  <c r="L316" s="1"/>
  <c r="L317" s="1"/>
  <c r="AY5" i="2"/>
  <c r="AY49" s="1"/>
  <c r="AY50" s="1"/>
  <c r="AY51" s="1"/>
  <c r="AY52" s="1"/>
  <c r="AY53" s="1"/>
  <c r="AY54" s="1"/>
  <c r="AY55" s="1"/>
  <c r="AZ5"/>
  <c r="AZ49" s="1"/>
  <c r="AZ50" s="1"/>
  <c r="AZ51" s="1"/>
  <c r="AZ52" s="1"/>
  <c r="AZ53" s="1"/>
  <c r="AZ54" s="1"/>
  <c r="Y51" i="12"/>
  <c r="BB5" i="2"/>
  <c r="BB56" s="1"/>
  <c r="N302" i="9"/>
  <c r="L304" s="1"/>
  <c r="L305" s="1"/>
  <c r="L306" s="1"/>
  <c r="L307" s="1"/>
  <c r="L308" s="1"/>
  <c r="E302"/>
  <c r="C304" s="1"/>
  <c r="C305" s="1"/>
  <c r="C306" s="1"/>
  <c r="C307" s="1"/>
  <c r="C308" s="1"/>
  <c r="C309" s="1"/>
  <c r="C310" s="1"/>
  <c r="AT50" i="2"/>
  <c r="AT51" s="1"/>
  <c r="AT52" s="1"/>
  <c r="AT53" s="1"/>
  <c r="AT54" s="1"/>
  <c r="AT55" s="1"/>
  <c r="U53" i="12"/>
  <c r="AA49"/>
  <c r="AU49" i="2"/>
  <c r="AU50" s="1"/>
  <c r="AU51" s="1"/>
  <c r="AU52" s="1"/>
  <c r="AU53" s="1"/>
  <c r="AU54" s="1"/>
  <c r="AU55" s="1"/>
  <c r="AW57"/>
  <c r="AW61"/>
  <c r="AW65"/>
  <c r="AW69"/>
  <c r="AW73"/>
  <c r="AW77"/>
  <c r="AW81"/>
  <c r="AW85"/>
  <c r="AW64"/>
  <c r="AW58"/>
  <c r="AW62"/>
  <c r="AW66"/>
  <c r="AW70"/>
  <c r="AW74"/>
  <c r="AW78"/>
  <c r="AW82"/>
  <c r="AW86"/>
  <c r="AW56"/>
  <c r="AW68"/>
  <c r="AW59"/>
  <c r="AW63"/>
  <c r="AW67"/>
  <c r="AW71"/>
  <c r="AW75"/>
  <c r="AW79"/>
  <c r="AW83"/>
  <c r="AW87"/>
  <c r="AW60"/>
  <c r="AW72"/>
  <c r="AW88"/>
  <c r="AW76"/>
  <c r="AW80"/>
  <c r="AW84"/>
  <c r="AT58"/>
  <c r="AT62"/>
  <c r="AT66"/>
  <c r="AT70"/>
  <c r="AT74"/>
  <c r="AT78"/>
  <c r="AT82"/>
  <c r="AT86"/>
  <c r="AT59"/>
  <c r="AT63"/>
  <c r="AT67"/>
  <c r="AT71"/>
  <c r="AT75"/>
  <c r="AT79"/>
  <c r="AT83"/>
  <c r="AT87"/>
  <c r="AT56"/>
  <c r="AT60"/>
  <c r="AT64"/>
  <c r="AT68"/>
  <c r="AT72"/>
  <c r="AT76"/>
  <c r="AT80"/>
  <c r="AT84"/>
  <c r="AT88"/>
  <c r="AT69"/>
  <c r="AT85"/>
  <c r="AT57"/>
  <c r="AT81"/>
  <c r="AT73"/>
  <c r="AT65"/>
  <c r="AT61"/>
  <c r="AT77"/>
  <c r="AV56"/>
  <c r="AV60"/>
  <c r="AV64"/>
  <c r="AV68"/>
  <c r="AV72"/>
  <c r="AV76"/>
  <c r="AV80"/>
  <c r="AV84"/>
  <c r="AV88"/>
  <c r="AV57"/>
  <c r="AV61"/>
  <c r="AV65"/>
  <c r="AV69"/>
  <c r="AV73"/>
  <c r="AV77"/>
  <c r="AV81"/>
  <c r="AV85"/>
  <c r="AV58"/>
  <c r="AV62"/>
  <c r="AV66"/>
  <c r="AV70"/>
  <c r="AV74"/>
  <c r="AV78"/>
  <c r="AV82"/>
  <c r="AV86"/>
  <c r="AV71"/>
  <c r="AV87"/>
  <c r="AV67"/>
  <c r="AV59"/>
  <c r="AV75"/>
  <c r="AV83"/>
  <c r="AV63"/>
  <c r="AV79"/>
  <c r="AQ56"/>
  <c r="AQ60"/>
  <c r="AQ64"/>
  <c r="AQ68"/>
  <c r="AQ72"/>
  <c r="AQ76"/>
  <c r="AQ80"/>
  <c r="AQ84"/>
  <c r="AQ88"/>
  <c r="AQ57"/>
  <c r="AQ61"/>
  <c r="AQ65"/>
  <c r="AQ69"/>
  <c r="AQ73"/>
  <c r="AQ77"/>
  <c r="AQ81"/>
  <c r="AQ85"/>
  <c r="AQ58"/>
  <c r="AQ62"/>
  <c r="AQ66"/>
  <c r="AQ70"/>
  <c r="AQ74"/>
  <c r="AQ78"/>
  <c r="AQ82"/>
  <c r="AQ86"/>
  <c r="AQ67"/>
  <c r="AQ83"/>
  <c r="AQ87"/>
  <c r="AQ79"/>
  <c r="AQ71"/>
  <c r="AQ59"/>
  <c r="AQ75"/>
  <c r="AQ63"/>
  <c r="AW49"/>
  <c r="AW50" s="1"/>
  <c r="AW51" s="1"/>
  <c r="AW52" s="1"/>
  <c r="AW53" s="1"/>
  <c r="AW54" s="1"/>
  <c r="AW55" s="1"/>
  <c r="AP59"/>
  <c r="AP63"/>
  <c r="AP67"/>
  <c r="AP71"/>
  <c r="AP75"/>
  <c r="AP79"/>
  <c r="AP83"/>
  <c r="AP87"/>
  <c r="AP64"/>
  <c r="AP72"/>
  <c r="AP76"/>
  <c r="AP84"/>
  <c r="AP56"/>
  <c r="AP60"/>
  <c r="AP68"/>
  <c r="AP80"/>
  <c r="AP88"/>
  <c r="AP57"/>
  <c r="AP61"/>
  <c r="AP65"/>
  <c r="AP69"/>
  <c r="AP73"/>
  <c r="AP77"/>
  <c r="AP81"/>
  <c r="AP85"/>
  <c r="AP66"/>
  <c r="AP82"/>
  <c r="AP70"/>
  <c r="AP86"/>
  <c r="AP78"/>
  <c r="AP58"/>
  <c r="AP74"/>
  <c r="AP62"/>
  <c r="AQ49"/>
  <c r="AQ50" s="1"/>
  <c r="AQ51" s="1"/>
  <c r="AQ52" s="1"/>
  <c r="AQ53" s="1"/>
  <c r="AQ54" s="1"/>
  <c r="AQ55" s="1"/>
  <c r="AU59"/>
  <c r="AU63"/>
  <c r="AU67"/>
  <c r="AU71"/>
  <c r="AU75"/>
  <c r="AU79"/>
  <c r="AU83"/>
  <c r="AU87"/>
  <c r="AU56"/>
  <c r="AU60"/>
  <c r="AU64"/>
  <c r="AU68"/>
  <c r="AU72"/>
  <c r="AU76"/>
  <c r="AU80"/>
  <c r="AU84"/>
  <c r="AU88"/>
  <c r="AU57"/>
  <c r="AU61"/>
  <c r="AU65"/>
  <c r="AU69"/>
  <c r="AU73"/>
  <c r="AU77"/>
  <c r="AU81"/>
  <c r="AU85"/>
  <c r="AU70"/>
  <c r="AU86"/>
  <c r="AU66"/>
  <c r="AU58"/>
  <c r="AU74"/>
  <c r="AU62"/>
  <c r="AU78"/>
  <c r="AU82"/>
  <c r="AV49"/>
  <c r="AV50" s="1"/>
  <c r="AV51" s="1"/>
  <c r="AV52" s="1"/>
  <c r="AV53" s="1"/>
  <c r="AV54" s="1"/>
  <c r="AV55" s="1"/>
  <c r="AO59"/>
  <c r="AO63"/>
  <c r="AO67"/>
  <c r="AO71"/>
  <c r="AO75"/>
  <c r="AO79"/>
  <c r="AO83"/>
  <c r="AO87"/>
  <c r="AO58"/>
  <c r="AO66"/>
  <c r="AO78"/>
  <c r="AO56"/>
  <c r="AO60"/>
  <c r="AO64"/>
  <c r="AO68"/>
  <c r="AO72"/>
  <c r="AO76"/>
  <c r="AO80"/>
  <c r="AO84"/>
  <c r="AO88"/>
  <c r="AO74"/>
  <c r="AO86"/>
  <c r="AO57"/>
  <c r="AO61"/>
  <c r="AO65"/>
  <c r="AO69"/>
  <c r="AO73"/>
  <c r="AO77"/>
  <c r="AO81"/>
  <c r="AO85"/>
  <c r="AO62"/>
  <c r="AO70"/>
  <c r="AO82"/>
  <c r="AR57"/>
  <c r="AR61"/>
  <c r="AR65"/>
  <c r="AR69"/>
  <c r="AR73"/>
  <c r="AR77"/>
  <c r="AR81"/>
  <c r="AR85"/>
  <c r="AR58"/>
  <c r="AR62"/>
  <c r="AR66"/>
  <c r="AR70"/>
  <c r="AR74"/>
  <c r="AR78"/>
  <c r="AR82"/>
  <c r="AR86"/>
  <c r="AR59"/>
  <c r="AR63"/>
  <c r="AR67"/>
  <c r="AR71"/>
  <c r="AR75"/>
  <c r="AR79"/>
  <c r="AR83"/>
  <c r="AR87"/>
  <c r="AR68"/>
  <c r="AR84"/>
  <c r="AR56"/>
  <c r="AR88"/>
  <c r="AR72"/>
  <c r="AR80"/>
  <c r="AR60"/>
  <c r="AR76"/>
  <c r="AR64"/>
  <c r="AO49"/>
  <c r="Q49" i="12"/>
  <c r="W51"/>
  <c r="U55"/>
  <c r="Y57"/>
  <c r="Y49"/>
  <c r="AA51"/>
  <c r="S58"/>
  <c r="J25" i="22"/>
  <c r="U56" i="12"/>
  <c r="E313" i="9"/>
  <c r="BA5" i="2"/>
  <c r="U49" i="12"/>
  <c r="W58"/>
  <c r="J27" i="22"/>
  <c r="Y56" i="12"/>
  <c r="E321" i="9"/>
  <c r="E325" s="1"/>
  <c r="BC5" i="2"/>
  <c r="Q51" i="12"/>
  <c r="W55"/>
  <c r="Q54"/>
  <c r="AA52"/>
  <c r="AA56"/>
  <c r="N320" i="9"/>
  <c r="BD5" i="2"/>
  <c r="AA53" i="12"/>
  <c r="Q58"/>
  <c r="J24" i="22"/>
  <c r="Y53" i="12"/>
  <c r="S55"/>
  <c r="W49"/>
  <c r="S52"/>
  <c r="Y58"/>
  <c r="H321" i="9"/>
  <c r="Q320"/>
  <c r="T12" i="16" s="1"/>
  <c r="AL43" i="12"/>
  <c r="AL41"/>
  <c r="AL38"/>
  <c r="X36"/>
  <c r="X42"/>
  <c r="X34"/>
  <c r="X40"/>
  <c r="X35"/>
  <c r="X43"/>
  <c r="X38"/>
  <c r="X41"/>
  <c r="X37"/>
  <c r="N197" i="9"/>
  <c r="AH5" i="2"/>
  <c r="AG5"/>
  <c r="E197" i="9"/>
  <c r="N54" i="2"/>
  <c r="N55" s="1"/>
  <c r="X51"/>
  <c r="X89" s="1"/>
  <c r="V89"/>
  <c r="L89"/>
  <c r="D89"/>
  <c r="AF89"/>
  <c r="P89"/>
  <c r="G89"/>
  <c r="AE89"/>
  <c r="S89"/>
  <c r="O89"/>
  <c r="J89"/>
  <c r="F89"/>
  <c r="B89"/>
  <c r="BG89"/>
  <c r="Y89"/>
  <c r="H89"/>
  <c r="BE89"/>
  <c r="U89"/>
  <c r="K89"/>
  <c r="C89"/>
  <c r="Z89"/>
  <c r="I89"/>
  <c r="E89"/>
  <c r="D5" i="9"/>
  <c r="G5" s="1"/>
  <c r="F325" l="1"/>
  <c r="G325"/>
  <c r="AX61" i="2"/>
  <c r="AX71"/>
  <c r="AX60"/>
  <c r="AX82"/>
  <c r="AX76"/>
  <c r="AX87"/>
  <c r="AX85"/>
  <c r="AX66"/>
  <c r="AX81"/>
  <c r="AX84"/>
  <c r="AX68"/>
  <c r="AX77"/>
  <c r="AX79"/>
  <c r="AX63"/>
  <c r="AX57"/>
  <c r="AX74"/>
  <c r="AX58"/>
  <c r="N266" i="9"/>
  <c r="P266" s="1"/>
  <c r="N267"/>
  <c r="P267" s="1"/>
  <c r="N268"/>
  <c r="P268" s="1"/>
  <c r="O267"/>
  <c r="N269"/>
  <c r="N270"/>
  <c r="O270" s="1"/>
  <c r="AX49" i="2"/>
  <c r="AX50" s="1"/>
  <c r="AX51" s="1"/>
  <c r="AX52" s="1"/>
  <c r="AX53" s="1"/>
  <c r="AX54" s="1"/>
  <c r="AX55" s="1"/>
  <c r="AX73"/>
  <c r="AX88"/>
  <c r="AX80"/>
  <c r="AX72"/>
  <c r="AX64"/>
  <c r="AX56"/>
  <c r="AX65"/>
  <c r="AX83"/>
  <c r="AX75"/>
  <c r="AX67"/>
  <c r="AX59"/>
  <c r="AX69"/>
  <c r="AX86"/>
  <c r="AX78"/>
  <c r="AX70"/>
  <c r="M266" i="9"/>
  <c r="M269"/>
  <c r="E293"/>
  <c r="F293" s="1"/>
  <c r="E287"/>
  <c r="G287" s="1"/>
  <c r="E294"/>
  <c r="D294" s="1"/>
  <c r="E286"/>
  <c r="F286" s="1"/>
  <c r="E288"/>
  <c r="F288" s="1"/>
  <c r="E285"/>
  <c r="E296"/>
  <c r="D296" s="1"/>
  <c r="D295"/>
  <c r="G295"/>
  <c r="I295" s="1"/>
  <c r="F295"/>
  <c r="H295" s="1"/>
  <c r="L285"/>
  <c r="L286" s="1"/>
  <c r="L287" s="1"/>
  <c r="L288" s="1"/>
  <c r="N285"/>
  <c r="N288"/>
  <c r="N287"/>
  <c r="N286"/>
  <c r="L199"/>
  <c r="L200" s="1"/>
  <c r="L201" s="1"/>
  <c r="L202" s="1"/>
  <c r="L203" s="1"/>
  <c r="L204" s="1"/>
  <c r="C219"/>
  <c r="C220" s="1"/>
  <c r="C221" s="1"/>
  <c r="C199"/>
  <c r="C200" s="1"/>
  <c r="C201" s="1"/>
  <c r="C202" s="1"/>
  <c r="C203" s="1"/>
  <c r="C204" s="1"/>
  <c r="C205" s="1"/>
  <c r="AL78" i="2"/>
  <c r="AL88"/>
  <c r="AL54"/>
  <c r="AL56"/>
  <c r="AL59"/>
  <c r="AL62"/>
  <c r="AL61"/>
  <c r="AL72"/>
  <c r="AL81"/>
  <c r="AL71"/>
  <c r="AL49"/>
  <c r="AL50" s="1"/>
  <c r="AL51" s="1"/>
  <c r="AL52" s="1"/>
  <c r="AL58"/>
  <c r="AL70"/>
  <c r="AL86"/>
  <c r="AL77"/>
  <c r="AL64"/>
  <c r="AL80"/>
  <c r="AL65"/>
  <c r="AL75"/>
  <c r="AL87"/>
  <c r="AL55"/>
  <c r="AL66"/>
  <c r="AL74"/>
  <c r="AL82"/>
  <c r="AL53"/>
  <c r="AL69"/>
  <c r="AL85"/>
  <c r="AL60"/>
  <c r="AL68"/>
  <c r="AL76"/>
  <c r="AL84"/>
  <c r="AL57"/>
  <c r="AL73"/>
  <c r="AL83"/>
  <c r="AL67"/>
  <c r="AL79"/>
  <c r="AL63"/>
  <c r="AO50"/>
  <c r="AO51" s="1"/>
  <c r="AO52" s="1"/>
  <c r="AO53" s="1"/>
  <c r="AO54" s="1"/>
  <c r="AO55" s="1"/>
  <c r="AN53"/>
  <c r="AN55"/>
  <c r="AN57"/>
  <c r="AN59"/>
  <c r="AN61"/>
  <c r="AN65"/>
  <c r="AN67"/>
  <c r="AN71"/>
  <c r="AN75"/>
  <c r="AN79"/>
  <c r="AN85"/>
  <c r="AN54"/>
  <c r="AN56"/>
  <c r="AN58"/>
  <c r="AN60"/>
  <c r="AN62"/>
  <c r="AN64"/>
  <c r="AN66"/>
  <c r="AN68"/>
  <c r="AN70"/>
  <c r="AN72"/>
  <c r="AN74"/>
  <c r="AN76"/>
  <c r="AN78"/>
  <c r="AN80"/>
  <c r="AN82"/>
  <c r="AN84"/>
  <c r="AN86"/>
  <c r="AN88"/>
  <c r="AN63"/>
  <c r="AN69"/>
  <c r="AN73"/>
  <c r="AN77"/>
  <c r="AN81"/>
  <c r="AN83"/>
  <c r="AN87"/>
  <c r="AN49"/>
  <c r="AN50" s="1"/>
  <c r="AN51" s="1"/>
  <c r="AN52" s="1"/>
  <c r="AM55"/>
  <c r="AM59"/>
  <c r="AM63"/>
  <c r="AM67"/>
  <c r="AM73"/>
  <c r="AM77"/>
  <c r="AM83"/>
  <c r="AM87"/>
  <c r="AM54"/>
  <c r="AM56"/>
  <c r="AM58"/>
  <c r="AM60"/>
  <c r="AM62"/>
  <c r="AM64"/>
  <c r="AM66"/>
  <c r="AM68"/>
  <c r="AM70"/>
  <c r="AM72"/>
  <c r="AM74"/>
  <c r="AM76"/>
  <c r="AM78"/>
  <c r="AM80"/>
  <c r="AM82"/>
  <c r="AM84"/>
  <c r="AM86"/>
  <c r="AM88"/>
  <c r="AM53"/>
  <c r="AM57"/>
  <c r="AM61"/>
  <c r="AM65"/>
  <c r="AM69"/>
  <c r="AM71"/>
  <c r="AM75"/>
  <c r="AM79"/>
  <c r="AM81"/>
  <c r="AM85"/>
  <c r="AM49"/>
  <c r="AM50" s="1"/>
  <c r="AM51" s="1"/>
  <c r="AM52" s="1"/>
  <c r="C315" i="9"/>
  <c r="C316" s="1"/>
  <c r="C317" s="1"/>
  <c r="C318" s="1"/>
  <c r="AK63" i="2"/>
  <c r="E324" i="9"/>
  <c r="G324" s="1"/>
  <c r="C323"/>
  <c r="C324" s="1"/>
  <c r="C325" s="1"/>
  <c r="D325" s="1"/>
  <c r="N324"/>
  <c r="P324" s="1"/>
  <c r="L322"/>
  <c r="L323" s="1"/>
  <c r="L324" s="1"/>
  <c r="AK86" i="2"/>
  <c r="AK57"/>
  <c r="AK54"/>
  <c r="AK60"/>
  <c r="AK70"/>
  <c r="AK73"/>
  <c r="AK76"/>
  <c r="AK79"/>
  <c r="AK78"/>
  <c r="AK62"/>
  <c r="AK81"/>
  <c r="AK65"/>
  <c r="AK84"/>
  <c r="AK68"/>
  <c r="AK87"/>
  <c r="AK71"/>
  <c r="AK55"/>
  <c r="AK82"/>
  <c r="AK74"/>
  <c r="AK66"/>
  <c r="AK58"/>
  <c r="AK85"/>
  <c r="AK77"/>
  <c r="AK69"/>
  <c r="AK61"/>
  <c r="AK88"/>
  <c r="AK80"/>
  <c r="AK72"/>
  <c r="AK64"/>
  <c r="AK56"/>
  <c r="AK83"/>
  <c r="AK75"/>
  <c r="AK67"/>
  <c r="AK59"/>
  <c r="AK50"/>
  <c r="AK51" s="1"/>
  <c r="AK52" s="1"/>
  <c r="AK53" s="1"/>
  <c r="AZ55"/>
  <c r="AI81"/>
  <c r="AI61"/>
  <c r="AI72"/>
  <c r="AI87"/>
  <c r="AI67"/>
  <c r="AI78"/>
  <c r="AI77"/>
  <c r="AI88"/>
  <c r="AI68"/>
  <c r="AI83"/>
  <c r="AI59"/>
  <c r="AI74"/>
  <c r="AI49"/>
  <c r="AI50" s="1"/>
  <c r="AI51" s="1"/>
  <c r="AI52" s="1"/>
  <c r="AI53" s="1"/>
  <c r="AI54" s="1"/>
  <c r="AI85"/>
  <c r="AI65"/>
  <c r="AI80"/>
  <c r="AI56"/>
  <c r="AI71"/>
  <c r="AI86"/>
  <c r="AI62"/>
  <c r="AI69"/>
  <c r="AI84"/>
  <c r="AI64"/>
  <c r="AI75"/>
  <c r="AI55"/>
  <c r="AI70"/>
  <c r="AJ79"/>
  <c r="AJ85"/>
  <c r="AJ63"/>
  <c r="AJ69"/>
  <c r="AJ56"/>
  <c r="AJ82"/>
  <c r="AJ88"/>
  <c r="AJ66"/>
  <c r="AI73"/>
  <c r="AI57"/>
  <c r="AI76"/>
  <c r="AI60"/>
  <c r="AI79"/>
  <c r="AI63"/>
  <c r="AI82"/>
  <c r="AI66"/>
  <c r="AJ49"/>
  <c r="AJ50" s="1"/>
  <c r="AJ51" s="1"/>
  <c r="AJ75"/>
  <c r="AJ59"/>
  <c r="AJ78"/>
  <c r="AJ62"/>
  <c r="AJ81"/>
  <c r="AJ65"/>
  <c r="AJ84"/>
  <c r="AJ68"/>
  <c r="AJ87"/>
  <c r="AJ71"/>
  <c r="AJ55"/>
  <c r="AJ74"/>
  <c r="AJ58"/>
  <c r="AJ77"/>
  <c r="AJ61"/>
  <c r="AJ80"/>
  <c r="AJ64"/>
  <c r="AJ83"/>
  <c r="AJ67"/>
  <c r="AJ86"/>
  <c r="AJ70"/>
  <c r="AJ54"/>
  <c r="AJ73"/>
  <c r="AJ57"/>
  <c r="AJ76"/>
  <c r="AJ60"/>
  <c r="AZ81"/>
  <c r="AZ84"/>
  <c r="AZ58"/>
  <c r="AZ87"/>
  <c r="AZ69"/>
  <c r="AZ72"/>
  <c r="AZ75"/>
  <c r="AZ78"/>
  <c r="AZ65"/>
  <c r="AZ68"/>
  <c r="AZ71"/>
  <c r="AZ74"/>
  <c r="AZ85"/>
  <c r="AZ88"/>
  <c r="AZ56"/>
  <c r="AZ59"/>
  <c r="AZ62"/>
  <c r="AY76"/>
  <c r="AY78"/>
  <c r="AY85"/>
  <c r="AY69"/>
  <c r="AY88"/>
  <c r="AY72"/>
  <c r="AY56"/>
  <c r="AY75"/>
  <c r="AY59"/>
  <c r="AY74"/>
  <c r="AY58"/>
  <c r="AY73"/>
  <c r="AY60"/>
  <c r="AY63"/>
  <c r="AY81"/>
  <c r="AY65"/>
  <c r="AY84"/>
  <c r="AY68"/>
  <c r="AY87"/>
  <c r="AY71"/>
  <c r="AY86"/>
  <c r="AY70"/>
  <c r="AY57"/>
  <c r="AY79"/>
  <c r="AY62"/>
  <c r="AY77"/>
  <c r="AY61"/>
  <c r="AY80"/>
  <c r="AY64"/>
  <c r="AY83"/>
  <c r="AY67"/>
  <c r="AY82"/>
  <c r="AY66"/>
  <c r="AZ77"/>
  <c r="AZ61"/>
  <c r="AZ80"/>
  <c r="AZ64"/>
  <c r="AZ83"/>
  <c r="AZ67"/>
  <c r="AZ86"/>
  <c r="AZ70"/>
  <c r="AZ73"/>
  <c r="AZ57"/>
  <c r="AZ76"/>
  <c r="AZ60"/>
  <c r="AZ79"/>
  <c r="AZ63"/>
  <c r="AZ82"/>
  <c r="AZ66"/>
  <c r="BB77"/>
  <c r="N323" i="9"/>
  <c r="BB49" i="2"/>
  <c r="BB50" s="1"/>
  <c r="BB51" s="1"/>
  <c r="BB52" s="1"/>
  <c r="BB53" s="1"/>
  <c r="BB54" s="1"/>
  <c r="BB68"/>
  <c r="BB55"/>
  <c r="BB82"/>
  <c r="BB73"/>
  <c r="BB64"/>
  <c r="BB75"/>
  <c r="BB66"/>
  <c r="BB57"/>
  <c r="BB71"/>
  <c r="BB62"/>
  <c r="BB84"/>
  <c r="BB87"/>
  <c r="BB63"/>
  <c r="BB78"/>
  <c r="BB58"/>
  <c r="BB65"/>
  <c r="BB80"/>
  <c r="BB60"/>
  <c r="BB79"/>
  <c r="BB59"/>
  <c r="BB74"/>
  <c r="BB81"/>
  <c r="BB61"/>
  <c r="BB76"/>
  <c r="BB83"/>
  <c r="BB67"/>
  <c r="BB86"/>
  <c r="BB70"/>
  <c r="BB85"/>
  <c r="BB69"/>
  <c r="BB88"/>
  <c r="BB72"/>
  <c r="AP89"/>
  <c r="AR89"/>
  <c r="AU89"/>
  <c r="AV89"/>
  <c r="AT89"/>
  <c r="AW89"/>
  <c r="AQ89"/>
  <c r="BA87"/>
  <c r="BA58"/>
  <c r="BA66"/>
  <c r="BA74"/>
  <c r="BA82"/>
  <c r="BA55"/>
  <c r="BA63"/>
  <c r="BA71"/>
  <c r="BA79"/>
  <c r="BA81"/>
  <c r="BA64"/>
  <c r="BA61"/>
  <c r="BA85"/>
  <c r="BA60"/>
  <c r="BA68"/>
  <c r="BA76"/>
  <c r="BA84"/>
  <c r="BA57"/>
  <c r="BA65"/>
  <c r="BA73"/>
  <c r="BA80"/>
  <c r="BA69"/>
  <c r="BA62"/>
  <c r="BA70"/>
  <c r="BA78"/>
  <c r="BA86"/>
  <c r="BA59"/>
  <c r="BA67"/>
  <c r="BA75"/>
  <c r="BA83"/>
  <c r="BA56"/>
  <c r="BA72"/>
  <c r="BA88"/>
  <c r="BA77"/>
  <c r="BA49"/>
  <c r="BA50" s="1"/>
  <c r="BA51" s="1"/>
  <c r="BA52" s="1"/>
  <c r="BA53" s="1"/>
  <c r="BA54" s="1"/>
  <c r="BD87"/>
  <c r="BD62"/>
  <c r="BD70"/>
  <c r="BD78"/>
  <c r="BD86"/>
  <c r="BD59"/>
  <c r="BD67"/>
  <c r="BD75"/>
  <c r="BD83"/>
  <c r="BD68"/>
  <c r="BD57"/>
  <c r="BD81"/>
  <c r="BD56"/>
  <c r="BD64"/>
  <c r="BD72"/>
  <c r="BD80"/>
  <c r="BD88"/>
  <c r="BD61"/>
  <c r="BD69"/>
  <c r="BD77"/>
  <c r="BD85"/>
  <c r="BD76"/>
  <c r="BD73"/>
  <c r="BD58"/>
  <c r="BD66"/>
  <c r="BD74"/>
  <c r="BD82"/>
  <c r="BD55"/>
  <c r="BD63"/>
  <c r="BD71"/>
  <c r="BD79"/>
  <c r="BD60"/>
  <c r="BD84"/>
  <c r="BD65"/>
  <c r="BD49"/>
  <c r="BD50" s="1"/>
  <c r="BD51" s="1"/>
  <c r="BD52" s="1"/>
  <c r="BD53" s="1"/>
  <c r="BD54" s="1"/>
  <c r="BC61"/>
  <c r="BC77"/>
  <c r="BC62"/>
  <c r="BC78"/>
  <c r="BC59"/>
  <c r="BC75"/>
  <c r="BC56"/>
  <c r="BC72"/>
  <c r="BC88"/>
  <c r="BC80"/>
  <c r="BC73"/>
  <c r="BC55"/>
  <c r="BC68"/>
  <c r="BC65"/>
  <c r="BC81"/>
  <c r="BC66"/>
  <c r="BC82"/>
  <c r="BC63"/>
  <c r="BC79"/>
  <c r="BC60"/>
  <c r="BC76"/>
  <c r="BC86"/>
  <c r="BC57"/>
  <c r="BC58"/>
  <c r="BC71"/>
  <c r="BC84"/>
  <c r="BC49"/>
  <c r="BC69"/>
  <c r="BC85"/>
  <c r="BC70"/>
  <c r="BC67"/>
  <c r="BC83"/>
  <c r="BC64"/>
  <c r="BC74"/>
  <c r="BC87"/>
  <c r="T11" i="16"/>
  <c r="AL42" i="12"/>
  <c r="AL39"/>
  <c r="AL40"/>
  <c r="AJ52" i="2"/>
  <c r="AG60"/>
  <c r="AG64"/>
  <c r="AG68"/>
  <c r="AG72"/>
  <c r="AG76"/>
  <c r="AG80"/>
  <c r="AG84"/>
  <c r="AG88"/>
  <c r="AG59"/>
  <c r="AG71"/>
  <c r="AG79"/>
  <c r="AG61"/>
  <c r="AG65"/>
  <c r="AG69"/>
  <c r="AG73"/>
  <c r="AG77"/>
  <c r="AG81"/>
  <c r="AG85"/>
  <c r="AG63"/>
  <c r="AG83"/>
  <c r="AG58"/>
  <c r="AG62"/>
  <c r="AG66"/>
  <c r="AG70"/>
  <c r="AG74"/>
  <c r="AG78"/>
  <c r="AG82"/>
  <c r="AG86"/>
  <c r="AG67"/>
  <c r="AG75"/>
  <c r="AG87"/>
  <c r="AG49"/>
  <c r="AG50" s="1"/>
  <c r="AG51" s="1"/>
  <c r="AG52" s="1"/>
  <c r="AG53" s="1"/>
  <c r="AG54" s="1"/>
  <c r="AG55" s="1"/>
  <c r="AG56" s="1"/>
  <c r="AG57" s="1"/>
  <c r="AH55"/>
  <c r="AH59"/>
  <c r="AH63"/>
  <c r="AH67"/>
  <c r="AH71"/>
  <c r="AH75"/>
  <c r="AH79"/>
  <c r="AH83"/>
  <c r="AH87"/>
  <c r="AH58"/>
  <c r="AH70"/>
  <c r="AH82"/>
  <c r="AH56"/>
  <c r="AH60"/>
  <c r="AH64"/>
  <c r="AH68"/>
  <c r="AH72"/>
  <c r="AH76"/>
  <c r="AH80"/>
  <c r="AH84"/>
  <c r="AH88"/>
  <c r="AH66"/>
  <c r="AH78"/>
  <c r="AH57"/>
  <c r="AH61"/>
  <c r="AH65"/>
  <c r="AH69"/>
  <c r="AH73"/>
  <c r="AH77"/>
  <c r="AH81"/>
  <c r="AH85"/>
  <c r="AH62"/>
  <c r="AH74"/>
  <c r="AH86"/>
  <c r="AH49"/>
  <c r="AH50" s="1"/>
  <c r="AH51" s="1"/>
  <c r="AH52" s="1"/>
  <c r="AH53" s="1"/>
  <c r="AH54" s="1"/>
  <c r="H5" i="9"/>
  <c r="N56" i="2"/>
  <c r="N57" s="1"/>
  <c r="N58" s="1"/>
  <c r="N59" s="1"/>
  <c r="X33" i="12"/>
  <c r="Z33"/>
  <c r="AA33"/>
  <c r="AB33"/>
  <c r="AC33"/>
  <c r="AD33"/>
  <c r="AE33"/>
  <c r="AF33"/>
  <c r="AH33"/>
  <c r="AI33"/>
  <c r="AJ33"/>
  <c r="AK33"/>
  <c r="AL33"/>
  <c r="AM33"/>
  <c r="AN33"/>
  <c r="AO33"/>
  <c r="AP33"/>
  <c r="AQ33"/>
  <c r="I325" i="9" l="1"/>
  <c r="H325"/>
  <c r="R266"/>
  <c r="O266"/>
  <c r="M267"/>
  <c r="R267" s="1"/>
  <c r="M268"/>
  <c r="R268" s="1"/>
  <c r="O268"/>
  <c r="P270"/>
  <c r="R270" s="1"/>
  <c r="M270"/>
  <c r="P269"/>
  <c r="R269" s="1"/>
  <c r="O269"/>
  <c r="Q269" s="1"/>
  <c r="Q270"/>
  <c r="AX89" i="2"/>
  <c r="Q266" i="9"/>
  <c r="F287"/>
  <c r="D293"/>
  <c r="H293" s="1"/>
  <c r="D287"/>
  <c r="G294"/>
  <c r="I294" s="1"/>
  <c r="G293"/>
  <c r="I293" s="1"/>
  <c r="D285"/>
  <c r="G285"/>
  <c r="D288"/>
  <c r="G288"/>
  <c r="F294"/>
  <c r="H294" s="1"/>
  <c r="D286"/>
  <c r="G286"/>
  <c r="F285"/>
  <c r="G296"/>
  <c r="I296" s="1"/>
  <c r="F296"/>
  <c r="H296" s="1"/>
  <c r="F324"/>
  <c r="M287"/>
  <c r="P287"/>
  <c r="O287"/>
  <c r="M285"/>
  <c r="O285"/>
  <c r="P285"/>
  <c r="R285" s="1"/>
  <c r="M286"/>
  <c r="O286"/>
  <c r="P286"/>
  <c r="M288"/>
  <c r="O288"/>
  <c r="P288"/>
  <c r="AL89" i="2"/>
  <c r="AO89"/>
  <c r="AM89"/>
  <c r="AN89"/>
  <c r="M324" i="9"/>
  <c r="O324"/>
  <c r="Q324" s="1"/>
  <c r="AK89" i="2"/>
  <c r="O323" i="9"/>
  <c r="AI89" i="2"/>
  <c r="AY89"/>
  <c r="P323" i="9"/>
  <c r="AZ89" i="2"/>
  <c r="AJ53"/>
  <c r="AJ89" s="1"/>
  <c r="BB89"/>
  <c r="BD89"/>
  <c r="BC50"/>
  <c r="BA89"/>
  <c r="R324" i="9"/>
  <c r="AH89" i="2"/>
  <c r="AG89"/>
  <c r="N89"/>
  <c r="BC51" l="1"/>
  <c r="BC52" s="1"/>
  <c r="BC53" s="1"/>
  <c r="BC54" s="1"/>
  <c r="R264" i="9"/>
  <c r="Q267"/>
  <c r="Q268"/>
  <c r="R271"/>
  <c r="I291"/>
  <c r="U19" i="16" s="1"/>
  <c r="H285" i="9"/>
  <c r="I285"/>
  <c r="I283"/>
  <c r="U17" i="16" s="1"/>
  <c r="Q285" i="9"/>
  <c r="R283"/>
  <c r="U18" i="16" s="1"/>
  <c r="M180" i="9"/>
  <c r="P180" s="1"/>
  <c r="D74"/>
  <c r="G74" s="1"/>
  <c r="N63"/>
  <c r="L65" s="1"/>
  <c r="E64"/>
  <c r="M63"/>
  <c r="P63" s="1"/>
  <c r="D64"/>
  <c r="G64" s="1"/>
  <c r="G180"/>
  <c r="N50"/>
  <c r="L52" s="1"/>
  <c r="L53" s="1"/>
  <c r="L54" s="1"/>
  <c r="L55" s="1"/>
  <c r="L56" s="1"/>
  <c r="L57" s="1"/>
  <c r="L58" s="1"/>
  <c r="L59" s="1"/>
  <c r="L60" s="1"/>
  <c r="E50"/>
  <c r="C52" s="1"/>
  <c r="C53" s="1"/>
  <c r="C54" s="1"/>
  <c r="C55" s="1"/>
  <c r="C56" s="1"/>
  <c r="C57" s="1"/>
  <c r="C58" s="1"/>
  <c r="C59" s="1"/>
  <c r="C60" s="1"/>
  <c r="C61" s="1"/>
  <c r="N180"/>
  <c r="L182" s="1"/>
  <c r="L183" s="1"/>
  <c r="L184" s="1"/>
  <c r="L185" s="1"/>
  <c r="L186" s="1"/>
  <c r="L187" s="1"/>
  <c r="L188" s="1"/>
  <c r="L189" s="1"/>
  <c r="L190" s="1"/>
  <c r="L191" s="1"/>
  <c r="L192" s="1"/>
  <c r="E74"/>
  <c r="M50"/>
  <c r="P50" s="1"/>
  <c r="D50"/>
  <c r="G50" s="1"/>
  <c r="W4" i="12"/>
  <c r="V4"/>
  <c r="W3"/>
  <c r="V3"/>
  <c r="N192" i="9" l="1"/>
  <c r="N60"/>
  <c r="BC89" i="2"/>
  <c r="Q271" i="9"/>
  <c r="U20" i="16"/>
  <c r="C76" i="9"/>
  <c r="C77" s="1"/>
  <c r="C78" s="1"/>
  <c r="C79" s="1"/>
  <c r="C80" s="1"/>
  <c r="C66"/>
  <c r="C67" s="1"/>
  <c r="C68" s="1"/>
  <c r="C69" s="1"/>
  <c r="C70" s="1"/>
  <c r="C71" s="1"/>
  <c r="N188"/>
  <c r="N183"/>
  <c r="N184"/>
  <c r="N185"/>
  <c r="N186"/>
  <c r="N187"/>
  <c r="N189"/>
  <c r="N190"/>
  <c r="N191"/>
  <c r="E187"/>
  <c r="E186"/>
  <c r="E185"/>
  <c r="E184"/>
  <c r="E183"/>
  <c r="N53"/>
  <c r="N54"/>
  <c r="N55"/>
  <c r="N58"/>
  <c r="N59"/>
  <c r="N56"/>
  <c r="N57"/>
  <c r="E77"/>
  <c r="E78"/>
  <c r="E79"/>
  <c r="E80"/>
  <c r="N66"/>
  <c r="N67"/>
  <c r="N68"/>
  <c r="N69"/>
  <c r="N70"/>
  <c r="N71"/>
  <c r="N72"/>
  <c r="E67"/>
  <c r="E68"/>
  <c r="E69"/>
  <c r="E70"/>
  <c r="E71"/>
  <c r="E54"/>
  <c r="E55"/>
  <c r="E56"/>
  <c r="E57"/>
  <c r="E58"/>
  <c r="E59"/>
  <c r="E60"/>
  <c r="E61"/>
  <c r="E53"/>
  <c r="Q50"/>
  <c r="P192" l="1"/>
  <c r="O192"/>
  <c r="M60"/>
  <c r="P60"/>
  <c r="R60" s="1"/>
  <c r="O60"/>
  <c r="Q60" s="1"/>
  <c r="Q79"/>
  <c r="R79"/>
  <c r="Q78"/>
  <c r="R78"/>
  <c r="O191"/>
  <c r="P191"/>
  <c r="O186"/>
  <c r="P186"/>
  <c r="O184"/>
  <c r="P184"/>
  <c r="O189"/>
  <c r="P189"/>
  <c r="O190"/>
  <c r="P190"/>
  <c r="O187"/>
  <c r="P187"/>
  <c r="O185"/>
  <c r="P185"/>
  <c r="O183"/>
  <c r="O188"/>
  <c r="P188"/>
  <c r="F186"/>
  <c r="G186"/>
  <c r="G184"/>
  <c r="F184"/>
  <c r="G183"/>
  <c r="F183"/>
  <c r="G187"/>
  <c r="F187"/>
  <c r="F185"/>
  <c r="G185"/>
  <c r="O57"/>
  <c r="P57"/>
  <c r="O55"/>
  <c r="P55"/>
  <c r="O56"/>
  <c r="P56"/>
  <c r="O59"/>
  <c r="P59"/>
  <c r="O54"/>
  <c r="P54"/>
  <c r="O58"/>
  <c r="P58"/>
  <c r="O53"/>
  <c r="P53"/>
  <c r="F80"/>
  <c r="G80"/>
  <c r="F78"/>
  <c r="G78"/>
  <c r="F79"/>
  <c r="G79"/>
  <c r="G77"/>
  <c r="F77"/>
  <c r="O72"/>
  <c r="P72"/>
  <c r="O68"/>
  <c r="P68"/>
  <c r="O66"/>
  <c r="P66"/>
  <c r="O71"/>
  <c r="P71"/>
  <c r="O67"/>
  <c r="P67"/>
  <c r="O70"/>
  <c r="P70"/>
  <c r="O69"/>
  <c r="P69"/>
  <c r="F71"/>
  <c r="G71"/>
  <c r="F70"/>
  <c r="G70"/>
  <c r="F67"/>
  <c r="G67"/>
  <c r="F69"/>
  <c r="G69"/>
  <c r="F68"/>
  <c r="G68"/>
  <c r="F58"/>
  <c r="G58"/>
  <c r="G61"/>
  <c r="F61"/>
  <c r="F57"/>
  <c r="G57"/>
  <c r="F54"/>
  <c r="G54"/>
  <c r="F53"/>
  <c r="G53"/>
  <c r="F60"/>
  <c r="G60"/>
  <c r="F56"/>
  <c r="G56"/>
  <c r="F55"/>
  <c r="G55"/>
  <c r="G59"/>
  <c r="F59"/>
  <c r="E323"/>
  <c r="N322"/>
  <c r="H10" i="16"/>
  <c r="N3" i="12"/>
  <c r="O3"/>
  <c r="Q3"/>
  <c r="R3"/>
  <c r="S3"/>
  <c r="T3"/>
  <c r="U3"/>
  <c r="N4"/>
  <c r="O4"/>
  <c r="Q4"/>
  <c r="R4"/>
  <c r="S4"/>
  <c r="T4"/>
  <c r="U4"/>
  <c r="R80" i="9" l="1"/>
  <c r="K12" i="16" s="1"/>
  <c r="L12" s="1"/>
  <c r="Q80" i="9"/>
  <c r="J12" i="16" s="1"/>
  <c r="O322" i="9"/>
  <c r="P322"/>
  <c r="G323"/>
  <c r="F323"/>
  <c r="F66" i="8"/>
  <c r="P183" i="9" s="1"/>
  <c r="M207" l="1"/>
  <c r="P207" s="1"/>
  <c r="N331"/>
  <c r="M331"/>
  <c r="P331" s="1"/>
  <c r="M311"/>
  <c r="P311" s="1"/>
  <c r="D313"/>
  <c r="G313" s="1"/>
  <c r="M302"/>
  <c r="P302" s="1"/>
  <c r="D302"/>
  <c r="G302" s="1"/>
  <c r="E310" s="1"/>
  <c r="M255"/>
  <c r="P255" s="1"/>
  <c r="M247"/>
  <c r="P247" s="1"/>
  <c r="M237"/>
  <c r="P237" s="1"/>
  <c r="M227"/>
  <c r="P227" s="1"/>
  <c r="D259"/>
  <c r="G259" s="1"/>
  <c r="D270"/>
  <c r="G270" s="1"/>
  <c r="G249"/>
  <c r="D238"/>
  <c r="G238" s="1"/>
  <c r="D227"/>
  <c r="G227" s="1"/>
  <c r="D208"/>
  <c r="G208" s="1"/>
  <c r="D217"/>
  <c r="G217" s="1"/>
  <c r="M197"/>
  <c r="P197" s="1"/>
  <c r="G197"/>
  <c r="N131"/>
  <c r="L133" s="1"/>
  <c r="L134" s="1"/>
  <c r="L135" s="1"/>
  <c r="M131"/>
  <c r="N123"/>
  <c r="L125" s="1"/>
  <c r="L126" s="1"/>
  <c r="L127" s="1"/>
  <c r="L128" s="1"/>
  <c r="M123"/>
  <c r="P123" s="1"/>
  <c r="N111"/>
  <c r="L113" s="1"/>
  <c r="L114" s="1"/>
  <c r="L115" s="1"/>
  <c r="L116" s="1"/>
  <c r="L117" s="1"/>
  <c r="L118" s="1"/>
  <c r="L119" s="1"/>
  <c r="L120" s="1"/>
  <c r="M111"/>
  <c r="P111" s="1"/>
  <c r="N5"/>
  <c r="N98"/>
  <c r="L100" s="1"/>
  <c r="L101" s="1"/>
  <c r="L102" s="1"/>
  <c r="L103" s="1"/>
  <c r="L104" s="1"/>
  <c r="L105" s="1"/>
  <c r="L106" s="1"/>
  <c r="L107" s="1"/>
  <c r="L108" s="1"/>
  <c r="M98"/>
  <c r="P98" s="1"/>
  <c r="M86"/>
  <c r="P86" s="1"/>
  <c r="N86"/>
  <c r="L88" s="1"/>
  <c r="L89" s="1"/>
  <c r="L90" s="1"/>
  <c r="L91" s="1"/>
  <c r="L92" s="1"/>
  <c r="L93" s="1"/>
  <c r="L94" s="1"/>
  <c r="L95" s="1"/>
  <c r="N37"/>
  <c r="L39" s="1"/>
  <c r="L40" s="1"/>
  <c r="L41" s="1"/>
  <c r="L42" s="1"/>
  <c r="L43" s="1"/>
  <c r="L44" s="1"/>
  <c r="E135"/>
  <c r="C137" s="1"/>
  <c r="C138" s="1"/>
  <c r="C139" s="1"/>
  <c r="C140" s="1"/>
  <c r="C141" s="1"/>
  <c r="C142" s="1"/>
  <c r="C143" s="1"/>
  <c r="C144" s="1"/>
  <c r="D135"/>
  <c r="G135" s="1"/>
  <c r="E118"/>
  <c r="D118"/>
  <c r="G118" s="1"/>
  <c r="D101"/>
  <c r="G101" s="1"/>
  <c r="E101"/>
  <c r="C103" s="1"/>
  <c r="C104" s="1"/>
  <c r="C105" s="1"/>
  <c r="C106" s="1"/>
  <c r="C107" s="1"/>
  <c r="C108" s="1"/>
  <c r="C109" s="1"/>
  <c r="C110" s="1"/>
  <c r="C111" s="1"/>
  <c r="C112" s="1"/>
  <c r="C113" s="1"/>
  <c r="C114" s="1"/>
  <c r="C115" s="1"/>
  <c r="D86"/>
  <c r="G86" s="1"/>
  <c r="D21"/>
  <c r="G21" s="1"/>
  <c r="E21"/>
  <c r="C23" s="1"/>
  <c r="C24" s="1"/>
  <c r="C25" s="1"/>
  <c r="C26" s="1"/>
  <c r="C27" s="1"/>
  <c r="C28" s="1"/>
  <c r="C29" s="1"/>
  <c r="C30" s="1"/>
  <c r="C31" s="1"/>
  <c r="C32" s="1"/>
  <c r="C33" s="1"/>
  <c r="C34" s="1"/>
  <c r="M37"/>
  <c r="P37" s="1"/>
  <c r="M5"/>
  <c r="P5" s="1"/>
  <c r="N21"/>
  <c r="L23" s="1"/>
  <c r="L24" s="1"/>
  <c r="L25" s="1"/>
  <c r="L26" s="1"/>
  <c r="L27" s="1"/>
  <c r="L28" s="1"/>
  <c r="L29" s="1"/>
  <c r="L30" s="1"/>
  <c r="L31" s="1"/>
  <c r="L32" s="1"/>
  <c r="L33" s="1"/>
  <c r="L34" s="1"/>
  <c r="M21"/>
  <c r="P21" s="1"/>
  <c r="N108" l="1"/>
  <c r="O108" s="1"/>
  <c r="N34"/>
  <c r="E34"/>
  <c r="D310"/>
  <c r="G310"/>
  <c r="F310"/>
  <c r="H310" s="1"/>
  <c r="E205"/>
  <c r="N261"/>
  <c r="P261" s="1"/>
  <c r="N260"/>
  <c r="P260" s="1"/>
  <c r="R286"/>
  <c r="R288"/>
  <c r="Q288"/>
  <c r="Q287"/>
  <c r="R287"/>
  <c r="Q286"/>
  <c r="E115"/>
  <c r="E114"/>
  <c r="H101"/>
  <c r="E103"/>
  <c r="E267"/>
  <c r="F267" s="1"/>
  <c r="N17"/>
  <c r="N18"/>
  <c r="N314"/>
  <c r="N315"/>
  <c r="N316"/>
  <c r="N317"/>
  <c r="E316"/>
  <c r="E317"/>
  <c r="E318"/>
  <c r="N305"/>
  <c r="N306"/>
  <c r="N307"/>
  <c r="N308"/>
  <c r="E305"/>
  <c r="E306"/>
  <c r="E307"/>
  <c r="E308"/>
  <c r="E309"/>
  <c r="N234"/>
  <c r="N233"/>
  <c r="N232"/>
  <c r="N231"/>
  <c r="N230"/>
  <c r="N244"/>
  <c r="N243"/>
  <c r="N242"/>
  <c r="N241"/>
  <c r="N240"/>
  <c r="N252"/>
  <c r="N251"/>
  <c r="N250"/>
  <c r="N259"/>
  <c r="N258"/>
  <c r="E266"/>
  <c r="E265"/>
  <c r="E264"/>
  <c r="E263"/>
  <c r="E262"/>
  <c r="E253"/>
  <c r="E256"/>
  <c r="E252"/>
  <c r="E254"/>
  <c r="E255"/>
  <c r="E243"/>
  <c r="E241"/>
  <c r="E242"/>
  <c r="E244"/>
  <c r="E245"/>
  <c r="E246"/>
  <c r="E230"/>
  <c r="E231"/>
  <c r="E232"/>
  <c r="E233"/>
  <c r="E234"/>
  <c r="E235"/>
  <c r="E211"/>
  <c r="E212"/>
  <c r="E213"/>
  <c r="E214"/>
  <c r="N211"/>
  <c r="N212"/>
  <c r="N213"/>
  <c r="N210"/>
  <c r="N200"/>
  <c r="N201"/>
  <c r="N202"/>
  <c r="N203"/>
  <c r="N204"/>
  <c r="E220"/>
  <c r="E221"/>
  <c r="E201"/>
  <c r="E202"/>
  <c r="E203"/>
  <c r="E204"/>
  <c r="E200"/>
  <c r="N126"/>
  <c r="N127"/>
  <c r="N128"/>
  <c r="N116"/>
  <c r="N117"/>
  <c r="N115"/>
  <c r="N118"/>
  <c r="N120"/>
  <c r="N114"/>
  <c r="N119"/>
  <c r="N101"/>
  <c r="N102"/>
  <c r="N103"/>
  <c r="N104"/>
  <c r="N105"/>
  <c r="N106"/>
  <c r="N107"/>
  <c r="N89"/>
  <c r="N90"/>
  <c r="N91"/>
  <c r="N92"/>
  <c r="N93"/>
  <c r="N94"/>
  <c r="N95"/>
  <c r="E138"/>
  <c r="E139"/>
  <c r="E140"/>
  <c r="E141"/>
  <c r="E142"/>
  <c r="E143"/>
  <c r="E144"/>
  <c r="E121"/>
  <c r="E122"/>
  <c r="E123"/>
  <c r="E127"/>
  <c r="E132"/>
  <c r="E124"/>
  <c r="E125"/>
  <c r="E126"/>
  <c r="E128"/>
  <c r="E129"/>
  <c r="E130"/>
  <c r="E131"/>
  <c r="E104"/>
  <c r="E105"/>
  <c r="E106"/>
  <c r="E107"/>
  <c r="E108"/>
  <c r="E109"/>
  <c r="E110"/>
  <c r="E111"/>
  <c r="E112"/>
  <c r="F112" s="1"/>
  <c r="E113"/>
  <c r="N24"/>
  <c r="N25"/>
  <c r="N26"/>
  <c r="N27"/>
  <c r="N28"/>
  <c r="N29"/>
  <c r="N30"/>
  <c r="N31"/>
  <c r="N32"/>
  <c r="N33"/>
  <c r="N8"/>
  <c r="N9"/>
  <c r="N10"/>
  <c r="N11"/>
  <c r="N12"/>
  <c r="N13"/>
  <c r="N14"/>
  <c r="N15"/>
  <c r="N16"/>
  <c r="N40"/>
  <c r="N41"/>
  <c r="N42"/>
  <c r="N43"/>
  <c r="N44"/>
  <c r="E24"/>
  <c r="E25"/>
  <c r="E26"/>
  <c r="E27"/>
  <c r="E28"/>
  <c r="E29"/>
  <c r="E30"/>
  <c r="E31"/>
  <c r="E32"/>
  <c r="E33"/>
  <c r="C120"/>
  <c r="C121" s="1"/>
  <c r="C122" s="1"/>
  <c r="C123" s="1"/>
  <c r="C124" s="1"/>
  <c r="C125" s="1"/>
  <c r="C126" s="1"/>
  <c r="C127" s="1"/>
  <c r="C128" s="1"/>
  <c r="C129" s="1"/>
  <c r="C130" s="1"/>
  <c r="C131" s="1"/>
  <c r="C132" s="1"/>
  <c r="Q37"/>
  <c r="H21"/>
  <c r="Q21"/>
  <c r="Q5"/>
  <c r="H238"/>
  <c r="H118"/>
  <c r="Q207"/>
  <c r="M323"/>
  <c r="D323"/>
  <c r="H86"/>
  <c r="L333"/>
  <c r="L334" s="1"/>
  <c r="L335" s="1"/>
  <c r="L336" s="1"/>
  <c r="L337" s="1"/>
  <c r="L338" s="1"/>
  <c r="L339" s="1"/>
  <c r="L340" s="1"/>
  <c r="L341" s="1"/>
  <c r="L342" s="1"/>
  <c r="L343" s="1"/>
  <c r="L344" s="1"/>
  <c r="L345" s="1"/>
  <c r="L346" s="1"/>
  <c r="L347" s="1"/>
  <c r="L348" s="1"/>
  <c r="L349" s="1"/>
  <c r="L350" s="1"/>
  <c r="L351" s="1"/>
  <c r="L352" s="1"/>
  <c r="L353" s="1"/>
  <c r="L354" s="1"/>
  <c r="L355" s="1"/>
  <c r="L356" s="1"/>
  <c r="L357" s="1"/>
  <c r="L358" s="1"/>
  <c r="L359" s="1"/>
  <c r="L360" s="1"/>
  <c r="L361" s="1"/>
  <c r="L362" s="1"/>
  <c r="L363" s="1"/>
  <c r="L364" s="1"/>
  <c r="L365" s="1"/>
  <c r="L366" s="1"/>
  <c r="L367" s="1"/>
  <c r="L368" s="1"/>
  <c r="L369" s="1"/>
  <c r="L370" s="1"/>
  <c r="L371" s="1"/>
  <c r="L372" s="1"/>
  <c r="H331"/>
  <c r="N209"/>
  <c r="N333"/>
  <c r="Q331"/>
  <c r="N313"/>
  <c r="Q311"/>
  <c r="T10" i="16" s="1"/>
  <c r="Q302" i="9"/>
  <c r="E315"/>
  <c r="H302"/>
  <c r="H313"/>
  <c r="Q255"/>
  <c r="Q247"/>
  <c r="Q237"/>
  <c r="H270"/>
  <c r="Q227"/>
  <c r="L7"/>
  <c r="L8" s="1"/>
  <c r="L9" s="1"/>
  <c r="L10" s="1"/>
  <c r="L11" s="1"/>
  <c r="L12" s="1"/>
  <c r="L13" s="1"/>
  <c r="L14" s="1"/>
  <c r="L15" s="1"/>
  <c r="L16" s="1"/>
  <c r="L17" s="1"/>
  <c r="L18" s="1"/>
  <c r="H259"/>
  <c r="H249"/>
  <c r="H227"/>
  <c r="H135"/>
  <c r="Q86"/>
  <c r="Q197"/>
  <c r="Q180"/>
  <c r="M192" s="1"/>
  <c r="Q98"/>
  <c r="H197"/>
  <c r="Q63"/>
  <c r="H64"/>
  <c r="H208"/>
  <c r="Q111"/>
  <c r="H180"/>
  <c r="H217"/>
  <c r="H74"/>
  <c r="H50"/>
  <c r="Q123"/>
  <c r="N125"/>
  <c r="M108" l="1"/>
  <c r="P108"/>
  <c r="R108" s="1"/>
  <c r="Q108"/>
  <c r="R192"/>
  <c r="Q192"/>
  <c r="D34"/>
  <c r="G34"/>
  <c r="I34" s="1"/>
  <c r="F34"/>
  <c r="H34" s="1"/>
  <c r="M34"/>
  <c r="P34"/>
  <c r="R34" s="1"/>
  <c r="O34"/>
  <c r="Q34" s="1"/>
  <c r="Z333"/>
  <c r="AA333"/>
  <c r="I310"/>
  <c r="D205"/>
  <c r="G205"/>
  <c r="F205"/>
  <c r="H205" s="1"/>
  <c r="M261"/>
  <c r="O260"/>
  <c r="M260"/>
  <c r="H297"/>
  <c r="V19" i="16" s="1"/>
  <c r="I297" i="9"/>
  <c r="W19" i="16" s="1"/>
  <c r="X19" s="1"/>
  <c r="H286" i="9"/>
  <c r="I286"/>
  <c r="H287"/>
  <c r="I287"/>
  <c r="H288"/>
  <c r="I288"/>
  <c r="R323"/>
  <c r="Q323"/>
  <c r="F103"/>
  <c r="G114"/>
  <c r="F114"/>
  <c r="D114"/>
  <c r="G267"/>
  <c r="P17"/>
  <c r="M17"/>
  <c r="O17"/>
  <c r="O18"/>
  <c r="P18"/>
  <c r="M18"/>
  <c r="M190"/>
  <c r="M189"/>
  <c r="M191"/>
  <c r="D187"/>
  <c r="D185"/>
  <c r="D186"/>
  <c r="D184"/>
  <c r="D183"/>
  <c r="M187"/>
  <c r="M186"/>
  <c r="M188"/>
  <c r="H323"/>
  <c r="D324"/>
  <c r="O317"/>
  <c r="M317"/>
  <c r="P317"/>
  <c r="O315"/>
  <c r="P315"/>
  <c r="M315"/>
  <c r="O316"/>
  <c r="M316"/>
  <c r="P316"/>
  <c r="O314"/>
  <c r="P314"/>
  <c r="M314"/>
  <c r="F317"/>
  <c r="G317"/>
  <c r="D317"/>
  <c r="F316"/>
  <c r="G316"/>
  <c r="D316"/>
  <c r="F318"/>
  <c r="D318"/>
  <c r="G318"/>
  <c r="O308"/>
  <c r="P308"/>
  <c r="O306"/>
  <c r="P306"/>
  <c r="O307"/>
  <c r="P307"/>
  <c r="P305"/>
  <c r="O305"/>
  <c r="F306"/>
  <c r="G306"/>
  <c r="F308"/>
  <c r="G308"/>
  <c r="F309"/>
  <c r="G309"/>
  <c r="F307"/>
  <c r="G307"/>
  <c r="F305"/>
  <c r="G305"/>
  <c r="M231"/>
  <c r="P231"/>
  <c r="O231"/>
  <c r="M233"/>
  <c r="P233"/>
  <c r="O233"/>
  <c r="M230"/>
  <c r="P230"/>
  <c r="O230"/>
  <c r="M232"/>
  <c r="P232"/>
  <c r="O232"/>
  <c r="M234"/>
  <c r="P234"/>
  <c r="O234"/>
  <c r="M241"/>
  <c r="P241"/>
  <c r="O241"/>
  <c r="M243"/>
  <c r="P243"/>
  <c r="O243"/>
  <c r="M240"/>
  <c r="P240"/>
  <c r="O240"/>
  <c r="M242"/>
  <c r="P242"/>
  <c r="O242"/>
  <c r="M244"/>
  <c r="P244"/>
  <c r="O244"/>
  <c r="M250"/>
  <c r="P250"/>
  <c r="O250"/>
  <c r="M252"/>
  <c r="P252"/>
  <c r="O252"/>
  <c r="M251"/>
  <c r="P251"/>
  <c r="O251"/>
  <c r="O259"/>
  <c r="M259"/>
  <c r="P259"/>
  <c r="O258"/>
  <c r="M258"/>
  <c r="P258"/>
  <c r="O261"/>
  <c r="F263"/>
  <c r="G263"/>
  <c r="F265"/>
  <c r="G265"/>
  <c r="F262"/>
  <c r="G262"/>
  <c r="F264"/>
  <c r="G264"/>
  <c r="G266"/>
  <c r="F266"/>
  <c r="F254"/>
  <c r="G254"/>
  <c r="F256"/>
  <c r="G256"/>
  <c r="F252"/>
  <c r="G252"/>
  <c r="F255"/>
  <c r="G255"/>
  <c r="F253"/>
  <c r="G253"/>
  <c r="F245"/>
  <c r="G245"/>
  <c r="F242"/>
  <c r="G242"/>
  <c r="F246"/>
  <c r="G246"/>
  <c r="F244"/>
  <c r="G244"/>
  <c r="F241"/>
  <c r="G241"/>
  <c r="F243"/>
  <c r="G243"/>
  <c r="F234"/>
  <c r="G234"/>
  <c r="G232"/>
  <c r="F232"/>
  <c r="F230"/>
  <c r="G230"/>
  <c r="F235"/>
  <c r="G235"/>
  <c r="G233"/>
  <c r="F233"/>
  <c r="F231"/>
  <c r="G231"/>
  <c r="F214"/>
  <c r="G214"/>
  <c r="G212"/>
  <c r="F212"/>
  <c r="F213"/>
  <c r="G213"/>
  <c r="F211"/>
  <c r="G211"/>
  <c r="O213"/>
  <c r="P213"/>
  <c r="M213"/>
  <c r="O212"/>
  <c r="P212"/>
  <c r="M212"/>
  <c r="O210"/>
  <c r="P210"/>
  <c r="M210"/>
  <c r="O211"/>
  <c r="P211"/>
  <c r="M211"/>
  <c r="O203"/>
  <c r="P203"/>
  <c r="O201"/>
  <c r="P201"/>
  <c r="O202"/>
  <c r="P202"/>
  <c r="O200"/>
  <c r="P200"/>
  <c r="O204"/>
  <c r="P204"/>
  <c r="F220"/>
  <c r="G220"/>
  <c r="D220"/>
  <c r="F221"/>
  <c r="G221"/>
  <c r="D221"/>
  <c r="F203"/>
  <c r="G203"/>
  <c r="F200"/>
  <c r="G200"/>
  <c r="F202"/>
  <c r="G202"/>
  <c r="F204"/>
  <c r="G204"/>
  <c r="F201"/>
  <c r="G201"/>
  <c r="M184"/>
  <c r="M185"/>
  <c r="M183"/>
  <c r="O126"/>
  <c r="P126"/>
  <c r="M126"/>
  <c r="O127"/>
  <c r="P127"/>
  <c r="M127"/>
  <c r="O128"/>
  <c r="P128"/>
  <c r="M128"/>
  <c r="O119"/>
  <c r="P119"/>
  <c r="M119"/>
  <c r="O114"/>
  <c r="P114"/>
  <c r="M114"/>
  <c r="O120"/>
  <c r="P120"/>
  <c r="M120"/>
  <c r="O117"/>
  <c r="P117"/>
  <c r="M117"/>
  <c r="O118"/>
  <c r="P118"/>
  <c r="M118"/>
  <c r="O115"/>
  <c r="P115"/>
  <c r="M115"/>
  <c r="O116"/>
  <c r="P116"/>
  <c r="M116"/>
  <c r="O106"/>
  <c r="P106"/>
  <c r="M106"/>
  <c r="O104"/>
  <c r="P104"/>
  <c r="M104"/>
  <c r="O102"/>
  <c r="P102"/>
  <c r="M102"/>
  <c r="O107"/>
  <c r="P107"/>
  <c r="M107"/>
  <c r="O105"/>
  <c r="P105"/>
  <c r="M105"/>
  <c r="O103"/>
  <c r="P103"/>
  <c r="M103"/>
  <c r="O101"/>
  <c r="P101"/>
  <c r="M101"/>
  <c r="O89"/>
  <c r="P89"/>
  <c r="O95"/>
  <c r="P95"/>
  <c r="O93"/>
  <c r="P93"/>
  <c r="O94"/>
  <c r="P94"/>
  <c r="O92"/>
  <c r="P92"/>
  <c r="O90"/>
  <c r="P90"/>
  <c r="O91"/>
  <c r="P91"/>
  <c r="F140"/>
  <c r="G140"/>
  <c r="F138"/>
  <c r="G138"/>
  <c r="F142"/>
  <c r="G142"/>
  <c r="F143"/>
  <c r="G143"/>
  <c r="F139"/>
  <c r="G139"/>
  <c r="F144"/>
  <c r="G144"/>
  <c r="F141"/>
  <c r="G141"/>
  <c r="F124"/>
  <c r="G124"/>
  <c r="D124"/>
  <c r="F131"/>
  <c r="G131"/>
  <c r="D131"/>
  <c r="F127"/>
  <c r="G127"/>
  <c r="D127"/>
  <c r="F123"/>
  <c r="G123"/>
  <c r="D123"/>
  <c r="F128"/>
  <c r="D128"/>
  <c r="G128"/>
  <c r="F130"/>
  <c r="G130"/>
  <c r="D130"/>
  <c r="F126"/>
  <c r="G126"/>
  <c r="D126"/>
  <c r="F122"/>
  <c r="D122"/>
  <c r="F132"/>
  <c r="G132"/>
  <c r="D132"/>
  <c r="F129"/>
  <c r="G129"/>
  <c r="D129"/>
  <c r="F125"/>
  <c r="G125"/>
  <c r="D125"/>
  <c r="F121"/>
  <c r="D121"/>
  <c r="G112"/>
  <c r="D112"/>
  <c r="F108"/>
  <c r="G108"/>
  <c r="D108"/>
  <c r="F106"/>
  <c r="G106"/>
  <c r="D106"/>
  <c r="F104"/>
  <c r="D104"/>
  <c r="F115"/>
  <c r="G115"/>
  <c r="D115"/>
  <c r="F113"/>
  <c r="G113"/>
  <c r="D113"/>
  <c r="F111"/>
  <c r="G111"/>
  <c r="D111"/>
  <c r="F107"/>
  <c r="G107"/>
  <c r="D107"/>
  <c r="F105"/>
  <c r="D105"/>
  <c r="F110"/>
  <c r="G110"/>
  <c r="D110"/>
  <c r="F109"/>
  <c r="G109"/>
  <c r="D109"/>
  <c r="O32"/>
  <c r="P32"/>
  <c r="M32"/>
  <c r="O30"/>
  <c r="P30"/>
  <c r="M30"/>
  <c r="O28"/>
  <c r="M28"/>
  <c r="P28"/>
  <c r="O26"/>
  <c r="P26"/>
  <c r="M26"/>
  <c r="O24"/>
  <c r="M24"/>
  <c r="O33"/>
  <c r="P33"/>
  <c r="M33"/>
  <c r="O31"/>
  <c r="M31"/>
  <c r="P31"/>
  <c r="O29"/>
  <c r="P29"/>
  <c r="M29"/>
  <c r="O27"/>
  <c r="P27"/>
  <c r="M27"/>
  <c r="O25"/>
  <c r="P25"/>
  <c r="M25"/>
  <c r="O16"/>
  <c r="P16"/>
  <c r="M16"/>
  <c r="O14"/>
  <c r="P14"/>
  <c r="M14"/>
  <c r="O12"/>
  <c r="P12"/>
  <c r="M12"/>
  <c r="O10"/>
  <c r="P10"/>
  <c r="M10"/>
  <c r="O8"/>
  <c r="M8"/>
  <c r="O15"/>
  <c r="P15"/>
  <c r="M15"/>
  <c r="O13"/>
  <c r="P13"/>
  <c r="M13"/>
  <c r="O11"/>
  <c r="P11"/>
  <c r="M11"/>
  <c r="O9"/>
  <c r="M9"/>
  <c r="O41"/>
  <c r="P41"/>
  <c r="P43"/>
  <c r="O43"/>
  <c r="O42"/>
  <c r="P42"/>
  <c r="O40"/>
  <c r="P40"/>
  <c r="O44"/>
  <c r="P44"/>
  <c r="F30"/>
  <c r="G30"/>
  <c r="F28"/>
  <c r="G28"/>
  <c r="F26"/>
  <c r="G26"/>
  <c r="F24"/>
  <c r="F32"/>
  <c r="G32"/>
  <c r="F33"/>
  <c r="G33"/>
  <c r="F31"/>
  <c r="G31"/>
  <c r="F29"/>
  <c r="G29"/>
  <c r="F27"/>
  <c r="G27"/>
  <c r="F25"/>
  <c r="G25"/>
  <c r="M322"/>
  <c r="M333"/>
  <c r="Q10" i="16"/>
  <c r="R10" s="1"/>
  <c r="Q12"/>
  <c r="I176" i="9"/>
  <c r="Q9" i="16" s="1"/>
  <c r="R9" s="1"/>
  <c r="M209" i="9"/>
  <c r="H11" i="16"/>
  <c r="B11"/>
  <c r="N18"/>
  <c r="B8"/>
  <c r="H20"/>
  <c r="H22"/>
  <c r="B25"/>
  <c r="N20"/>
  <c r="B24"/>
  <c r="H21"/>
  <c r="B19"/>
  <c r="B17"/>
  <c r="B18"/>
  <c r="H8"/>
  <c r="B22"/>
  <c r="B20"/>
  <c r="H17"/>
  <c r="T8"/>
  <c r="N25"/>
  <c r="T7"/>
  <c r="T25"/>
  <c r="N17"/>
  <c r="B21"/>
  <c r="H18"/>
  <c r="T9"/>
  <c r="T24"/>
  <c r="H23"/>
  <c r="H25"/>
  <c r="H7"/>
  <c r="B12"/>
  <c r="N19"/>
  <c r="H9"/>
  <c r="N26"/>
  <c r="B10"/>
  <c r="H19"/>
  <c r="H24"/>
  <c r="H26"/>
  <c r="N21"/>
  <c r="P209" i="9"/>
  <c r="O209"/>
  <c r="O333"/>
  <c r="P333"/>
  <c r="M313"/>
  <c r="O313"/>
  <c r="P313"/>
  <c r="D315"/>
  <c r="G315"/>
  <c r="F315"/>
  <c r="M125"/>
  <c r="P125"/>
  <c r="O125"/>
  <c r="M13" i="10"/>
  <c r="L13"/>
  <c r="K13"/>
  <c r="J13"/>
  <c r="L12"/>
  <c r="K12"/>
  <c r="J12"/>
  <c r="M11"/>
  <c r="L11"/>
  <c r="K11"/>
  <c r="J11"/>
  <c r="M10"/>
  <c r="L10"/>
  <c r="K10"/>
  <c r="J10"/>
  <c r="M9"/>
  <c r="L9"/>
  <c r="K9"/>
  <c r="J9"/>
  <c r="M8"/>
  <c r="L8"/>
  <c r="K8"/>
  <c r="J8"/>
  <c r="M7"/>
  <c r="L7"/>
  <c r="K7"/>
  <c r="J7"/>
  <c r="M6"/>
  <c r="L6"/>
  <c r="K6"/>
  <c r="J6"/>
  <c r="M5"/>
  <c r="L5"/>
  <c r="K5"/>
  <c r="J5"/>
  <c r="M4"/>
  <c r="L4"/>
  <c r="K4"/>
  <c r="J4"/>
  <c r="M3"/>
  <c r="L3"/>
  <c r="K3"/>
  <c r="J3"/>
  <c r="E37" i="9"/>
  <c r="C39" s="1"/>
  <c r="C40" s="1"/>
  <c r="C41" s="1"/>
  <c r="C42" s="1"/>
  <c r="C43" s="1"/>
  <c r="C44" s="1"/>
  <c r="D37"/>
  <c r="G37" s="1"/>
  <c r="E5"/>
  <c r="E18" s="1"/>
  <c r="I149" l="1"/>
  <c r="H149"/>
  <c r="T27" i="16"/>
  <c r="AA331" i="9"/>
  <c r="U26" i="16" s="1"/>
  <c r="I205" i="9"/>
  <c r="Q260"/>
  <c r="R260"/>
  <c r="H13" i="16"/>
  <c r="H289" i="9"/>
  <c r="V17" i="16" s="1"/>
  <c r="I289" i="9"/>
  <c r="W17" i="16" s="1"/>
  <c r="X17" s="1"/>
  <c r="R289" i="9"/>
  <c r="W18" i="16" s="1"/>
  <c r="Q289" i="9"/>
  <c r="V18" i="16" s="1"/>
  <c r="H114" i="9"/>
  <c r="I114"/>
  <c r="R322"/>
  <c r="R325" s="1"/>
  <c r="Q322"/>
  <c r="Q325" s="1"/>
  <c r="Q233"/>
  <c r="Q244"/>
  <c r="R18"/>
  <c r="R17"/>
  <c r="Q18"/>
  <c r="Q17"/>
  <c r="Q241"/>
  <c r="F18"/>
  <c r="G18"/>
  <c r="T13" i="16"/>
  <c r="H27"/>
  <c r="N22"/>
  <c r="R107" i="9"/>
  <c r="R33"/>
  <c r="R116"/>
  <c r="R127"/>
  <c r="Q107"/>
  <c r="Q127"/>
  <c r="Q116"/>
  <c r="Q120"/>
  <c r="H115"/>
  <c r="H112"/>
  <c r="H132"/>
  <c r="I112"/>
  <c r="R13"/>
  <c r="I316"/>
  <c r="R316"/>
  <c r="R315"/>
  <c r="Q317"/>
  <c r="Q315"/>
  <c r="R317"/>
  <c r="H316"/>
  <c r="I318"/>
  <c r="I131"/>
  <c r="R128"/>
  <c r="I109"/>
  <c r="I125"/>
  <c r="I126"/>
  <c r="I127"/>
  <c r="H131"/>
  <c r="R103"/>
  <c r="R104"/>
  <c r="R118"/>
  <c r="R119"/>
  <c r="Q128"/>
  <c r="R213"/>
  <c r="H318"/>
  <c r="R314"/>
  <c r="Q316"/>
  <c r="Q213"/>
  <c r="R120"/>
  <c r="I111"/>
  <c r="Q33"/>
  <c r="R258"/>
  <c r="R244"/>
  <c r="R241"/>
  <c r="R233"/>
  <c r="Q261"/>
  <c r="Q252"/>
  <c r="Q240"/>
  <c r="Q232"/>
  <c r="R261"/>
  <c r="Q258"/>
  <c r="R252"/>
  <c r="R240"/>
  <c r="R232"/>
  <c r="I110"/>
  <c r="I113"/>
  <c r="I129"/>
  <c r="I130"/>
  <c r="H128"/>
  <c r="R105"/>
  <c r="R106"/>
  <c r="R117"/>
  <c r="H324"/>
  <c r="H326" s="1"/>
  <c r="I324"/>
  <c r="H110"/>
  <c r="H113"/>
  <c r="H108"/>
  <c r="H129"/>
  <c r="H130"/>
  <c r="Q105"/>
  <c r="Q106"/>
  <c r="Q117"/>
  <c r="Q211"/>
  <c r="Q251"/>
  <c r="Q242"/>
  <c r="Q234"/>
  <c r="Q231"/>
  <c r="I128"/>
  <c r="R231"/>
  <c r="R259"/>
  <c r="R251"/>
  <c r="R242"/>
  <c r="R234"/>
  <c r="Q250"/>
  <c r="Q243"/>
  <c r="Q230"/>
  <c r="Q259"/>
  <c r="R250"/>
  <c r="R243"/>
  <c r="R230"/>
  <c r="I317"/>
  <c r="Q314"/>
  <c r="H317"/>
  <c r="R212"/>
  <c r="I221"/>
  <c r="R210"/>
  <c r="Q212"/>
  <c r="H221"/>
  <c r="R211"/>
  <c r="Q210"/>
  <c r="I220"/>
  <c r="H220"/>
  <c r="H109"/>
  <c r="H111"/>
  <c r="H106"/>
  <c r="H125"/>
  <c r="H127"/>
  <c r="Q103"/>
  <c r="Q104"/>
  <c r="R115"/>
  <c r="Q118"/>
  <c r="R114"/>
  <c r="Q119"/>
  <c r="R126"/>
  <c r="Q191"/>
  <c r="R191"/>
  <c r="I187"/>
  <c r="H187"/>
  <c r="I115"/>
  <c r="I132"/>
  <c r="Q115"/>
  <c r="Q114"/>
  <c r="Q126"/>
  <c r="H186"/>
  <c r="I186"/>
  <c r="Q189"/>
  <c r="R189"/>
  <c r="I185"/>
  <c r="H185"/>
  <c r="R190"/>
  <c r="Q190"/>
  <c r="R30"/>
  <c r="Q13"/>
  <c r="H126"/>
  <c r="I106"/>
  <c r="R27"/>
  <c r="R32"/>
  <c r="I107"/>
  <c r="I123"/>
  <c r="R101"/>
  <c r="R102"/>
  <c r="Q15"/>
  <c r="Q12"/>
  <c r="Q27"/>
  <c r="Q32"/>
  <c r="Q101"/>
  <c r="Q102"/>
  <c r="R11"/>
  <c r="R16"/>
  <c r="Q25"/>
  <c r="Q30"/>
  <c r="I108"/>
  <c r="E13"/>
  <c r="E11"/>
  <c r="E16"/>
  <c r="E14"/>
  <c r="E15"/>
  <c r="E8"/>
  <c r="E12"/>
  <c r="E17"/>
  <c r="E9"/>
  <c r="E10"/>
  <c r="Q11"/>
  <c r="Q8"/>
  <c r="R14"/>
  <c r="Q16"/>
  <c r="R29"/>
  <c r="Q31"/>
  <c r="H107"/>
  <c r="H123"/>
  <c r="I124"/>
  <c r="R186"/>
  <c r="Q186"/>
  <c r="Q188"/>
  <c r="R188"/>
  <c r="Q9"/>
  <c r="R15"/>
  <c r="R12"/>
  <c r="Q14"/>
  <c r="Q29"/>
  <c r="H124"/>
  <c r="R187"/>
  <c r="Q187"/>
  <c r="I183"/>
  <c r="H183"/>
  <c r="R31"/>
  <c r="H184"/>
  <c r="I184"/>
  <c r="Q183"/>
  <c r="R183"/>
  <c r="R185"/>
  <c r="Q185"/>
  <c r="R184"/>
  <c r="Q184"/>
  <c r="H121"/>
  <c r="H122"/>
  <c r="H104"/>
  <c r="H105"/>
  <c r="R26"/>
  <c r="Q28"/>
  <c r="Q26"/>
  <c r="R25"/>
  <c r="Q24"/>
  <c r="R28"/>
  <c r="R10"/>
  <c r="Q10"/>
  <c r="E40"/>
  <c r="E41"/>
  <c r="E42"/>
  <c r="E43"/>
  <c r="E44"/>
  <c r="H37"/>
  <c r="R12" i="16"/>
  <c r="I321" i="9"/>
  <c r="U11" i="16" s="1"/>
  <c r="I323" i="9"/>
  <c r="N27" i="16"/>
  <c r="Q209" i="9"/>
  <c r="R333"/>
  <c r="Q333"/>
  <c r="R209"/>
  <c r="R313"/>
  <c r="Q313"/>
  <c r="H315"/>
  <c r="I315"/>
  <c r="R125"/>
  <c r="Q125"/>
  <c r="E39"/>
  <c r="L66"/>
  <c r="C7"/>
  <c r="C8" s="1"/>
  <c r="C9" s="1"/>
  <c r="C10" s="1"/>
  <c r="C11" s="1"/>
  <c r="C12" s="1"/>
  <c r="C13" s="1"/>
  <c r="C14" s="1"/>
  <c r="C15" s="1"/>
  <c r="C16" s="1"/>
  <c r="C17" s="1"/>
  <c r="C18" s="1"/>
  <c r="D18" s="1"/>
  <c r="AA373" l="1"/>
  <c r="W26" i="16" s="1"/>
  <c r="X26" s="1"/>
  <c r="Z373" i="9"/>
  <c r="V26" i="16" s="1"/>
  <c r="V20"/>
  <c r="W20"/>
  <c r="X20" s="1"/>
  <c r="X18"/>
  <c r="I18" i="9"/>
  <c r="H18"/>
  <c r="I326"/>
  <c r="W11" i="16" s="1"/>
  <c r="D241" i="9"/>
  <c r="D200"/>
  <c r="D252"/>
  <c r="D230"/>
  <c r="D211"/>
  <c r="D305"/>
  <c r="M200"/>
  <c r="D262"/>
  <c r="M305"/>
  <c r="M40"/>
  <c r="D67"/>
  <c r="D12"/>
  <c r="F12"/>
  <c r="G12"/>
  <c r="D16"/>
  <c r="G16"/>
  <c r="F16"/>
  <c r="D53"/>
  <c r="D17"/>
  <c r="F17"/>
  <c r="G17"/>
  <c r="D77"/>
  <c r="D24"/>
  <c r="M53"/>
  <c r="D10"/>
  <c r="F10"/>
  <c r="G10"/>
  <c r="F8"/>
  <c r="D8"/>
  <c r="D11"/>
  <c r="G11"/>
  <c r="F11"/>
  <c r="D14"/>
  <c r="F14"/>
  <c r="G14"/>
  <c r="L67"/>
  <c r="M66"/>
  <c r="M89"/>
  <c r="D138"/>
  <c r="F9"/>
  <c r="D9"/>
  <c r="F15"/>
  <c r="D15"/>
  <c r="G15"/>
  <c r="D13"/>
  <c r="F13"/>
  <c r="G13"/>
  <c r="F42"/>
  <c r="D42"/>
  <c r="G42"/>
  <c r="F43"/>
  <c r="G43"/>
  <c r="D43"/>
  <c r="F41"/>
  <c r="D41"/>
  <c r="G41"/>
  <c r="F44"/>
  <c r="G44"/>
  <c r="D44"/>
  <c r="F40"/>
  <c r="D40"/>
  <c r="G40"/>
  <c r="V11" i="16"/>
  <c r="R320" i="9"/>
  <c r="U12" i="16" s="1"/>
  <c r="H157" i="9"/>
  <c r="D158"/>
  <c r="H158" s="1"/>
  <c r="B9" i="16"/>
  <c r="B7"/>
  <c r="D39" i="9"/>
  <c r="I38" i="8"/>
  <c r="G122" i="9" s="1"/>
  <c r="I122" s="1"/>
  <c r="I37" i="8"/>
  <c r="G121" i="9" s="1"/>
  <c r="I121" s="1"/>
  <c r="I36" i="8"/>
  <c r="F38"/>
  <c r="G105" i="9" s="1"/>
  <c r="I105" s="1"/>
  <c r="F37" i="8"/>
  <c r="G104" i="9" s="1"/>
  <c r="I104" s="1"/>
  <c r="F36" i="8"/>
  <c r="G103" i="9" s="1"/>
  <c r="H151" l="1"/>
  <c r="D27" i="16" s="1"/>
  <c r="I151" i="9"/>
  <c r="E27" i="16" s="1"/>
  <c r="F27" s="1"/>
  <c r="B13"/>
  <c r="H44" i="9"/>
  <c r="H17"/>
  <c r="H12"/>
  <c r="I44"/>
  <c r="D201"/>
  <c r="I201" s="1"/>
  <c r="R200"/>
  <c r="Q200"/>
  <c r="I211"/>
  <c r="H211"/>
  <c r="I41"/>
  <c r="M306"/>
  <c r="M201"/>
  <c r="D212"/>
  <c r="H200"/>
  <c r="I200"/>
  <c r="I262"/>
  <c r="H262"/>
  <c r="I305"/>
  <c r="H305"/>
  <c r="H230"/>
  <c r="I230"/>
  <c r="H252"/>
  <c r="I252"/>
  <c r="I241"/>
  <c r="H241"/>
  <c r="R305"/>
  <c r="Q305"/>
  <c r="H41"/>
  <c r="D263"/>
  <c r="D306"/>
  <c r="D231"/>
  <c r="D253"/>
  <c r="D242"/>
  <c r="I67"/>
  <c r="H67"/>
  <c r="H42"/>
  <c r="D68"/>
  <c r="H43"/>
  <c r="I13"/>
  <c r="D78"/>
  <c r="R40"/>
  <c r="Q40"/>
  <c r="H40"/>
  <c r="I43"/>
  <c r="I40"/>
  <c r="I42"/>
  <c r="I17"/>
  <c r="M41"/>
  <c r="H14"/>
  <c r="H9"/>
  <c r="I10"/>
  <c r="I12"/>
  <c r="D202"/>
  <c r="H13"/>
  <c r="H10"/>
  <c r="H8"/>
  <c r="H15"/>
  <c r="H138"/>
  <c r="I138"/>
  <c r="R66"/>
  <c r="Q66"/>
  <c r="H24"/>
  <c r="D54"/>
  <c r="M54"/>
  <c r="I53"/>
  <c r="H53"/>
  <c r="D139"/>
  <c r="L68"/>
  <c r="M67"/>
  <c r="H11"/>
  <c r="D25"/>
  <c r="H16"/>
  <c r="M90"/>
  <c r="I15"/>
  <c r="Q89"/>
  <c r="R89"/>
  <c r="I14"/>
  <c r="I11"/>
  <c r="R53"/>
  <c r="Q53"/>
  <c r="H77"/>
  <c r="I77"/>
  <c r="I16"/>
  <c r="V12" i="16"/>
  <c r="W12"/>
  <c r="X12" s="1"/>
  <c r="X11"/>
  <c r="I158" i="9"/>
  <c r="D159"/>
  <c r="H159" s="1"/>
  <c r="G39"/>
  <c r="I39" s="1"/>
  <c r="F39"/>
  <c r="H39" s="1"/>
  <c r="H201" l="1"/>
  <c r="H242"/>
  <c r="I242"/>
  <c r="I231"/>
  <c r="H231"/>
  <c r="I263"/>
  <c r="H263"/>
  <c r="M202"/>
  <c r="D243"/>
  <c r="D232"/>
  <c r="D264"/>
  <c r="H212"/>
  <c r="I212"/>
  <c r="R306"/>
  <c r="Q306"/>
  <c r="I253"/>
  <c r="H253"/>
  <c r="H306"/>
  <c r="I306"/>
  <c r="D214"/>
  <c r="D213"/>
  <c r="M308"/>
  <c r="M307"/>
  <c r="D204"/>
  <c r="D203"/>
  <c r="D254"/>
  <c r="D307"/>
  <c r="Q201"/>
  <c r="R201"/>
  <c r="D80"/>
  <c r="D79"/>
  <c r="D69"/>
  <c r="Q41"/>
  <c r="R41"/>
  <c r="M42"/>
  <c r="I78"/>
  <c r="H78"/>
  <c r="H68"/>
  <c r="I68"/>
  <c r="H202"/>
  <c r="I202"/>
  <c r="R90"/>
  <c r="Q90"/>
  <c r="D26"/>
  <c r="I139"/>
  <c r="H139"/>
  <c r="Q54"/>
  <c r="R54"/>
  <c r="I25"/>
  <c r="H25"/>
  <c r="D55"/>
  <c r="M91"/>
  <c r="D140"/>
  <c r="M55"/>
  <c r="L69"/>
  <c r="M68"/>
  <c r="Q67"/>
  <c r="R67"/>
  <c r="I54"/>
  <c r="H54"/>
  <c r="I159"/>
  <c r="D160"/>
  <c r="R307" l="1"/>
  <c r="Q307"/>
  <c r="I243"/>
  <c r="H243"/>
  <c r="D256"/>
  <c r="D255"/>
  <c r="R308"/>
  <c r="Q308"/>
  <c r="D265"/>
  <c r="D244"/>
  <c r="H307"/>
  <c r="I307"/>
  <c r="I203"/>
  <c r="H203"/>
  <c r="I213"/>
  <c r="H213"/>
  <c r="H232"/>
  <c r="I232"/>
  <c r="R202"/>
  <c r="Q202"/>
  <c r="H254"/>
  <c r="I254"/>
  <c r="H264"/>
  <c r="I264"/>
  <c r="D309"/>
  <c r="D308"/>
  <c r="H204"/>
  <c r="I204"/>
  <c r="I214"/>
  <c r="H214"/>
  <c r="D233"/>
  <c r="M204"/>
  <c r="M203"/>
  <c r="I69"/>
  <c r="H69"/>
  <c r="M56"/>
  <c r="M92"/>
  <c r="M44"/>
  <c r="M43"/>
  <c r="D71"/>
  <c r="D70"/>
  <c r="Q42"/>
  <c r="R42"/>
  <c r="I79"/>
  <c r="H79"/>
  <c r="D141"/>
  <c r="I80"/>
  <c r="H80"/>
  <c r="H140"/>
  <c r="I140"/>
  <c r="I26"/>
  <c r="H26"/>
  <c r="D56"/>
  <c r="D27"/>
  <c r="R68"/>
  <c r="Q68"/>
  <c r="L70"/>
  <c r="M69"/>
  <c r="Q55"/>
  <c r="R55"/>
  <c r="R91"/>
  <c r="Q91"/>
  <c r="I55"/>
  <c r="H55"/>
  <c r="H160"/>
  <c r="I160"/>
  <c r="D161"/>
  <c r="N334"/>
  <c r="N249"/>
  <c r="N229"/>
  <c r="E261"/>
  <c r="E240"/>
  <c r="E23"/>
  <c r="E199"/>
  <c r="E210"/>
  <c r="E52"/>
  <c r="N304"/>
  <c r="N7"/>
  <c r="N88"/>
  <c r="E66"/>
  <c r="E137"/>
  <c r="G137" s="1"/>
  <c r="N182"/>
  <c r="N52"/>
  <c r="M52" s="1"/>
  <c r="N39"/>
  <c r="E333"/>
  <c r="D333" s="1"/>
  <c r="N257"/>
  <c r="N239"/>
  <c r="N199"/>
  <c r="N100"/>
  <c r="N65"/>
  <c r="D103"/>
  <c r="E182"/>
  <c r="E88"/>
  <c r="F88" s="1"/>
  <c r="E219"/>
  <c r="D219" s="1"/>
  <c r="I217" s="1"/>
  <c r="E76"/>
  <c r="N113"/>
  <c r="E304"/>
  <c r="E251"/>
  <c r="E229"/>
  <c r="N23"/>
  <c r="E120"/>
  <c r="E7"/>
  <c r="I101" l="1"/>
  <c r="H103"/>
  <c r="H116" s="1"/>
  <c r="D266"/>
  <c r="H266" s="1"/>
  <c r="D267"/>
  <c r="R203"/>
  <c r="Q203"/>
  <c r="H308"/>
  <c r="I308"/>
  <c r="I244"/>
  <c r="H244"/>
  <c r="R204"/>
  <c r="Q204"/>
  <c r="I309"/>
  <c r="H309"/>
  <c r="D246"/>
  <c r="D245"/>
  <c r="I233"/>
  <c r="H233"/>
  <c r="I265"/>
  <c r="H265"/>
  <c r="I255"/>
  <c r="H255"/>
  <c r="D235"/>
  <c r="D234"/>
  <c r="I256"/>
  <c r="H256"/>
  <c r="H141"/>
  <c r="I141"/>
  <c r="D142"/>
  <c r="R44"/>
  <c r="Q44"/>
  <c r="M57"/>
  <c r="Q56"/>
  <c r="R56"/>
  <c r="I70"/>
  <c r="H70"/>
  <c r="R92"/>
  <c r="Q92"/>
  <c r="Q43"/>
  <c r="R43"/>
  <c r="H71"/>
  <c r="I71"/>
  <c r="M93"/>
  <c r="R69"/>
  <c r="Q69"/>
  <c r="L71"/>
  <c r="M70"/>
  <c r="D28"/>
  <c r="H56"/>
  <c r="I56"/>
  <c r="H27"/>
  <c r="I27"/>
  <c r="D57"/>
  <c r="H161"/>
  <c r="I161"/>
  <c r="D162"/>
  <c r="I162" s="1"/>
  <c r="N335"/>
  <c r="E89"/>
  <c r="F89" s="1"/>
  <c r="E334"/>
  <c r="M23"/>
  <c r="O23"/>
  <c r="O304"/>
  <c r="P304"/>
  <c r="M304"/>
  <c r="F120"/>
  <c r="G120"/>
  <c r="D120"/>
  <c r="F229"/>
  <c r="G229"/>
  <c r="D229"/>
  <c r="G304"/>
  <c r="F304"/>
  <c r="D304"/>
  <c r="I302" s="1"/>
  <c r="O113"/>
  <c r="M113"/>
  <c r="P113"/>
  <c r="F76"/>
  <c r="G76"/>
  <c r="D76"/>
  <c r="F251"/>
  <c r="G251"/>
  <c r="D251"/>
  <c r="F219"/>
  <c r="G219"/>
  <c r="M100"/>
  <c r="P100"/>
  <c r="O100"/>
  <c r="F333"/>
  <c r="H333" s="1"/>
  <c r="G333"/>
  <c r="R207"/>
  <c r="O39"/>
  <c r="P39"/>
  <c r="M39"/>
  <c r="F137"/>
  <c r="D137"/>
  <c r="F66"/>
  <c r="G66"/>
  <c r="D66"/>
  <c r="M7"/>
  <c r="R5" s="1"/>
  <c r="O7"/>
  <c r="F52"/>
  <c r="G52"/>
  <c r="D52"/>
  <c r="G199"/>
  <c r="F199"/>
  <c r="D199"/>
  <c r="F23"/>
  <c r="D23"/>
  <c r="O229"/>
  <c r="P229"/>
  <c r="M229"/>
  <c r="P334"/>
  <c r="O334"/>
  <c r="M334"/>
  <c r="P199"/>
  <c r="O199"/>
  <c r="M199"/>
  <c r="P239"/>
  <c r="O239"/>
  <c r="M239"/>
  <c r="P88"/>
  <c r="O88"/>
  <c r="M88"/>
  <c r="G210"/>
  <c r="F210"/>
  <c r="D210"/>
  <c r="P249"/>
  <c r="M249"/>
  <c r="O249"/>
  <c r="F182"/>
  <c r="D182"/>
  <c r="G182"/>
  <c r="O65"/>
  <c r="M65"/>
  <c r="P257"/>
  <c r="M257"/>
  <c r="O257"/>
  <c r="O182"/>
  <c r="M182"/>
  <c r="P182"/>
  <c r="G261"/>
  <c r="F261"/>
  <c r="D261"/>
  <c r="F7"/>
  <c r="D7"/>
  <c r="I5" s="1"/>
  <c r="G88"/>
  <c r="D88"/>
  <c r="O52"/>
  <c r="F240"/>
  <c r="G240"/>
  <c r="D240"/>
  <c r="Q182" l="1"/>
  <c r="Q193" s="1"/>
  <c r="P26" i="16" s="1"/>
  <c r="I259" i="9"/>
  <c r="H267"/>
  <c r="I267"/>
  <c r="I266"/>
  <c r="H246"/>
  <c r="I246"/>
  <c r="H234"/>
  <c r="I234"/>
  <c r="I245"/>
  <c r="H245"/>
  <c r="H235"/>
  <c r="I235"/>
  <c r="H142"/>
  <c r="I142"/>
  <c r="L72"/>
  <c r="M72" s="1"/>
  <c r="M71"/>
  <c r="M95"/>
  <c r="M94"/>
  <c r="M59"/>
  <c r="M58"/>
  <c r="D144"/>
  <c r="D143"/>
  <c r="Q93"/>
  <c r="R93"/>
  <c r="Q57"/>
  <c r="R57"/>
  <c r="D58"/>
  <c r="I57"/>
  <c r="H57"/>
  <c r="R70"/>
  <c r="Q70"/>
  <c r="H28"/>
  <c r="I28"/>
  <c r="D29"/>
  <c r="I155"/>
  <c r="O7" i="16" s="1"/>
  <c r="O13" s="1"/>
  <c r="H162" i="9"/>
  <c r="H163" s="1"/>
  <c r="P7" i="16" s="1"/>
  <c r="P13" s="1"/>
  <c r="I163" i="9"/>
  <c r="Q7" i="16" s="1"/>
  <c r="Q13" s="1"/>
  <c r="D334" i="9"/>
  <c r="F334"/>
  <c r="D89"/>
  <c r="H89" s="1"/>
  <c r="G89"/>
  <c r="E335"/>
  <c r="E90"/>
  <c r="N336"/>
  <c r="G334"/>
  <c r="O21" i="16"/>
  <c r="M335" i="9"/>
  <c r="O335"/>
  <c r="P335"/>
  <c r="I182"/>
  <c r="I261"/>
  <c r="R199"/>
  <c r="Q334"/>
  <c r="R39"/>
  <c r="Q214"/>
  <c r="Q113"/>
  <c r="I120"/>
  <c r="R304"/>
  <c r="H251"/>
  <c r="Q249"/>
  <c r="R334"/>
  <c r="H23"/>
  <c r="R100"/>
  <c r="R109" s="1"/>
  <c r="H304"/>
  <c r="Q304"/>
  <c r="Q23"/>
  <c r="I52"/>
  <c r="R214"/>
  <c r="I219"/>
  <c r="H240"/>
  <c r="I240"/>
  <c r="R113"/>
  <c r="R249"/>
  <c r="Q199"/>
  <c r="H88"/>
  <c r="R182"/>
  <c r="R193" s="1"/>
  <c r="Q88"/>
  <c r="I137"/>
  <c r="H7"/>
  <c r="H19" s="1"/>
  <c r="H137"/>
  <c r="R88"/>
  <c r="Q7"/>
  <c r="Q19" s="1"/>
  <c r="H210"/>
  <c r="Q239"/>
  <c r="I66"/>
  <c r="I76"/>
  <c r="I229"/>
  <c r="H182"/>
  <c r="I210"/>
  <c r="R239"/>
  <c r="R229"/>
  <c r="I199"/>
  <c r="I206" s="1"/>
  <c r="Q39"/>
  <c r="I103"/>
  <c r="I116" s="1"/>
  <c r="H76"/>
  <c r="H229"/>
  <c r="H66"/>
  <c r="R257"/>
  <c r="R262" s="1"/>
  <c r="Q52"/>
  <c r="I88"/>
  <c r="H261"/>
  <c r="Q257"/>
  <c r="Q262" s="1"/>
  <c r="Q65"/>
  <c r="Q229"/>
  <c r="H199"/>
  <c r="H206" s="1"/>
  <c r="H52"/>
  <c r="I333"/>
  <c r="Q100"/>
  <c r="Q109" s="1"/>
  <c r="H219"/>
  <c r="I251"/>
  <c r="I304"/>
  <c r="H120"/>
  <c r="H133" s="1"/>
  <c r="L21" i="8"/>
  <c r="P52" i="9" s="1"/>
  <c r="R52" s="1"/>
  <c r="I21" i="8"/>
  <c r="P65" i="9" s="1"/>
  <c r="R65" s="1"/>
  <c r="O6" i="8"/>
  <c r="P9" i="9" s="1"/>
  <c r="R9" s="1"/>
  <c r="C6" i="8"/>
  <c r="G9" i="9" s="1"/>
  <c r="I9" s="1"/>
  <c r="R5" i="8"/>
  <c r="P24" i="9" s="1"/>
  <c r="R24" s="1"/>
  <c r="I5" i="8"/>
  <c r="G24" i="9" s="1"/>
  <c r="I24" s="1"/>
  <c r="O5" i="8"/>
  <c r="P8" i="9" s="1"/>
  <c r="R8" s="1"/>
  <c r="C5" i="8"/>
  <c r="G8" i="9" s="1"/>
  <c r="I8" s="1"/>
  <c r="R4" i="8"/>
  <c r="P23" i="9" s="1"/>
  <c r="R23" s="1"/>
  <c r="I4" i="8"/>
  <c r="G23" i="9" s="1"/>
  <c r="I23" s="1"/>
  <c r="O4" i="8"/>
  <c r="P7" i="9" s="1"/>
  <c r="R7" s="1"/>
  <c r="G7"/>
  <c r="I7" s="1"/>
  <c r="H268" l="1"/>
  <c r="I268"/>
  <c r="R19"/>
  <c r="E8" i="16" s="1"/>
  <c r="I19" i="9"/>
  <c r="Q71"/>
  <c r="R71"/>
  <c r="Q59"/>
  <c r="R59"/>
  <c r="Q72"/>
  <c r="R72"/>
  <c r="H143"/>
  <c r="I143"/>
  <c r="Q94"/>
  <c r="R94"/>
  <c r="R58"/>
  <c r="Q58"/>
  <c r="I144"/>
  <c r="H144"/>
  <c r="R95"/>
  <c r="Q95"/>
  <c r="I29"/>
  <c r="H29"/>
  <c r="H58"/>
  <c r="I58"/>
  <c r="D30"/>
  <c r="D59"/>
  <c r="H222"/>
  <c r="I222"/>
  <c r="R7" i="16"/>
  <c r="H334" i="9"/>
  <c r="I334"/>
  <c r="F335"/>
  <c r="G335"/>
  <c r="E336"/>
  <c r="E91"/>
  <c r="F91" s="1"/>
  <c r="I89"/>
  <c r="R237"/>
  <c r="N337"/>
  <c r="Q21" i="16"/>
  <c r="R21" s="1"/>
  <c r="P21"/>
  <c r="O20"/>
  <c r="Q335" i="9"/>
  <c r="R335"/>
  <c r="D335"/>
  <c r="R255"/>
  <c r="R123"/>
  <c r="R247"/>
  <c r="F90"/>
  <c r="G90"/>
  <c r="D90"/>
  <c r="O336"/>
  <c r="P336"/>
  <c r="M336"/>
  <c r="I64"/>
  <c r="I313"/>
  <c r="Q73" l="1"/>
  <c r="D61"/>
  <c r="D60"/>
  <c r="H30"/>
  <c r="I30"/>
  <c r="I59"/>
  <c r="H59"/>
  <c r="D31"/>
  <c r="F336"/>
  <c r="G336"/>
  <c r="I335"/>
  <c r="H335"/>
  <c r="Q245"/>
  <c r="R245"/>
  <c r="E337"/>
  <c r="E92"/>
  <c r="E93"/>
  <c r="N338"/>
  <c r="E338"/>
  <c r="P20" i="16"/>
  <c r="U9"/>
  <c r="Q20"/>
  <c r="R20" s="1"/>
  <c r="I25"/>
  <c r="I8"/>
  <c r="I24"/>
  <c r="C25"/>
  <c r="I26"/>
  <c r="D336" i="9"/>
  <c r="Q253"/>
  <c r="R129"/>
  <c r="Q129"/>
  <c r="I319"/>
  <c r="H319"/>
  <c r="R336"/>
  <c r="R253"/>
  <c r="Q336"/>
  <c r="H72"/>
  <c r="I72"/>
  <c r="D91"/>
  <c r="H91" s="1"/>
  <c r="G91"/>
  <c r="I90"/>
  <c r="H90"/>
  <c r="I180"/>
  <c r="P337"/>
  <c r="M337"/>
  <c r="O337"/>
  <c r="R227"/>
  <c r="I208"/>
  <c r="R302"/>
  <c r="I74"/>
  <c r="R311"/>
  <c r="I60" l="1"/>
  <c r="H60"/>
  <c r="I61"/>
  <c r="H61"/>
  <c r="I31"/>
  <c r="H31"/>
  <c r="D33"/>
  <c r="D32"/>
  <c r="H188"/>
  <c r="F337"/>
  <c r="G337"/>
  <c r="F338"/>
  <c r="G338"/>
  <c r="I336"/>
  <c r="H336"/>
  <c r="N339"/>
  <c r="E339"/>
  <c r="E94"/>
  <c r="K26" i="16"/>
  <c r="L26" s="1"/>
  <c r="E25"/>
  <c r="F25" s="1"/>
  <c r="J24"/>
  <c r="I11"/>
  <c r="O19"/>
  <c r="V9"/>
  <c r="J25"/>
  <c r="K25"/>
  <c r="L25" s="1"/>
  <c r="J8"/>
  <c r="K24"/>
  <c r="L24" s="1"/>
  <c r="W9"/>
  <c r="X9" s="1"/>
  <c r="J26"/>
  <c r="U10"/>
  <c r="U8"/>
  <c r="O25"/>
  <c r="K8"/>
  <c r="L8" s="1"/>
  <c r="D25"/>
  <c r="I188" i="9"/>
  <c r="R318"/>
  <c r="Q318"/>
  <c r="I81"/>
  <c r="H81"/>
  <c r="Q309"/>
  <c r="I257"/>
  <c r="R309"/>
  <c r="Q337"/>
  <c r="H311"/>
  <c r="V7" i="16" s="1"/>
  <c r="R337" i="9"/>
  <c r="I215"/>
  <c r="H215"/>
  <c r="I249"/>
  <c r="I91"/>
  <c r="G92"/>
  <c r="F92"/>
  <c r="D92"/>
  <c r="D337"/>
  <c r="R197"/>
  <c r="I37"/>
  <c r="P338"/>
  <c r="M338"/>
  <c r="O338"/>
  <c r="R37"/>
  <c r="I311"/>
  <c r="I197"/>
  <c r="I227"/>
  <c r="D338"/>
  <c r="I238"/>
  <c r="R98"/>
  <c r="I33" l="1"/>
  <c r="H33"/>
  <c r="I32"/>
  <c r="H32"/>
  <c r="R235"/>
  <c r="Q235"/>
  <c r="W10" i="16"/>
  <c r="X10" s="1"/>
  <c r="F339" i="9"/>
  <c r="G339"/>
  <c r="I338"/>
  <c r="H338"/>
  <c r="I337"/>
  <c r="H337"/>
  <c r="E95"/>
  <c r="E340"/>
  <c r="N340"/>
  <c r="P25" i="16"/>
  <c r="V8"/>
  <c r="I22"/>
  <c r="U7"/>
  <c r="U13" s="1"/>
  <c r="C9"/>
  <c r="I20"/>
  <c r="K19"/>
  <c r="L19" s="1"/>
  <c r="J11"/>
  <c r="C12"/>
  <c r="O18"/>
  <c r="I18"/>
  <c r="I23"/>
  <c r="W7"/>
  <c r="Q19"/>
  <c r="R19" s="1"/>
  <c r="K11"/>
  <c r="L11" s="1"/>
  <c r="Q25"/>
  <c r="R25" s="1"/>
  <c r="I17"/>
  <c r="O17"/>
  <c r="I19"/>
  <c r="P19"/>
  <c r="W8"/>
  <c r="X8" s="1"/>
  <c r="V10"/>
  <c r="R205" i="9"/>
  <c r="H257"/>
  <c r="Q205"/>
  <c r="H247"/>
  <c r="R338"/>
  <c r="I45"/>
  <c r="I236"/>
  <c r="R45"/>
  <c r="H45"/>
  <c r="Q45"/>
  <c r="I247"/>
  <c r="H236"/>
  <c r="Q338"/>
  <c r="I92"/>
  <c r="M339"/>
  <c r="O339"/>
  <c r="P339"/>
  <c r="I135"/>
  <c r="G94"/>
  <c r="F94"/>
  <c r="D94"/>
  <c r="D339"/>
  <c r="F93"/>
  <c r="G93"/>
  <c r="D93"/>
  <c r="R111"/>
  <c r="H92"/>
  <c r="V13" i="16" l="1"/>
  <c r="W13"/>
  <c r="F340" i="9"/>
  <c r="G340"/>
  <c r="I339"/>
  <c r="H339"/>
  <c r="X7" i="16"/>
  <c r="O22"/>
  <c r="E341" i="9"/>
  <c r="N341"/>
  <c r="E96"/>
  <c r="J23" i="16"/>
  <c r="D12"/>
  <c r="K17"/>
  <c r="L17" s="1"/>
  <c r="J22"/>
  <c r="P17"/>
  <c r="J17"/>
  <c r="P18"/>
  <c r="K18"/>
  <c r="L18" s="1"/>
  <c r="D9"/>
  <c r="J19"/>
  <c r="K23"/>
  <c r="L23" s="1"/>
  <c r="C24"/>
  <c r="C20"/>
  <c r="Q17"/>
  <c r="R17" s="1"/>
  <c r="J20"/>
  <c r="E9"/>
  <c r="F9" s="1"/>
  <c r="C22"/>
  <c r="K22"/>
  <c r="L22" s="1"/>
  <c r="K20"/>
  <c r="L20" s="1"/>
  <c r="E12"/>
  <c r="F12" s="1"/>
  <c r="J18"/>
  <c r="Q18"/>
  <c r="R18" s="1"/>
  <c r="Q121" i="9"/>
  <c r="Q339"/>
  <c r="I145"/>
  <c r="H145"/>
  <c r="R339"/>
  <c r="R121"/>
  <c r="H94"/>
  <c r="I94"/>
  <c r="R50"/>
  <c r="R86"/>
  <c r="R63"/>
  <c r="D340"/>
  <c r="G95"/>
  <c r="F95"/>
  <c r="D95"/>
  <c r="M340"/>
  <c r="O340"/>
  <c r="P340"/>
  <c r="I93"/>
  <c r="H93"/>
  <c r="X13" i="16" l="1"/>
  <c r="F341" i="9"/>
  <c r="G341"/>
  <c r="I340"/>
  <c r="H340"/>
  <c r="E342"/>
  <c r="N342"/>
  <c r="E97"/>
  <c r="E24" i="16"/>
  <c r="F24" s="1"/>
  <c r="D20"/>
  <c r="E22"/>
  <c r="F22" s="1"/>
  <c r="C21"/>
  <c r="D22"/>
  <c r="P22"/>
  <c r="I10"/>
  <c r="E20"/>
  <c r="F20" s="1"/>
  <c r="I9"/>
  <c r="D24"/>
  <c r="Q22"/>
  <c r="Q61" i="9"/>
  <c r="Q340"/>
  <c r="R61"/>
  <c r="Q96"/>
  <c r="I95"/>
  <c r="R96"/>
  <c r="R73"/>
  <c r="H95"/>
  <c r="R340"/>
  <c r="D341"/>
  <c r="O341"/>
  <c r="M341"/>
  <c r="P341"/>
  <c r="F96"/>
  <c r="D96"/>
  <c r="G96"/>
  <c r="I118" l="1"/>
  <c r="F342"/>
  <c r="G342"/>
  <c r="I341"/>
  <c r="H341"/>
  <c r="R22" i="16"/>
  <c r="N343" i="9"/>
  <c r="E343"/>
  <c r="E98"/>
  <c r="J9" i="16"/>
  <c r="J10"/>
  <c r="K9"/>
  <c r="L9" s="1"/>
  <c r="D21"/>
  <c r="E21"/>
  <c r="F21" s="1"/>
  <c r="K10"/>
  <c r="L10" s="1"/>
  <c r="H96" i="9"/>
  <c r="I133"/>
  <c r="R341"/>
  <c r="Q341"/>
  <c r="I96"/>
  <c r="R180"/>
  <c r="D342"/>
  <c r="M342"/>
  <c r="O342"/>
  <c r="P342"/>
  <c r="G97"/>
  <c r="F97"/>
  <c r="D97"/>
  <c r="F343" l="1"/>
  <c r="G343"/>
  <c r="I342"/>
  <c r="H342"/>
  <c r="E344"/>
  <c r="N344"/>
  <c r="O26" i="16"/>
  <c r="O27" s="1"/>
  <c r="I62" i="9"/>
  <c r="I97"/>
  <c r="Q342"/>
  <c r="H97"/>
  <c r="R342"/>
  <c r="I50"/>
  <c r="D343"/>
  <c r="O343"/>
  <c r="M343"/>
  <c r="P343"/>
  <c r="F98"/>
  <c r="G98"/>
  <c r="D98"/>
  <c r="I86" s="1"/>
  <c r="R21"/>
  <c r="I21" l="1"/>
  <c r="H62"/>
  <c r="F344"/>
  <c r="G344"/>
  <c r="I343"/>
  <c r="H343"/>
  <c r="C11" i="16"/>
  <c r="N345" i="9"/>
  <c r="E345"/>
  <c r="C17" i="16"/>
  <c r="C19"/>
  <c r="I7"/>
  <c r="I13" s="1"/>
  <c r="P27"/>
  <c r="K7"/>
  <c r="K13" s="1"/>
  <c r="Q26"/>
  <c r="R26" s="1"/>
  <c r="I98" i="9"/>
  <c r="I99" s="1"/>
  <c r="H98"/>
  <c r="Q343"/>
  <c r="R343"/>
  <c r="O344"/>
  <c r="M344"/>
  <c r="P344"/>
  <c r="D344"/>
  <c r="L13" i="16" l="1"/>
  <c r="Q35" i="9"/>
  <c r="R35"/>
  <c r="H35"/>
  <c r="D10" i="16" s="1"/>
  <c r="H99" i="9"/>
  <c r="D17" i="16" s="1"/>
  <c r="F345" i="9"/>
  <c r="G345"/>
  <c r="I344"/>
  <c r="H344"/>
  <c r="L7" i="16"/>
  <c r="N346" i="9"/>
  <c r="E346"/>
  <c r="C10" i="16"/>
  <c r="E17"/>
  <c r="C18"/>
  <c r="J7"/>
  <c r="J13" s="1"/>
  <c r="C8"/>
  <c r="D19"/>
  <c r="Q27"/>
  <c r="R27" s="1"/>
  <c r="C7"/>
  <c r="E19"/>
  <c r="F19" s="1"/>
  <c r="R344" i="9"/>
  <c r="Q344"/>
  <c r="I35"/>
  <c r="M345"/>
  <c r="O345"/>
  <c r="P345"/>
  <c r="D345"/>
  <c r="F17" i="16" l="1"/>
  <c r="F346" i="9"/>
  <c r="G346"/>
  <c r="I345"/>
  <c r="H345"/>
  <c r="E347"/>
  <c r="N347"/>
  <c r="D11" i="16"/>
  <c r="E10"/>
  <c r="F10" s="1"/>
  <c r="E7"/>
  <c r="E18"/>
  <c r="F18" s="1"/>
  <c r="C13"/>
  <c r="D7"/>
  <c r="E11"/>
  <c r="F11" s="1"/>
  <c r="D18"/>
  <c r="D8"/>
  <c r="F8"/>
  <c r="R345" i="9"/>
  <c r="Q345"/>
  <c r="O346"/>
  <c r="P346"/>
  <c r="M346"/>
  <c r="D346"/>
  <c r="F7" i="16" l="1"/>
  <c r="E13"/>
  <c r="D13"/>
  <c r="F347" i="9"/>
  <c r="G347"/>
  <c r="I346"/>
  <c r="H346"/>
  <c r="N348"/>
  <c r="E348"/>
  <c r="R346"/>
  <c r="Q346"/>
  <c r="M347"/>
  <c r="O347"/>
  <c r="P347"/>
  <c r="D347"/>
  <c r="F13" i="16" l="1"/>
  <c r="F348" i="9"/>
  <c r="G348"/>
  <c r="I347"/>
  <c r="H347"/>
  <c r="E349"/>
  <c r="N349"/>
  <c r="R347"/>
  <c r="Q347"/>
  <c r="D348"/>
  <c r="M348"/>
  <c r="O348"/>
  <c r="P348"/>
  <c r="F349" l="1"/>
  <c r="G349"/>
  <c r="I348"/>
  <c r="H348"/>
  <c r="E350"/>
  <c r="N350"/>
  <c r="R348"/>
  <c r="Q348"/>
  <c r="D349"/>
  <c r="O349"/>
  <c r="M349"/>
  <c r="P349"/>
  <c r="F350" l="1"/>
  <c r="G350"/>
  <c r="I349"/>
  <c r="H349"/>
  <c r="E351"/>
  <c r="N351"/>
  <c r="R349"/>
  <c r="Q349"/>
  <c r="P350"/>
  <c r="O350"/>
  <c r="M350"/>
  <c r="D350"/>
  <c r="F351" l="1"/>
  <c r="G351"/>
  <c r="I350"/>
  <c r="H350"/>
  <c r="E352"/>
  <c r="N352"/>
  <c r="Q350"/>
  <c r="R350"/>
  <c r="D351"/>
  <c r="O351"/>
  <c r="P351"/>
  <c r="M351"/>
  <c r="F352" l="1"/>
  <c r="G352"/>
  <c r="I351"/>
  <c r="H351"/>
  <c r="E353"/>
  <c r="N353"/>
  <c r="R351"/>
  <c r="Q351"/>
  <c r="D352"/>
  <c r="P352"/>
  <c r="M352"/>
  <c r="O352"/>
  <c r="F353" l="1"/>
  <c r="G353"/>
  <c r="I352"/>
  <c r="H352"/>
  <c r="N354"/>
  <c r="E354"/>
  <c r="R352"/>
  <c r="Q352"/>
  <c r="O353"/>
  <c r="M353"/>
  <c r="P353"/>
  <c r="D353"/>
  <c r="F354" l="1"/>
  <c r="G354"/>
  <c r="I353"/>
  <c r="H353"/>
  <c r="N355"/>
  <c r="E355"/>
  <c r="R353"/>
  <c r="Q353"/>
  <c r="D354"/>
  <c r="O354"/>
  <c r="P354"/>
  <c r="M354"/>
  <c r="F355" l="1"/>
  <c r="G355"/>
  <c r="I354"/>
  <c r="H354"/>
  <c r="E356"/>
  <c r="N356"/>
  <c r="R354"/>
  <c r="Q354"/>
  <c r="D355"/>
  <c r="M355"/>
  <c r="O355"/>
  <c r="P355"/>
  <c r="F356" l="1"/>
  <c r="G356"/>
  <c r="I355"/>
  <c r="H355"/>
  <c r="E357"/>
  <c r="N357"/>
  <c r="R355"/>
  <c r="Q355"/>
  <c r="D356"/>
  <c r="O356"/>
  <c r="P356"/>
  <c r="M356"/>
  <c r="F357" l="1"/>
  <c r="G357"/>
  <c r="I356"/>
  <c r="H356"/>
  <c r="E358"/>
  <c r="N358"/>
  <c r="R356"/>
  <c r="Q356"/>
  <c r="D357"/>
  <c r="M357"/>
  <c r="O357"/>
  <c r="P357"/>
  <c r="F358" l="1"/>
  <c r="G358"/>
  <c r="I357"/>
  <c r="H357"/>
  <c r="E359"/>
  <c r="N359"/>
  <c r="Q357"/>
  <c r="R357"/>
  <c r="O358"/>
  <c r="P358"/>
  <c r="M358"/>
  <c r="D358"/>
  <c r="F359" l="1"/>
  <c r="G359"/>
  <c r="I358"/>
  <c r="H358"/>
  <c r="E360"/>
  <c r="N360"/>
  <c r="R358"/>
  <c r="Q358"/>
  <c r="P359"/>
  <c r="O359"/>
  <c r="M359"/>
  <c r="D359"/>
  <c r="F360" l="1"/>
  <c r="G360"/>
  <c r="I359"/>
  <c r="H359"/>
  <c r="N361"/>
  <c r="E361"/>
  <c r="Q359"/>
  <c r="R359"/>
  <c r="D360"/>
  <c r="O360"/>
  <c r="P360"/>
  <c r="M360"/>
  <c r="F361" l="1"/>
  <c r="G361"/>
  <c r="I360"/>
  <c r="H360"/>
  <c r="E362"/>
  <c r="N362"/>
  <c r="R360"/>
  <c r="Q360"/>
  <c r="O361"/>
  <c r="P361"/>
  <c r="M361"/>
  <c r="D361"/>
  <c r="F362" l="1"/>
  <c r="G362"/>
  <c r="I361"/>
  <c r="H361"/>
  <c r="E363"/>
  <c r="G363" s="1"/>
  <c r="N363"/>
  <c r="Q361"/>
  <c r="R361"/>
  <c r="D362"/>
  <c r="M362"/>
  <c r="O362"/>
  <c r="P362"/>
  <c r="H362" l="1"/>
  <c r="I362"/>
  <c r="N364"/>
  <c r="E364"/>
  <c r="R362"/>
  <c r="Q362"/>
  <c r="F363"/>
  <c r="D363"/>
  <c r="I363" s="1"/>
  <c r="O363"/>
  <c r="P363"/>
  <c r="M363"/>
  <c r="H363" l="1"/>
  <c r="E365"/>
  <c r="N365"/>
  <c r="Q363"/>
  <c r="R363"/>
  <c r="M364"/>
  <c r="P364"/>
  <c r="O364"/>
  <c r="F364"/>
  <c r="G364"/>
  <c r="D364"/>
  <c r="H364" l="1"/>
  <c r="E366"/>
  <c r="N366"/>
  <c r="R364"/>
  <c r="Q364"/>
  <c r="I364"/>
  <c r="G365"/>
  <c r="F365"/>
  <c r="D365"/>
  <c r="O365"/>
  <c r="M365"/>
  <c r="P365"/>
  <c r="H365" l="1"/>
  <c r="E367"/>
  <c r="N367"/>
  <c r="R365"/>
  <c r="I365"/>
  <c r="Q365"/>
  <c r="G366"/>
  <c r="F366"/>
  <c r="D366"/>
  <c r="M366"/>
  <c r="O366"/>
  <c r="P366"/>
  <c r="H366" l="1"/>
  <c r="E368"/>
  <c r="N368"/>
  <c r="Q366"/>
  <c r="R366"/>
  <c r="I366"/>
  <c r="F367"/>
  <c r="G367"/>
  <c r="D367"/>
  <c r="M367"/>
  <c r="P367"/>
  <c r="O367"/>
  <c r="H367" l="1"/>
  <c r="E369"/>
  <c r="N369"/>
  <c r="Q367"/>
  <c r="R367"/>
  <c r="I367"/>
  <c r="M368"/>
  <c r="O368"/>
  <c r="P368"/>
  <c r="G368"/>
  <c r="F368"/>
  <c r="D368"/>
  <c r="H368" l="1"/>
  <c r="N370"/>
  <c r="E370"/>
  <c r="Q368"/>
  <c r="I368"/>
  <c r="R368"/>
  <c r="F369"/>
  <c r="G369"/>
  <c r="D369"/>
  <c r="O369"/>
  <c r="M369"/>
  <c r="P369"/>
  <c r="H369" l="1"/>
  <c r="N371"/>
  <c r="E371"/>
  <c r="I369"/>
  <c r="R369"/>
  <c r="Q369"/>
  <c r="G370"/>
  <c r="F370"/>
  <c r="D370"/>
  <c r="M370"/>
  <c r="O370"/>
  <c r="P370"/>
  <c r="H370" l="1"/>
  <c r="E372"/>
  <c r="N372"/>
  <c r="R370"/>
  <c r="Q370"/>
  <c r="I370"/>
  <c r="P371"/>
  <c r="O371"/>
  <c r="M371"/>
  <c r="F371"/>
  <c r="G371"/>
  <c r="D371"/>
  <c r="H371" l="1"/>
  <c r="Q371"/>
  <c r="I371"/>
  <c r="R371"/>
  <c r="G372"/>
  <c r="F372"/>
  <c r="D372"/>
  <c r="I331" s="1"/>
  <c r="P372"/>
  <c r="M372"/>
  <c r="R331" s="1"/>
  <c r="O372"/>
  <c r="H372" l="1"/>
  <c r="H373" s="1"/>
  <c r="U25" i="16"/>
  <c r="U24"/>
  <c r="R372" i="9"/>
  <c r="R373" s="1"/>
  <c r="Q372"/>
  <c r="Q373" s="1"/>
  <c r="I372"/>
  <c r="I373" s="1"/>
  <c r="U27" i="16" l="1"/>
  <c r="V25"/>
  <c r="W25"/>
  <c r="X25" s="1"/>
  <c r="W24"/>
  <c r="V24"/>
  <c r="X24" l="1"/>
  <c r="W27"/>
  <c r="V27"/>
  <c r="Z5" s="1"/>
  <c r="M2" l="1"/>
  <c r="E2" i="18" s="1"/>
  <c r="D20"/>
  <c r="Q2" i="16"/>
  <c r="N2" i="9" s="1"/>
  <c r="X27" i="16"/>
  <c r="I2" i="9" l="1"/>
  <c r="R13" i="16" l="1"/>
  <c r="AG33" i="12"/>
  <c r="AG41"/>
  <c r="AG34"/>
  <c r="AG42"/>
  <c r="AG39"/>
  <c r="AG36"/>
  <c r="AS5" i="2"/>
  <c r="AS66" s="1"/>
  <c r="AG40" i="12"/>
  <c r="AG38"/>
  <c r="AG35"/>
  <c r="AG43"/>
  <c r="J9" i="22"/>
  <c r="AG37" i="12"/>
  <c r="E270" i="9"/>
  <c r="E274" l="1"/>
  <c r="G274" s="1"/>
  <c r="C272"/>
  <c r="C273" s="1"/>
  <c r="C274" s="1"/>
  <c r="C275" s="1"/>
  <c r="C276" s="1"/>
  <c r="C277" s="1"/>
  <c r="F274"/>
  <c r="E277"/>
  <c r="AS49" i="2"/>
  <c r="AS50" s="1"/>
  <c r="AS51" s="1"/>
  <c r="AS52" s="1"/>
  <c r="AS53" s="1"/>
  <c r="AS54" s="1"/>
  <c r="AS88"/>
  <c r="AS59"/>
  <c r="AS57"/>
  <c r="AS87"/>
  <c r="AS85"/>
  <c r="AS76"/>
  <c r="AS78"/>
  <c r="AS83"/>
  <c r="AS81"/>
  <c r="AS72"/>
  <c r="AS74"/>
  <c r="AS71"/>
  <c r="AS69"/>
  <c r="AS60"/>
  <c r="AS62"/>
  <c r="AS67"/>
  <c r="AS65"/>
  <c r="E276" i="9"/>
  <c r="E272"/>
  <c r="E273"/>
  <c r="E275"/>
  <c r="AS56" i="2"/>
  <c r="AS58"/>
  <c r="AS84"/>
  <c r="AS86"/>
  <c r="AS79"/>
  <c r="AS77"/>
  <c r="AS80"/>
  <c r="AS82"/>
  <c r="AS75"/>
  <c r="AS73"/>
  <c r="AS68"/>
  <c r="AS70"/>
  <c r="AS55"/>
  <c r="AS63"/>
  <c r="AS61"/>
  <c r="AS64"/>
  <c r="D274" i="9" l="1"/>
  <c r="I274" s="1"/>
  <c r="F275"/>
  <c r="G275"/>
  <c r="D275"/>
  <c r="F273"/>
  <c r="D273"/>
  <c r="G273"/>
  <c r="F277"/>
  <c r="D277"/>
  <c r="G277"/>
  <c r="G272"/>
  <c r="D272"/>
  <c r="F272"/>
  <c r="F276"/>
  <c r="D276"/>
  <c r="G276"/>
  <c r="AS89" i="2"/>
  <c r="H274" i="9" l="1"/>
  <c r="H275"/>
  <c r="I272"/>
  <c r="I275"/>
  <c r="H272"/>
  <c r="H273"/>
  <c r="I273"/>
  <c r="I277"/>
  <c r="I276"/>
  <c r="I270"/>
  <c r="I21" i="16" s="1"/>
  <c r="I27" s="1"/>
  <c r="H277" i="9"/>
  <c r="H276"/>
  <c r="I278" l="1"/>
  <c r="K21" i="16" s="1"/>
  <c r="K27" s="1"/>
  <c r="H278" i="9"/>
  <c r="J21" i="16" s="1"/>
  <c r="J27" s="1"/>
  <c r="Z4" s="1"/>
  <c r="W2" l="1"/>
  <c r="U2" i="9" s="1"/>
  <c r="K2" i="16"/>
  <c r="D2" i="18" s="1"/>
  <c r="C20"/>
  <c r="L21" i="16"/>
  <c r="L27"/>
  <c r="AH7" i="28"/>
  <c r="AH66" l="1"/>
  <c r="AH33"/>
  <c r="AH44"/>
  <c r="AH45"/>
  <c r="AH46"/>
  <c r="AH47"/>
  <c r="AH48"/>
  <c r="AH43"/>
  <c r="AH21"/>
  <c r="AH10"/>
  <c r="AH11"/>
  <c r="AH12"/>
  <c r="AH13"/>
  <c r="AH14"/>
  <c r="AH15"/>
  <c r="AH16"/>
  <c r="AH17"/>
  <c r="AH18"/>
  <c r="AH19"/>
  <c r="AH20"/>
  <c r="AH22"/>
  <c r="AH23"/>
  <c r="AH24"/>
  <c r="AH25"/>
  <c r="AH26"/>
  <c r="AH27"/>
  <c r="AH28"/>
  <c r="AH29"/>
  <c r="AH30"/>
  <c r="AH31"/>
  <c r="AH32"/>
  <c r="AH34"/>
  <c r="AH35"/>
  <c r="AH36"/>
  <c r="AH37"/>
  <c r="AH38"/>
  <c r="AH39"/>
  <c r="AH40"/>
  <c r="AH41"/>
  <c r="AH42"/>
  <c r="AH49"/>
  <c r="AH50"/>
  <c r="AH51"/>
  <c r="AH52"/>
  <c r="AH53"/>
  <c r="AH54"/>
  <c r="AH55"/>
  <c r="AH56"/>
  <c r="AH57"/>
  <c r="AH58"/>
  <c r="AH59"/>
  <c r="AH60"/>
  <c r="AH61"/>
  <c r="AH62"/>
  <c r="AH63"/>
  <c r="AH64"/>
  <c r="AH65"/>
  <c r="AH67"/>
  <c r="AH68"/>
  <c r="AH69"/>
  <c r="AH70"/>
  <c r="AH71"/>
  <c r="AH72"/>
  <c r="AH73"/>
  <c r="AH8"/>
  <c r="AH9"/>
  <c r="F2" i="9"/>
  <c r="AI7" i="28"/>
  <c r="AI33" l="1"/>
  <c r="AI66"/>
  <c r="AH6"/>
  <c r="AI44"/>
  <c r="AI45"/>
  <c r="AI46"/>
  <c r="AI47"/>
  <c r="AI48"/>
  <c r="AI43"/>
  <c r="AI21"/>
  <c r="AI10"/>
  <c r="AI11"/>
  <c r="AI12"/>
  <c r="AI13"/>
  <c r="AI14"/>
  <c r="AI15"/>
  <c r="AI16"/>
  <c r="AI17"/>
  <c r="AI18"/>
  <c r="AI19"/>
  <c r="AI20"/>
  <c r="AI22"/>
  <c r="AI23"/>
  <c r="AI24"/>
  <c r="AI25"/>
  <c r="AI26"/>
  <c r="AI27"/>
  <c r="AI28"/>
  <c r="AI29"/>
  <c r="AI30"/>
  <c r="AI31"/>
  <c r="AI32"/>
  <c r="AI34"/>
  <c r="AI35"/>
  <c r="AI36"/>
  <c r="AI37"/>
  <c r="AI38"/>
  <c r="AI39"/>
  <c r="AI40"/>
  <c r="AI41"/>
  <c r="AI42"/>
  <c r="AI49"/>
  <c r="AI50"/>
  <c r="AI51"/>
  <c r="AI52"/>
  <c r="AI53"/>
  <c r="AI54"/>
  <c r="AI55"/>
  <c r="AI56"/>
  <c r="AI57"/>
  <c r="AI58"/>
  <c r="AI59"/>
  <c r="AI60"/>
  <c r="AI61"/>
  <c r="AI62"/>
  <c r="AI63"/>
  <c r="AI64"/>
  <c r="AI65"/>
  <c r="AI67"/>
  <c r="AI68"/>
  <c r="AI69"/>
  <c r="AI70"/>
  <c r="AI71"/>
  <c r="AI72"/>
  <c r="AI73"/>
  <c r="AI9"/>
  <c r="AI8"/>
  <c r="AJ7"/>
  <c r="AJ66" l="1"/>
  <c r="AJ33"/>
  <c r="AI6"/>
  <c r="AJ44"/>
  <c r="AJ45"/>
  <c r="AJ46"/>
  <c r="AJ47"/>
  <c r="AJ48"/>
  <c r="AJ43"/>
  <c r="AJ21"/>
  <c r="AJ10"/>
  <c r="AJ11"/>
  <c r="AJ12"/>
  <c r="AJ13"/>
  <c r="AJ14"/>
  <c r="AJ15"/>
  <c r="AJ16"/>
  <c r="AJ17"/>
  <c r="AJ18"/>
  <c r="AJ19"/>
  <c r="AJ20"/>
  <c r="AJ22"/>
  <c r="AJ23"/>
  <c r="AJ24"/>
  <c r="AJ25"/>
  <c r="AJ26"/>
  <c r="AJ27"/>
  <c r="AJ28"/>
  <c r="AJ29"/>
  <c r="AJ30"/>
  <c r="AJ31"/>
  <c r="AJ32"/>
  <c r="AJ34"/>
  <c r="AJ35"/>
  <c r="AJ36"/>
  <c r="AJ37"/>
  <c r="AJ38"/>
  <c r="AJ39"/>
  <c r="AJ40"/>
  <c r="AJ41"/>
  <c r="AJ42"/>
  <c r="AJ49"/>
  <c r="AJ50"/>
  <c r="AJ51"/>
  <c r="AJ52"/>
  <c r="AJ53"/>
  <c r="AJ54"/>
  <c r="AJ55"/>
  <c r="AJ56"/>
  <c r="AJ57"/>
  <c r="AJ58"/>
  <c r="AJ59"/>
  <c r="AJ60"/>
  <c r="AJ61"/>
  <c r="AJ62"/>
  <c r="AJ63"/>
  <c r="AJ64"/>
  <c r="AJ65"/>
  <c r="AJ67"/>
  <c r="AJ68"/>
  <c r="AJ69"/>
  <c r="AJ70"/>
  <c r="AJ71"/>
  <c r="AJ72"/>
  <c r="AJ73"/>
  <c r="AJ9"/>
  <c r="AJ8"/>
  <c r="AK7"/>
  <c r="AK33" l="1"/>
  <c r="AK66"/>
  <c r="AJ6"/>
  <c r="AK44"/>
  <c r="AK45"/>
  <c r="AK46"/>
  <c r="AK47"/>
  <c r="AK48"/>
  <c r="AK43"/>
  <c r="AK21"/>
  <c r="AK10"/>
  <c r="AK11"/>
  <c r="AK12"/>
  <c r="AK13"/>
  <c r="AK14"/>
  <c r="AK15"/>
  <c r="AK16"/>
  <c r="AK17"/>
  <c r="AK18"/>
  <c r="AK19"/>
  <c r="AK20"/>
  <c r="AK22"/>
  <c r="AK23"/>
  <c r="AK24"/>
  <c r="AK25"/>
  <c r="AK26"/>
  <c r="AK27"/>
  <c r="AK28"/>
  <c r="AK29"/>
  <c r="AK30"/>
  <c r="AK31"/>
  <c r="AK32"/>
  <c r="AK34"/>
  <c r="AK35"/>
  <c r="AK36"/>
  <c r="AK37"/>
  <c r="AK38"/>
  <c r="AK39"/>
  <c r="AK40"/>
  <c r="AK41"/>
  <c r="AK42"/>
  <c r="AK49"/>
  <c r="AK50"/>
  <c r="AK51"/>
  <c r="AK52"/>
  <c r="AK53"/>
  <c r="AK54"/>
  <c r="AK55"/>
  <c r="AK56"/>
  <c r="AK57"/>
  <c r="AK58"/>
  <c r="AK59"/>
  <c r="AK60"/>
  <c r="AK61"/>
  <c r="AK62"/>
  <c r="AK63"/>
  <c r="AK64"/>
  <c r="AK65"/>
  <c r="AK67"/>
  <c r="AK68"/>
  <c r="AK69"/>
  <c r="AK70"/>
  <c r="AK71"/>
  <c r="AK72"/>
  <c r="AK73"/>
  <c r="AK9"/>
  <c r="AK8"/>
  <c r="AL7"/>
  <c r="AL66" l="1"/>
  <c r="AL33"/>
  <c r="AK6"/>
  <c r="AL44"/>
  <c r="AL45"/>
  <c r="AL46"/>
  <c r="AL47"/>
  <c r="AL48"/>
  <c r="AL43"/>
  <c r="AL21"/>
  <c r="AL10"/>
  <c r="AL11"/>
  <c r="AL12"/>
  <c r="AL13"/>
  <c r="AL14"/>
  <c r="AL15"/>
  <c r="AL16"/>
  <c r="AL17"/>
  <c r="AL18"/>
  <c r="AL19"/>
  <c r="AL20"/>
  <c r="AL22"/>
  <c r="AL23"/>
  <c r="AL24"/>
  <c r="AL25"/>
  <c r="AL26"/>
  <c r="AL27"/>
  <c r="AL28"/>
  <c r="AL29"/>
  <c r="AL30"/>
  <c r="AL31"/>
  <c r="AL32"/>
  <c r="AL34"/>
  <c r="AL35"/>
  <c r="AL36"/>
  <c r="AL37"/>
  <c r="AL38"/>
  <c r="AL39"/>
  <c r="AL40"/>
  <c r="AL41"/>
  <c r="AL42"/>
  <c r="AL49"/>
  <c r="AL50"/>
  <c r="AL51"/>
  <c r="AL52"/>
  <c r="AL53"/>
  <c r="AL54"/>
  <c r="AL55"/>
  <c r="AL56"/>
  <c r="AL57"/>
  <c r="AL58"/>
  <c r="AL59"/>
  <c r="AL60"/>
  <c r="AL61"/>
  <c r="AL62"/>
  <c r="AL63"/>
  <c r="AL64"/>
  <c r="AL65"/>
  <c r="AL67"/>
  <c r="AL68"/>
  <c r="AL69"/>
  <c r="AL70"/>
  <c r="AL71"/>
  <c r="AL72"/>
  <c r="AL73"/>
  <c r="AL8"/>
  <c r="AL9"/>
  <c r="AM7"/>
  <c r="AM33" l="1"/>
  <c r="AM66"/>
  <c r="AL6"/>
  <c r="AM44"/>
  <c r="AM45"/>
  <c r="AM46"/>
  <c r="AM47"/>
  <c r="AM48"/>
  <c r="AM43"/>
  <c r="AM21"/>
  <c r="AM10"/>
  <c r="AM11"/>
  <c r="AM12"/>
  <c r="AM13"/>
  <c r="AM14"/>
  <c r="AM15"/>
  <c r="AM16"/>
  <c r="AM17"/>
  <c r="AM18"/>
  <c r="AM19"/>
  <c r="AM20"/>
  <c r="AM22"/>
  <c r="AM23"/>
  <c r="AM24"/>
  <c r="AM25"/>
  <c r="AM26"/>
  <c r="AM27"/>
  <c r="AM28"/>
  <c r="AM29"/>
  <c r="AM30"/>
  <c r="AM31"/>
  <c r="AM32"/>
  <c r="AM34"/>
  <c r="AM35"/>
  <c r="AM36"/>
  <c r="AM37"/>
  <c r="AM38"/>
  <c r="AM39"/>
  <c r="AM40"/>
  <c r="AM41"/>
  <c r="AM42"/>
  <c r="AM49"/>
  <c r="AM50"/>
  <c r="AM51"/>
  <c r="AM52"/>
  <c r="AM53"/>
  <c r="AM54"/>
  <c r="AM55"/>
  <c r="AM56"/>
  <c r="AM57"/>
  <c r="AM58"/>
  <c r="AM59"/>
  <c r="AM60"/>
  <c r="AM61"/>
  <c r="AM62"/>
  <c r="AM8"/>
  <c r="AM63"/>
  <c r="AM64"/>
  <c r="AM65"/>
  <c r="AM67"/>
  <c r="AM68"/>
  <c r="AM69"/>
  <c r="AM70"/>
  <c r="AM71"/>
  <c r="AM72"/>
  <c r="AM73"/>
  <c r="AM9"/>
  <c r="AN7"/>
  <c r="AN66" l="1"/>
  <c r="AN33"/>
  <c r="AM6"/>
  <c r="AN44"/>
  <c r="AN45"/>
  <c r="AN46"/>
  <c r="AN47"/>
  <c r="AN48"/>
  <c r="AN43"/>
  <c r="AN21"/>
  <c r="AN10"/>
  <c r="AN11"/>
  <c r="AN12"/>
  <c r="AN13"/>
  <c r="AN14"/>
  <c r="AN15"/>
  <c r="AN16"/>
  <c r="AN17"/>
  <c r="AN18"/>
  <c r="AN19"/>
  <c r="AN20"/>
  <c r="AN22"/>
  <c r="AN23"/>
  <c r="AN24"/>
  <c r="AN25"/>
  <c r="AN26"/>
  <c r="AN27"/>
  <c r="AN28"/>
  <c r="AN29"/>
  <c r="AN30"/>
  <c r="AN31"/>
  <c r="AN32"/>
  <c r="AN34"/>
  <c r="AN35"/>
  <c r="AN36"/>
  <c r="AN37"/>
  <c r="AN38"/>
  <c r="AN39"/>
  <c r="AN40"/>
  <c r="AN41"/>
  <c r="AN42"/>
  <c r="AN49"/>
  <c r="AN50"/>
  <c r="AN51"/>
  <c r="AN52"/>
  <c r="AN53"/>
  <c r="AN54"/>
  <c r="AN55"/>
  <c r="AN56"/>
  <c r="AN57"/>
  <c r="AN58"/>
  <c r="AN59"/>
  <c r="AN60"/>
  <c r="AN61"/>
  <c r="AN62"/>
  <c r="AN63"/>
  <c r="AN64"/>
  <c r="AN65"/>
  <c r="AN67"/>
  <c r="AN68"/>
  <c r="AN69"/>
  <c r="AN70"/>
  <c r="AN71"/>
  <c r="AN72"/>
  <c r="AN73"/>
  <c r="AN9"/>
  <c r="AN8"/>
  <c r="AO7"/>
  <c r="AO33" l="1"/>
  <c r="AO66"/>
  <c r="AN6"/>
  <c r="AO44"/>
  <c r="AO45"/>
  <c r="AO46"/>
  <c r="AO47"/>
  <c r="AO48"/>
  <c r="AO43"/>
  <c r="AO21"/>
  <c r="AO10"/>
  <c r="AO11"/>
  <c r="AO12"/>
  <c r="AO13"/>
  <c r="AO14"/>
  <c r="AO15"/>
  <c r="AO16"/>
  <c r="AO17"/>
  <c r="AO18"/>
  <c r="AO19"/>
  <c r="AO20"/>
  <c r="AO22"/>
  <c r="AO23"/>
  <c r="AO24"/>
  <c r="AO25"/>
  <c r="AO26"/>
  <c r="AO27"/>
  <c r="AO28"/>
  <c r="AO29"/>
  <c r="AO30"/>
  <c r="AO31"/>
  <c r="AO32"/>
  <c r="AO34"/>
  <c r="AO35"/>
  <c r="AO36"/>
  <c r="AO37"/>
  <c r="AO38"/>
  <c r="AO39"/>
  <c r="AO40"/>
  <c r="AO41"/>
  <c r="AO42"/>
  <c r="AO49"/>
  <c r="AO50"/>
  <c r="AO51"/>
  <c r="AO52"/>
  <c r="AO53"/>
  <c r="AO54"/>
  <c r="AO55"/>
  <c r="AO56"/>
  <c r="AO57"/>
  <c r="AO58"/>
  <c r="AO59"/>
  <c r="AO60"/>
  <c r="AO61"/>
  <c r="AO62"/>
  <c r="AO63"/>
  <c r="AO64"/>
  <c r="AO65"/>
  <c r="AO67"/>
  <c r="AO68"/>
  <c r="AO69"/>
  <c r="AO70"/>
  <c r="AO71"/>
  <c r="AO72"/>
  <c r="AO73"/>
  <c r="AO9"/>
  <c r="AO8"/>
  <c r="AP7"/>
  <c r="AP66" l="1"/>
  <c r="AP33"/>
  <c r="AO6"/>
  <c r="AP44"/>
  <c r="AP45"/>
  <c r="AP46"/>
  <c r="AP47"/>
  <c r="AP48"/>
  <c r="AP43"/>
  <c r="AP21"/>
  <c r="AP10"/>
  <c r="AP11"/>
  <c r="AP12"/>
  <c r="AP13"/>
  <c r="AP14"/>
  <c r="AP15"/>
  <c r="AP16"/>
  <c r="AP17"/>
  <c r="AP18"/>
  <c r="AP19"/>
  <c r="AP20"/>
  <c r="AP22"/>
  <c r="AP23"/>
  <c r="AP24"/>
  <c r="AP25"/>
  <c r="AP26"/>
  <c r="AP27"/>
  <c r="AP28"/>
  <c r="AP29"/>
  <c r="AP30"/>
  <c r="AP31"/>
  <c r="AP32"/>
  <c r="AP34"/>
  <c r="AP35"/>
  <c r="AP36"/>
  <c r="AP37"/>
  <c r="AP38"/>
  <c r="AP39"/>
  <c r="AP40"/>
  <c r="AP41"/>
  <c r="AP42"/>
  <c r="AP49"/>
  <c r="AP50"/>
  <c r="AP51"/>
  <c r="AP52"/>
  <c r="AP53"/>
  <c r="AP54"/>
  <c r="AP55"/>
  <c r="AP56"/>
  <c r="AP57"/>
  <c r="AP58"/>
  <c r="AP59"/>
  <c r="AP60"/>
  <c r="AP61"/>
  <c r="AP62"/>
  <c r="AP63"/>
  <c r="AP64"/>
  <c r="AP65"/>
  <c r="AP67"/>
  <c r="AP68"/>
  <c r="AP69"/>
  <c r="AP70"/>
  <c r="AP71"/>
  <c r="AP72"/>
  <c r="AP73"/>
  <c r="AP8"/>
  <c r="AP9"/>
  <c r="AQ7"/>
  <c r="AQ33" l="1"/>
  <c r="AQ66"/>
  <c r="AP6"/>
  <c r="AQ44"/>
  <c r="AQ45"/>
  <c r="AQ46"/>
  <c r="AQ47"/>
  <c r="AQ48"/>
  <c r="AQ43"/>
  <c r="AQ21"/>
  <c r="AQ10"/>
  <c r="AQ11"/>
  <c r="AQ12"/>
  <c r="AQ13"/>
  <c r="AQ14"/>
  <c r="AQ15"/>
  <c r="AQ16"/>
  <c r="AQ17"/>
  <c r="AQ18"/>
  <c r="AQ19"/>
  <c r="AQ20"/>
  <c r="AQ22"/>
  <c r="AQ23"/>
  <c r="AQ24"/>
  <c r="AQ25"/>
  <c r="AQ26"/>
  <c r="AQ27"/>
  <c r="AQ28"/>
  <c r="AQ29"/>
  <c r="AQ30"/>
  <c r="AQ31"/>
  <c r="AQ32"/>
  <c r="AQ34"/>
  <c r="AQ35"/>
  <c r="AQ36"/>
  <c r="AQ37"/>
  <c r="AQ38"/>
  <c r="AQ39"/>
  <c r="AQ40"/>
  <c r="AQ41"/>
  <c r="AQ42"/>
  <c r="AQ49"/>
  <c r="AQ50"/>
  <c r="AQ51"/>
  <c r="AQ52"/>
  <c r="AQ53"/>
  <c r="AQ54"/>
  <c r="AQ55"/>
  <c r="AQ56"/>
  <c r="AQ57"/>
  <c r="AQ58"/>
  <c r="AQ59"/>
  <c r="AQ60"/>
  <c r="AQ61"/>
  <c r="AQ62"/>
  <c r="AQ8"/>
  <c r="AQ63"/>
  <c r="AQ64"/>
  <c r="AQ65"/>
  <c r="AQ67"/>
  <c r="AQ68"/>
  <c r="AQ69"/>
  <c r="AQ70"/>
  <c r="AQ71"/>
  <c r="AQ72"/>
  <c r="AQ73"/>
  <c r="AQ9"/>
  <c r="AR7"/>
  <c r="AR66" l="1"/>
  <c r="AR33"/>
  <c r="AQ6"/>
  <c r="AR44"/>
  <c r="AR45"/>
  <c r="AR46"/>
  <c r="AR47"/>
  <c r="AR48"/>
  <c r="AR43"/>
  <c r="AR21"/>
  <c r="AR10"/>
  <c r="AR11"/>
  <c r="AR12"/>
  <c r="AR13"/>
  <c r="AR14"/>
  <c r="AR15"/>
  <c r="AR16"/>
  <c r="AR17"/>
  <c r="AR18"/>
  <c r="AR19"/>
  <c r="AR20"/>
  <c r="AR22"/>
  <c r="AR23"/>
  <c r="AR24"/>
  <c r="AR25"/>
  <c r="AR26"/>
  <c r="AR27"/>
  <c r="AR28"/>
  <c r="AR29"/>
  <c r="AR30"/>
  <c r="AR31"/>
  <c r="AR32"/>
  <c r="AR34"/>
  <c r="AR35"/>
  <c r="AR36"/>
  <c r="AR37"/>
  <c r="AR38"/>
  <c r="AR39"/>
  <c r="AR40"/>
  <c r="AR41"/>
  <c r="AR42"/>
  <c r="AR49"/>
  <c r="AR50"/>
  <c r="AR51"/>
  <c r="AR52"/>
  <c r="AR53"/>
  <c r="AR54"/>
  <c r="AR55"/>
  <c r="AR56"/>
  <c r="AR57"/>
  <c r="AR58"/>
  <c r="AR59"/>
  <c r="AR60"/>
  <c r="AR61"/>
  <c r="AR62"/>
  <c r="AR63"/>
  <c r="AR64"/>
  <c r="AR65"/>
  <c r="AR67"/>
  <c r="AR68"/>
  <c r="AR69"/>
  <c r="AR70"/>
  <c r="AR71"/>
  <c r="AR72"/>
  <c r="AR73"/>
  <c r="AR9"/>
  <c r="AR8"/>
  <c r="AS7"/>
  <c r="AS33" l="1"/>
  <c r="AS66"/>
  <c r="AR6"/>
  <c r="AS44"/>
  <c r="AS45"/>
  <c r="AS46"/>
  <c r="AS47"/>
  <c r="AS48"/>
  <c r="AS43"/>
  <c r="AS21"/>
  <c r="AS10"/>
  <c r="AS11"/>
  <c r="AS12"/>
  <c r="AS13"/>
  <c r="AS14"/>
  <c r="AS15"/>
  <c r="AS16"/>
  <c r="AS17"/>
  <c r="AS18"/>
  <c r="AS19"/>
  <c r="AS20"/>
  <c r="AS22"/>
  <c r="AS23"/>
  <c r="AS24"/>
  <c r="AS25"/>
  <c r="AS26"/>
  <c r="AS27"/>
  <c r="AS28"/>
  <c r="AS29"/>
  <c r="AS30"/>
  <c r="AS31"/>
  <c r="AS32"/>
  <c r="AS34"/>
  <c r="AS35"/>
  <c r="AS36"/>
  <c r="AS37"/>
  <c r="AS38"/>
  <c r="AS39"/>
  <c r="AS40"/>
  <c r="AS41"/>
  <c r="AS42"/>
  <c r="AS49"/>
  <c r="AS50"/>
  <c r="AS51"/>
  <c r="AS52"/>
  <c r="AS53"/>
  <c r="AS54"/>
  <c r="AS55"/>
  <c r="AS56"/>
  <c r="AS57"/>
  <c r="AS58"/>
  <c r="AS59"/>
  <c r="AS60"/>
  <c r="AS61"/>
  <c r="AS62"/>
  <c r="AS63"/>
  <c r="AS64"/>
  <c r="AS65"/>
  <c r="AS67"/>
  <c r="AS68"/>
  <c r="AS69"/>
  <c r="AS70"/>
  <c r="AS71"/>
  <c r="AS72"/>
  <c r="AS73"/>
  <c r="AS9"/>
  <c r="AS8"/>
  <c r="AT7"/>
  <c r="AT66" l="1"/>
  <c r="AT33"/>
  <c r="AS6"/>
  <c r="AT44"/>
  <c r="AT45"/>
  <c r="AT46"/>
  <c r="AT47"/>
  <c r="AT48"/>
  <c r="AT43"/>
  <c r="AT21"/>
  <c r="AT10"/>
  <c r="AT11"/>
  <c r="AT12"/>
  <c r="AT13"/>
  <c r="AT14"/>
  <c r="AT15"/>
  <c r="AT16"/>
  <c r="AT17"/>
  <c r="AT18"/>
  <c r="AT19"/>
  <c r="AT20"/>
  <c r="AT22"/>
  <c r="AT23"/>
  <c r="AT24"/>
  <c r="AT25"/>
  <c r="AT26"/>
  <c r="AT27"/>
  <c r="AT28"/>
  <c r="AT29"/>
  <c r="AT30"/>
  <c r="AT31"/>
  <c r="AT32"/>
  <c r="AT34"/>
  <c r="AT35"/>
  <c r="AT36"/>
  <c r="AT37"/>
  <c r="AT38"/>
  <c r="AT39"/>
  <c r="AT40"/>
  <c r="AT41"/>
  <c r="AT42"/>
  <c r="AT49"/>
  <c r="AT50"/>
  <c r="AT51"/>
  <c r="AT52"/>
  <c r="AT53"/>
  <c r="AT54"/>
  <c r="AT55"/>
  <c r="AT56"/>
  <c r="AT57"/>
  <c r="AT58"/>
  <c r="AT59"/>
  <c r="AT60"/>
  <c r="AT61"/>
  <c r="AT62"/>
  <c r="AT63"/>
  <c r="AT64"/>
  <c r="AT65"/>
  <c r="AT67"/>
  <c r="AT68"/>
  <c r="AT69"/>
  <c r="AT70"/>
  <c r="AT71"/>
  <c r="AT72"/>
  <c r="AT73"/>
  <c r="AT8"/>
  <c r="AT9"/>
  <c r="AU7"/>
  <c r="AU33" l="1"/>
  <c r="AU66"/>
  <c r="AT6"/>
  <c r="AU44"/>
  <c r="AU45"/>
  <c r="AU46"/>
  <c r="AU47"/>
  <c r="AU48"/>
  <c r="AU43"/>
  <c r="AU21"/>
  <c r="AU10"/>
  <c r="AU11"/>
  <c r="AU12"/>
  <c r="AU13"/>
  <c r="AU14"/>
  <c r="AU15"/>
  <c r="AU16"/>
  <c r="AU17"/>
  <c r="AU18"/>
  <c r="AU19"/>
  <c r="AU20"/>
  <c r="AU22"/>
  <c r="AU23"/>
  <c r="AU24"/>
  <c r="AU25"/>
  <c r="AU26"/>
  <c r="AU27"/>
  <c r="AU28"/>
  <c r="AU29"/>
  <c r="AU30"/>
  <c r="AU31"/>
  <c r="AU32"/>
  <c r="AU34"/>
  <c r="AU35"/>
  <c r="AU36"/>
  <c r="AU37"/>
  <c r="AU38"/>
  <c r="AU39"/>
  <c r="AU40"/>
  <c r="AU41"/>
  <c r="AU42"/>
  <c r="AU49"/>
  <c r="AU50"/>
  <c r="AU51"/>
  <c r="AU52"/>
  <c r="AU53"/>
  <c r="AU54"/>
  <c r="AU55"/>
  <c r="AU56"/>
  <c r="AU57"/>
  <c r="AU58"/>
  <c r="AU59"/>
  <c r="AU60"/>
  <c r="AU61"/>
  <c r="AU8"/>
  <c r="AU62"/>
  <c r="AU63"/>
  <c r="AU64"/>
  <c r="AU65"/>
  <c r="AU67"/>
  <c r="AU68"/>
  <c r="AU69"/>
  <c r="AU70"/>
  <c r="AU71"/>
  <c r="AU72"/>
  <c r="AU73"/>
  <c r="AU9"/>
  <c r="AV7"/>
  <c r="AV66" l="1"/>
  <c r="AV33"/>
  <c r="AU6"/>
  <c r="AV44"/>
  <c r="AV45"/>
  <c r="AV46"/>
  <c r="AV47"/>
  <c r="AV48"/>
  <c r="AV43"/>
  <c r="AV21"/>
  <c r="AV10"/>
  <c r="AV11"/>
  <c r="AV12"/>
  <c r="AV13"/>
  <c r="AV14"/>
  <c r="AV15"/>
  <c r="AV16"/>
  <c r="AV17"/>
  <c r="AV18"/>
  <c r="AV19"/>
  <c r="AV20"/>
  <c r="AV22"/>
  <c r="AV23"/>
  <c r="AV24"/>
  <c r="AV25"/>
  <c r="AV26"/>
  <c r="AV27"/>
  <c r="AV28"/>
  <c r="AV29"/>
  <c r="AV30"/>
  <c r="AV31"/>
  <c r="AV32"/>
  <c r="AV34"/>
  <c r="AV35"/>
  <c r="AV36"/>
  <c r="AV37"/>
  <c r="AV38"/>
  <c r="AV39"/>
  <c r="AV40"/>
  <c r="AV41"/>
  <c r="AV42"/>
  <c r="AV49"/>
  <c r="AV50"/>
  <c r="AV51"/>
  <c r="AV52"/>
  <c r="AV53"/>
  <c r="AV54"/>
  <c r="AV55"/>
  <c r="AV56"/>
  <c r="AV57"/>
  <c r="AV58"/>
  <c r="AV59"/>
  <c r="AV60"/>
  <c r="AV61"/>
  <c r="AV62"/>
  <c r="AV63"/>
  <c r="AV64"/>
  <c r="AV65"/>
  <c r="AV67"/>
  <c r="AV68"/>
  <c r="AV69"/>
  <c r="AV70"/>
  <c r="AV71"/>
  <c r="AV72"/>
  <c r="AV73"/>
  <c r="AV9"/>
  <c r="AV8"/>
  <c r="AW7"/>
  <c r="AW33" l="1"/>
  <c r="AW66"/>
  <c r="AV6"/>
  <c r="AW44"/>
  <c r="AW45"/>
  <c r="AW46"/>
  <c r="AW47"/>
  <c r="AW48"/>
  <c r="AW43"/>
  <c r="AW21"/>
  <c r="AW10"/>
  <c r="AW11"/>
  <c r="AW12"/>
  <c r="AW13"/>
  <c r="AW14"/>
  <c r="AW15"/>
  <c r="AW16"/>
  <c r="AW17"/>
  <c r="AW18"/>
  <c r="AW19"/>
  <c r="AW20"/>
  <c r="AW22"/>
  <c r="AW23"/>
  <c r="AW24"/>
  <c r="AW25"/>
  <c r="AW26"/>
  <c r="AW27"/>
  <c r="AW28"/>
  <c r="AW29"/>
  <c r="AW30"/>
  <c r="AW31"/>
  <c r="AW32"/>
  <c r="AW34"/>
  <c r="AW35"/>
  <c r="AW36"/>
  <c r="AW37"/>
  <c r="AW38"/>
  <c r="AW39"/>
  <c r="AW40"/>
  <c r="AW41"/>
  <c r="AW42"/>
  <c r="AW49"/>
  <c r="AW50"/>
  <c r="AW51"/>
  <c r="AW52"/>
  <c r="AW53"/>
  <c r="AW54"/>
  <c r="AW55"/>
  <c r="AW56"/>
  <c r="AW57"/>
  <c r="AW58"/>
  <c r="AW59"/>
  <c r="AW60"/>
  <c r="AW61"/>
  <c r="AW62"/>
  <c r="AW63"/>
  <c r="AW64"/>
  <c r="AW65"/>
  <c r="AW67"/>
  <c r="AW68"/>
  <c r="AW69"/>
  <c r="AW70"/>
  <c r="AW71"/>
  <c r="AW72"/>
  <c r="AW73"/>
  <c r="AW9"/>
  <c r="AW8"/>
  <c r="AX7"/>
  <c r="AX66" l="1"/>
  <c r="AX33"/>
  <c r="AW6"/>
  <c r="AX44"/>
  <c r="AX45"/>
  <c r="AX46"/>
  <c r="AX47"/>
  <c r="AX48"/>
  <c r="AX43"/>
  <c r="AX21"/>
  <c r="AX10"/>
  <c r="AX11"/>
  <c r="AX12"/>
  <c r="AX13"/>
  <c r="AX14"/>
  <c r="AX15"/>
  <c r="AX16"/>
  <c r="AX17"/>
  <c r="AX18"/>
  <c r="AX19"/>
  <c r="AX20"/>
  <c r="AX22"/>
  <c r="AX23"/>
  <c r="AX24"/>
  <c r="AX25"/>
  <c r="AX26"/>
  <c r="AX27"/>
  <c r="AX28"/>
  <c r="AX29"/>
  <c r="AX30"/>
  <c r="AX31"/>
  <c r="AX32"/>
  <c r="AX34"/>
  <c r="AX35"/>
  <c r="AX36"/>
  <c r="AX37"/>
  <c r="AX38"/>
  <c r="AX39"/>
  <c r="AX40"/>
  <c r="AX41"/>
  <c r="AX42"/>
  <c r="AX49"/>
  <c r="AX50"/>
  <c r="AX51"/>
  <c r="AX52"/>
  <c r="AX53"/>
  <c r="AX54"/>
  <c r="AX55"/>
  <c r="AX56"/>
  <c r="AX57"/>
  <c r="AX58"/>
  <c r="AX59"/>
  <c r="AX60"/>
  <c r="AX61"/>
  <c r="AX62"/>
  <c r="AX63"/>
  <c r="AX64"/>
  <c r="AX65"/>
  <c r="AX67"/>
  <c r="AX68"/>
  <c r="AX69"/>
  <c r="AX70"/>
  <c r="AX71"/>
  <c r="AX72"/>
  <c r="AX73"/>
  <c r="AX8"/>
  <c r="AX9"/>
  <c r="AY7"/>
  <c r="AY33" l="1"/>
  <c r="AY66"/>
  <c r="AX6"/>
  <c r="AY44"/>
  <c r="AY45"/>
  <c r="AY46"/>
  <c r="AY47"/>
  <c r="AY48"/>
  <c r="AY43"/>
  <c r="AY21"/>
  <c r="AY10"/>
  <c r="AY11"/>
  <c r="AY12"/>
  <c r="AY13"/>
  <c r="AY14"/>
  <c r="AY15"/>
  <c r="AY16"/>
  <c r="AY17"/>
  <c r="AY18"/>
  <c r="AY19"/>
  <c r="AY20"/>
  <c r="AY22"/>
  <c r="AY23"/>
  <c r="AY24"/>
  <c r="AY25"/>
  <c r="AY26"/>
  <c r="AY27"/>
  <c r="AY28"/>
  <c r="AY29"/>
  <c r="AY30"/>
  <c r="AY31"/>
  <c r="AY32"/>
  <c r="AY34"/>
  <c r="AY35"/>
  <c r="AY36"/>
  <c r="AY37"/>
  <c r="AY38"/>
  <c r="AY39"/>
  <c r="AY40"/>
  <c r="AY41"/>
  <c r="AY42"/>
  <c r="AY49"/>
  <c r="AY50"/>
  <c r="AY51"/>
  <c r="AY52"/>
  <c r="AY53"/>
  <c r="AY54"/>
  <c r="AY55"/>
  <c r="AY56"/>
  <c r="AY57"/>
  <c r="AY58"/>
  <c r="AY59"/>
  <c r="AY60"/>
  <c r="AY61"/>
  <c r="AY62"/>
  <c r="AY63"/>
  <c r="AY64"/>
  <c r="AY65"/>
  <c r="AY67"/>
  <c r="AY68"/>
  <c r="AY69"/>
  <c r="AY70"/>
  <c r="AY71"/>
  <c r="AY72"/>
  <c r="AY73"/>
  <c r="AY9"/>
  <c r="AY8"/>
  <c r="AZ7"/>
  <c r="AZ66" l="1"/>
  <c r="AZ33"/>
  <c r="AY6"/>
  <c r="AZ44"/>
  <c r="AZ45"/>
  <c r="AZ46"/>
  <c r="AZ47"/>
  <c r="AZ48"/>
  <c r="AZ43"/>
  <c r="AZ21"/>
  <c r="AZ10"/>
  <c r="AZ11"/>
  <c r="AZ12"/>
  <c r="AZ13"/>
  <c r="AZ14"/>
  <c r="AZ15"/>
  <c r="AZ16"/>
  <c r="AZ17"/>
  <c r="AZ18"/>
  <c r="AZ19"/>
  <c r="AZ20"/>
  <c r="AZ22"/>
  <c r="AZ23"/>
  <c r="AZ24"/>
  <c r="AZ25"/>
  <c r="AZ26"/>
  <c r="AZ27"/>
  <c r="AZ28"/>
  <c r="AZ29"/>
  <c r="AZ30"/>
  <c r="AZ31"/>
  <c r="AZ32"/>
  <c r="AZ34"/>
  <c r="AZ35"/>
  <c r="AZ36"/>
  <c r="AZ37"/>
  <c r="AZ38"/>
  <c r="AZ39"/>
  <c r="AZ40"/>
  <c r="AZ41"/>
  <c r="AZ42"/>
  <c r="AZ49"/>
  <c r="AZ50"/>
  <c r="AZ51"/>
  <c r="AZ52"/>
  <c r="AZ53"/>
  <c r="AZ54"/>
  <c r="AZ55"/>
  <c r="AZ56"/>
  <c r="AZ57"/>
  <c r="AZ58"/>
  <c r="AZ59"/>
  <c r="AZ60"/>
  <c r="AZ61"/>
  <c r="AZ62"/>
  <c r="AZ63"/>
  <c r="AZ64"/>
  <c r="AZ65"/>
  <c r="AZ67"/>
  <c r="AZ68"/>
  <c r="AZ69"/>
  <c r="AZ70"/>
  <c r="AZ71"/>
  <c r="AZ72"/>
  <c r="AZ73"/>
  <c r="AZ9"/>
  <c r="AZ8"/>
  <c r="BA7"/>
  <c r="BA33" l="1"/>
  <c r="BA66"/>
  <c r="AZ6"/>
  <c r="BA44"/>
  <c r="BA45"/>
  <c r="BA46"/>
  <c r="BA47"/>
  <c r="BA48"/>
  <c r="BA43"/>
  <c r="BA21"/>
  <c r="BA10"/>
  <c r="BA11"/>
  <c r="BA12"/>
  <c r="BA13"/>
  <c r="BA14"/>
  <c r="BA15"/>
  <c r="BA16"/>
  <c r="BA17"/>
  <c r="BA18"/>
  <c r="BA19"/>
  <c r="BA20"/>
  <c r="BA22"/>
  <c r="BA23"/>
  <c r="BA24"/>
  <c r="BA25"/>
  <c r="BA26"/>
  <c r="BA27"/>
  <c r="BA28"/>
  <c r="BA29"/>
  <c r="BA30"/>
  <c r="BA31"/>
  <c r="BA32"/>
  <c r="BA34"/>
  <c r="BA35"/>
  <c r="BA36"/>
  <c r="BA37"/>
  <c r="BA38"/>
  <c r="BA39"/>
  <c r="BA40"/>
  <c r="BA41"/>
  <c r="BA42"/>
  <c r="BA49"/>
  <c r="BA50"/>
  <c r="BA51"/>
  <c r="BA52"/>
  <c r="BA53"/>
  <c r="BA54"/>
  <c r="BA55"/>
  <c r="BA56"/>
  <c r="BA57"/>
  <c r="BA58"/>
  <c r="BA59"/>
  <c r="BA60"/>
  <c r="BA61"/>
  <c r="BA62"/>
  <c r="BA63"/>
  <c r="BA64"/>
  <c r="BA8"/>
  <c r="BA65"/>
  <c r="BA67"/>
  <c r="BA68"/>
  <c r="BA69"/>
  <c r="BA70"/>
  <c r="BA71"/>
  <c r="BA72"/>
  <c r="BA73"/>
  <c r="BA9"/>
  <c r="BB7"/>
  <c r="BB66" l="1"/>
  <c r="BB33"/>
  <c r="BA6"/>
  <c r="BB44"/>
  <c r="BB45"/>
  <c r="BB46"/>
  <c r="BB47"/>
  <c r="BB48"/>
  <c r="BB43"/>
  <c r="BB21"/>
  <c r="BB10"/>
  <c r="BB11"/>
  <c r="BB12"/>
  <c r="BB13"/>
  <c r="BB14"/>
  <c r="BB15"/>
  <c r="BB16"/>
  <c r="BB17"/>
  <c r="BB18"/>
  <c r="BB19"/>
  <c r="BB20"/>
  <c r="BB22"/>
  <c r="BB23"/>
  <c r="BB24"/>
  <c r="BB25"/>
  <c r="BB26"/>
  <c r="BB27"/>
  <c r="BB28"/>
  <c r="BB29"/>
  <c r="BB30"/>
  <c r="BB31"/>
  <c r="BB32"/>
  <c r="BB34"/>
  <c r="BB35"/>
  <c r="BB36"/>
  <c r="BB37"/>
  <c r="BB38"/>
  <c r="BB39"/>
  <c r="BB40"/>
  <c r="BB41"/>
  <c r="BB42"/>
  <c r="BB49"/>
  <c r="BB50"/>
  <c r="BB51"/>
  <c r="BB52"/>
  <c r="BB53"/>
  <c r="BB54"/>
  <c r="BB55"/>
  <c r="BB56"/>
  <c r="BB57"/>
  <c r="BB58"/>
  <c r="BB59"/>
  <c r="BB60"/>
  <c r="BB61"/>
  <c r="BB62"/>
  <c r="BB63"/>
  <c r="BB64"/>
  <c r="BB65"/>
  <c r="BB67"/>
  <c r="BB68"/>
  <c r="BB69"/>
  <c r="BB70"/>
  <c r="BB71"/>
  <c r="BB72"/>
  <c r="BB73"/>
  <c r="BB8"/>
  <c r="BB9"/>
  <c r="BC7"/>
  <c r="BC33" l="1"/>
  <c r="BC66"/>
  <c r="BB6"/>
  <c r="BC44"/>
  <c r="BC45"/>
  <c r="BC46"/>
  <c r="BC47"/>
  <c r="BC48"/>
  <c r="BC43"/>
  <c r="BC21"/>
  <c r="BC10"/>
  <c r="BC11"/>
  <c r="BC12"/>
  <c r="BC13"/>
  <c r="BC14"/>
  <c r="BC15"/>
  <c r="BC16"/>
  <c r="BC17"/>
  <c r="BC18"/>
  <c r="BC19"/>
  <c r="BC20"/>
  <c r="BC22"/>
  <c r="BC23"/>
  <c r="BC24"/>
  <c r="BC25"/>
  <c r="BC26"/>
  <c r="BC27"/>
  <c r="BC28"/>
  <c r="BC29"/>
  <c r="BC30"/>
  <c r="BC31"/>
  <c r="BC32"/>
  <c r="BC34"/>
  <c r="BC35"/>
  <c r="BC36"/>
  <c r="BC37"/>
  <c r="BC38"/>
  <c r="BC39"/>
  <c r="BC40"/>
  <c r="BC41"/>
  <c r="BC42"/>
  <c r="BC49"/>
  <c r="BC50"/>
  <c r="BC51"/>
  <c r="BC52"/>
  <c r="BC53"/>
  <c r="BC54"/>
  <c r="BC55"/>
  <c r="BC56"/>
  <c r="BC57"/>
  <c r="BC58"/>
  <c r="BC59"/>
  <c r="BC60"/>
  <c r="BC61"/>
  <c r="BC62"/>
  <c r="BC63"/>
  <c r="BC64"/>
  <c r="BC65"/>
  <c r="BC67"/>
  <c r="BC68"/>
  <c r="BC69"/>
  <c r="BC70"/>
  <c r="BC71"/>
  <c r="BC72"/>
  <c r="BC73"/>
  <c r="BC9"/>
  <c r="BC8"/>
  <c r="BD7"/>
  <c r="BD66" l="1"/>
  <c r="BD33"/>
  <c r="BC6"/>
  <c r="BD44"/>
  <c r="BD45"/>
  <c r="BD46"/>
  <c r="BD47"/>
  <c r="BD48"/>
  <c r="BD43"/>
  <c r="BD21"/>
  <c r="BD10"/>
  <c r="BD11"/>
  <c r="BD12"/>
  <c r="BD13"/>
  <c r="BD14"/>
  <c r="BD15"/>
  <c r="BD16"/>
  <c r="BD17"/>
  <c r="BD18"/>
  <c r="BD19"/>
  <c r="BD20"/>
  <c r="BD22"/>
  <c r="BD23"/>
  <c r="BD24"/>
  <c r="BD25"/>
  <c r="BD26"/>
  <c r="BD27"/>
  <c r="BD28"/>
  <c r="BD29"/>
  <c r="BD30"/>
  <c r="BD31"/>
  <c r="BD32"/>
  <c r="BD34"/>
  <c r="BD35"/>
  <c r="BD36"/>
  <c r="BD37"/>
  <c r="BD38"/>
  <c r="BD39"/>
  <c r="BD40"/>
  <c r="BD41"/>
  <c r="BD42"/>
  <c r="BD49"/>
  <c r="BD50"/>
  <c r="BD51"/>
  <c r="BD52"/>
  <c r="BD53"/>
  <c r="BD54"/>
  <c r="BD55"/>
  <c r="BD56"/>
  <c r="BD57"/>
  <c r="BD58"/>
  <c r="BD59"/>
  <c r="BD60"/>
  <c r="BD61"/>
  <c r="BD62"/>
  <c r="BD63"/>
  <c r="BD64"/>
  <c r="BD65"/>
  <c r="BD67"/>
  <c r="BD68"/>
  <c r="BD69"/>
  <c r="BD70"/>
  <c r="BD71"/>
  <c r="BD72"/>
  <c r="BD73"/>
  <c r="BD8"/>
  <c r="BD9"/>
  <c r="BE7"/>
  <c r="BE33" l="1"/>
  <c r="BE66"/>
  <c r="BD6"/>
  <c r="BE44"/>
  <c r="BE45"/>
  <c r="BE46"/>
  <c r="BE47"/>
  <c r="BE48"/>
  <c r="BE43"/>
  <c r="BE21"/>
  <c r="BE10"/>
  <c r="BE11"/>
  <c r="BE12"/>
  <c r="BE13"/>
  <c r="BE14"/>
  <c r="BE15"/>
  <c r="BE16"/>
  <c r="BE17"/>
  <c r="BE18"/>
  <c r="BE19"/>
  <c r="BE20"/>
  <c r="BE22"/>
  <c r="BE23"/>
  <c r="BE24"/>
  <c r="BE25"/>
  <c r="BE26"/>
  <c r="BE27"/>
  <c r="BE28"/>
  <c r="BE29"/>
  <c r="BE30"/>
  <c r="BE31"/>
  <c r="BE32"/>
  <c r="BE34"/>
  <c r="BE35"/>
  <c r="BE36"/>
  <c r="BE37"/>
  <c r="BE38"/>
  <c r="BE39"/>
  <c r="BE40"/>
  <c r="BE41"/>
  <c r="BE42"/>
  <c r="BE49"/>
  <c r="BE50"/>
  <c r="BE51"/>
  <c r="BE52"/>
  <c r="BE53"/>
  <c r="BE54"/>
  <c r="BE55"/>
  <c r="BE56"/>
  <c r="BE57"/>
  <c r="BE58"/>
  <c r="BE59"/>
  <c r="BE60"/>
  <c r="BE61"/>
  <c r="BE62"/>
  <c r="BE63"/>
  <c r="BE64"/>
  <c r="BE8"/>
  <c r="BE65"/>
  <c r="BE67"/>
  <c r="BE68"/>
  <c r="BE69"/>
  <c r="BE70"/>
  <c r="BE71"/>
  <c r="BE72"/>
  <c r="BE73"/>
  <c r="BE9"/>
  <c r="BF7"/>
  <c r="BF66" l="1"/>
  <c r="BF33"/>
  <c r="BE6"/>
  <c r="BF44"/>
  <c r="BF45"/>
  <c r="BF46"/>
  <c r="BF47"/>
  <c r="BF48"/>
  <c r="BF43"/>
  <c r="BF21"/>
  <c r="BF10"/>
  <c r="BF11"/>
  <c r="BF12"/>
  <c r="BF13"/>
  <c r="BF14"/>
  <c r="BF15"/>
  <c r="BF16"/>
  <c r="BF17"/>
  <c r="BF18"/>
  <c r="BF19"/>
  <c r="BF20"/>
  <c r="BF22"/>
  <c r="BF23"/>
  <c r="BF24"/>
  <c r="BF25"/>
  <c r="BF26"/>
  <c r="BF27"/>
  <c r="BF28"/>
  <c r="BF29"/>
  <c r="BF30"/>
  <c r="BF31"/>
  <c r="BF32"/>
  <c r="BF34"/>
  <c r="BF35"/>
  <c r="BF36"/>
  <c r="BF37"/>
  <c r="BF38"/>
  <c r="BF39"/>
  <c r="BF40"/>
  <c r="BF41"/>
  <c r="BF42"/>
  <c r="BF49"/>
  <c r="BF50"/>
  <c r="BF51"/>
  <c r="BF52"/>
  <c r="BF53"/>
  <c r="BF54"/>
  <c r="BF55"/>
  <c r="BF56"/>
  <c r="BF57"/>
  <c r="BF58"/>
  <c r="BF59"/>
  <c r="BF60"/>
  <c r="BF61"/>
  <c r="BF62"/>
  <c r="BF63"/>
  <c r="BF64"/>
  <c r="BF65"/>
  <c r="BF67"/>
  <c r="BF68"/>
  <c r="BF69"/>
  <c r="BF70"/>
  <c r="BF71"/>
  <c r="BF72"/>
  <c r="BF73"/>
  <c r="BF9"/>
  <c r="BF8"/>
  <c r="BG7"/>
  <c r="BG33" l="1"/>
  <c r="BG66"/>
  <c r="BF6"/>
  <c r="BG44"/>
  <c r="BG45"/>
  <c r="BG46"/>
  <c r="BG47"/>
  <c r="BG48"/>
  <c r="BG43"/>
  <c r="BG21"/>
  <c r="BG10"/>
  <c r="BG11"/>
  <c r="BG12"/>
  <c r="BG13"/>
  <c r="BG14"/>
  <c r="BG15"/>
  <c r="BG16"/>
  <c r="BG17"/>
  <c r="BG18"/>
  <c r="BG19"/>
  <c r="BG20"/>
  <c r="BG22"/>
  <c r="BG23"/>
  <c r="BG24"/>
  <c r="BG25"/>
  <c r="BG26"/>
  <c r="BG27"/>
  <c r="BG28"/>
  <c r="BG29"/>
  <c r="BG30"/>
  <c r="BG31"/>
  <c r="BG32"/>
  <c r="BG34"/>
  <c r="BG35"/>
  <c r="BG36"/>
  <c r="BG37"/>
  <c r="BG38"/>
  <c r="BG39"/>
  <c r="BG40"/>
  <c r="BG41"/>
  <c r="BG42"/>
  <c r="BG49"/>
  <c r="BG50"/>
  <c r="BG51"/>
  <c r="BG52"/>
  <c r="BG53"/>
  <c r="BG54"/>
  <c r="BG55"/>
  <c r="BG56"/>
  <c r="BG57"/>
  <c r="BG58"/>
  <c r="BG59"/>
  <c r="BG60"/>
  <c r="BG61"/>
  <c r="BG62"/>
  <c r="BG63"/>
  <c r="BG64"/>
  <c r="BG65"/>
  <c r="BG67"/>
  <c r="BG68"/>
  <c r="BG69"/>
  <c r="BG70"/>
  <c r="BG71"/>
  <c r="BG72"/>
  <c r="BG73"/>
  <c r="BG9"/>
  <c r="BG8"/>
  <c r="BH7"/>
  <c r="BH66" l="1"/>
  <c r="BH33"/>
  <c r="BG6"/>
  <c r="BH44"/>
  <c r="BH45"/>
  <c r="BH46"/>
  <c r="BH47"/>
  <c r="BH48"/>
  <c r="BH43"/>
  <c r="BH21"/>
  <c r="BH10"/>
  <c r="BH11"/>
  <c r="BH12"/>
  <c r="BH13"/>
  <c r="BH14"/>
  <c r="BH15"/>
  <c r="BH16"/>
  <c r="BH17"/>
  <c r="BH18"/>
  <c r="BH19"/>
  <c r="BH20"/>
  <c r="BH22"/>
  <c r="BH23"/>
  <c r="BH24"/>
  <c r="BH25"/>
  <c r="BH26"/>
  <c r="BH27"/>
  <c r="BH28"/>
  <c r="BH29"/>
  <c r="BH30"/>
  <c r="BH31"/>
  <c r="BH32"/>
  <c r="BH34"/>
  <c r="BH35"/>
  <c r="BH36"/>
  <c r="BH37"/>
  <c r="BH38"/>
  <c r="BH39"/>
  <c r="BH40"/>
  <c r="BH41"/>
  <c r="BH42"/>
  <c r="BH49"/>
  <c r="BH50"/>
  <c r="BH51"/>
  <c r="BH52"/>
  <c r="BH53"/>
  <c r="BH54"/>
  <c r="BH55"/>
  <c r="BH56"/>
  <c r="BH57"/>
  <c r="BH58"/>
  <c r="BH59"/>
  <c r="BH60"/>
  <c r="BH61"/>
  <c r="BH62"/>
  <c r="BH63"/>
  <c r="BH64"/>
  <c r="BH65"/>
  <c r="BH67"/>
  <c r="BH68"/>
  <c r="BH69"/>
  <c r="BH70"/>
  <c r="BH71"/>
  <c r="BH72"/>
  <c r="BH73"/>
  <c r="BH8"/>
  <c r="BH9"/>
  <c r="BI7"/>
  <c r="BI33" l="1"/>
  <c r="BI66"/>
  <c r="BH6"/>
  <c r="BI44"/>
  <c r="BI45"/>
  <c r="BI46"/>
  <c r="BI47"/>
  <c r="BI48"/>
  <c r="BI43"/>
  <c r="BI21"/>
  <c r="BI10"/>
  <c r="BI11"/>
  <c r="BI12"/>
  <c r="BI13"/>
  <c r="BI14"/>
  <c r="BI15"/>
  <c r="BI16"/>
  <c r="BI17"/>
  <c r="BI18"/>
  <c r="BI19"/>
  <c r="BI20"/>
  <c r="BI22"/>
  <c r="BI23"/>
  <c r="BI24"/>
  <c r="BI25"/>
  <c r="BI26"/>
  <c r="BI27"/>
  <c r="BI28"/>
  <c r="BI29"/>
  <c r="BI30"/>
  <c r="BI31"/>
  <c r="BI32"/>
  <c r="BI34"/>
  <c r="BI35"/>
  <c r="BI36"/>
  <c r="BI37"/>
  <c r="BI38"/>
  <c r="BI39"/>
  <c r="BI40"/>
  <c r="BI41"/>
  <c r="BI42"/>
  <c r="BI49"/>
  <c r="BI50"/>
  <c r="BI51"/>
  <c r="BI52"/>
  <c r="BI53"/>
  <c r="BI54"/>
  <c r="BI55"/>
  <c r="BI56"/>
  <c r="BI57"/>
  <c r="BI58"/>
  <c r="BI59"/>
  <c r="BI60"/>
  <c r="BI61"/>
  <c r="BI62"/>
  <c r="BI63"/>
  <c r="BI64"/>
  <c r="BI8"/>
  <c r="BI65"/>
  <c r="BI67"/>
  <c r="BI68"/>
  <c r="BI69"/>
  <c r="BI70"/>
  <c r="BI71"/>
  <c r="BI72"/>
  <c r="BI73"/>
  <c r="BI9"/>
  <c r="BJ7"/>
  <c r="BJ66" l="1"/>
  <c r="BJ33"/>
  <c r="BI6"/>
  <c r="BJ44"/>
  <c r="BJ45"/>
  <c r="BJ46"/>
  <c r="BJ47"/>
  <c r="BJ48"/>
  <c r="BJ43"/>
  <c r="BJ21"/>
  <c r="BJ10"/>
  <c r="BJ11"/>
  <c r="BJ12"/>
  <c r="BJ13"/>
  <c r="BJ14"/>
  <c r="BJ15"/>
  <c r="BJ16"/>
  <c r="BJ17"/>
  <c r="BJ18"/>
  <c r="BJ19"/>
  <c r="BJ20"/>
  <c r="BJ22"/>
  <c r="BJ23"/>
  <c r="BJ24"/>
  <c r="BJ25"/>
  <c r="BJ26"/>
  <c r="BJ27"/>
  <c r="BJ28"/>
  <c r="BJ29"/>
  <c r="BJ30"/>
  <c r="BJ31"/>
  <c r="BJ32"/>
  <c r="BJ34"/>
  <c r="BJ35"/>
  <c r="BJ36"/>
  <c r="BJ37"/>
  <c r="BJ38"/>
  <c r="BJ39"/>
  <c r="BJ40"/>
  <c r="BJ41"/>
  <c r="BJ42"/>
  <c r="BJ49"/>
  <c r="BJ50"/>
  <c r="BJ51"/>
  <c r="BJ52"/>
  <c r="BJ53"/>
  <c r="BJ54"/>
  <c r="BJ55"/>
  <c r="BJ56"/>
  <c r="BJ57"/>
  <c r="BJ58"/>
  <c r="BJ59"/>
  <c r="BJ60"/>
  <c r="BJ61"/>
  <c r="BJ62"/>
  <c r="BJ63"/>
  <c r="BJ64"/>
  <c r="BJ65"/>
  <c r="BJ67"/>
  <c r="BJ68"/>
  <c r="BJ69"/>
  <c r="BJ70"/>
  <c r="BJ71"/>
  <c r="BJ72"/>
  <c r="BJ73"/>
  <c r="BJ9"/>
  <c r="BJ8"/>
  <c r="BK7"/>
  <c r="BK33" l="1"/>
  <c r="BK66"/>
  <c r="BJ6"/>
  <c r="BK44"/>
  <c r="BK45"/>
  <c r="BK46"/>
  <c r="BK47"/>
  <c r="BK48"/>
  <c r="BK43"/>
  <c r="BK21"/>
  <c r="BK10"/>
  <c r="BK11"/>
  <c r="BK12"/>
  <c r="BK13"/>
  <c r="BK14"/>
  <c r="BK15"/>
  <c r="BK16"/>
  <c r="BK17"/>
  <c r="BK18"/>
  <c r="BK19"/>
  <c r="BK20"/>
  <c r="BK22"/>
  <c r="BK23"/>
  <c r="BK24"/>
  <c r="BK25"/>
  <c r="BK26"/>
  <c r="BK27"/>
  <c r="BK28"/>
  <c r="BK29"/>
  <c r="BK30"/>
  <c r="BK31"/>
  <c r="BK32"/>
  <c r="BK34"/>
  <c r="BK35"/>
  <c r="BK36"/>
  <c r="BK37"/>
  <c r="BK38"/>
  <c r="BK39"/>
  <c r="BK40"/>
  <c r="BK41"/>
  <c r="BK42"/>
  <c r="BK49"/>
  <c r="BK50"/>
  <c r="BK51"/>
  <c r="BK52"/>
  <c r="BK53"/>
  <c r="BK54"/>
  <c r="BK55"/>
  <c r="BK56"/>
  <c r="BK57"/>
  <c r="BK58"/>
  <c r="BK59"/>
  <c r="BK60"/>
  <c r="BK61"/>
  <c r="BK62"/>
  <c r="BK63"/>
  <c r="BK64"/>
  <c r="BK65"/>
  <c r="BK67"/>
  <c r="BK68"/>
  <c r="BK69"/>
  <c r="BK70"/>
  <c r="BK71"/>
  <c r="BK72"/>
  <c r="BK73"/>
  <c r="BK9"/>
  <c r="BK8"/>
  <c r="BL7"/>
  <c r="BL66" l="1"/>
  <c r="BL33"/>
  <c r="BK6"/>
  <c r="BL44"/>
  <c r="BL45"/>
  <c r="BL46"/>
  <c r="BL47"/>
  <c r="BL48"/>
  <c r="BL43"/>
  <c r="BL21"/>
  <c r="BL10"/>
  <c r="BL11"/>
  <c r="BL12"/>
  <c r="BL13"/>
  <c r="BL14"/>
  <c r="BL15"/>
  <c r="BL16"/>
  <c r="BL17"/>
  <c r="BL18"/>
  <c r="BL19"/>
  <c r="BL20"/>
  <c r="BL22"/>
  <c r="BL23"/>
  <c r="BL24"/>
  <c r="BL25"/>
  <c r="BL26"/>
  <c r="BL27"/>
  <c r="BL28"/>
  <c r="BL29"/>
  <c r="BL30"/>
  <c r="BL31"/>
  <c r="BL32"/>
  <c r="BL34"/>
  <c r="BL35"/>
  <c r="BL36"/>
  <c r="BL37"/>
  <c r="BL38"/>
  <c r="BL39"/>
  <c r="BL40"/>
  <c r="BL41"/>
  <c r="BL42"/>
  <c r="BL49"/>
  <c r="BL50"/>
  <c r="BL51"/>
  <c r="BL52"/>
  <c r="BL53"/>
  <c r="BL54"/>
  <c r="BL55"/>
  <c r="BL56"/>
  <c r="BL57"/>
  <c r="BL58"/>
  <c r="BL59"/>
  <c r="BL60"/>
  <c r="BL61"/>
  <c r="BL62"/>
  <c r="BL63"/>
  <c r="BL64"/>
  <c r="BL65"/>
  <c r="BL67"/>
  <c r="BL68"/>
  <c r="BL69"/>
  <c r="BL70"/>
  <c r="BL71"/>
  <c r="BL72"/>
  <c r="BL8"/>
  <c r="BL73"/>
  <c r="BL9"/>
  <c r="BM7"/>
  <c r="BM33" l="1"/>
  <c r="BM66"/>
  <c r="BL6"/>
  <c r="BM44"/>
  <c r="BM45"/>
  <c r="BM46"/>
  <c r="BM47"/>
  <c r="BM48"/>
  <c r="BM43"/>
  <c r="BM21"/>
  <c r="BM10"/>
  <c r="BM11"/>
  <c r="BM12"/>
  <c r="BM13"/>
  <c r="BM14"/>
  <c r="BM15"/>
  <c r="BM16"/>
  <c r="BM17"/>
  <c r="BM18"/>
  <c r="BM19"/>
  <c r="BM20"/>
  <c r="BM22"/>
  <c r="BM23"/>
  <c r="BM24"/>
  <c r="BM25"/>
  <c r="BM26"/>
  <c r="BM27"/>
  <c r="BM28"/>
  <c r="BM29"/>
  <c r="BM30"/>
  <c r="BM31"/>
  <c r="BM32"/>
  <c r="BM34"/>
  <c r="BM35"/>
  <c r="BM36"/>
  <c r="BM37"/>
  <c r="BM38"/>
  <c r="BM39"/>
  <c r="BM40"/>
  <c r="BM41"/>
  <c r="BM42"/>
  <c r="BM49"/>
  <c r="BM50"/>
  <c r="BM51"/>
  <c r="BM52"/>
  <c r="BM53"/>
  <c r="BM54"/>
  <c r="BM55"/>
  <c r="BM56"/>
  <c r="BM57"/>
  <c r="BM58"/>
  <c r="BM59"/>
  <c r="BM60"/>
  <c r="BM61"/>
  <c r="BM62"/>
  <c r="BM63"/>
  <c r="BM64"/>
  <c r="BM8"/>
  <c r="BM65"/>
  <c r="BM67"/>
  <c r="BM68"/>
  <c r="BM69"/>
  <c r="BM70"/>
  <c r="BM71"/>
  <c r="BM72"/>
  <c r="BM73"/>
  <c r="BM9"/>
  <c r="BN7"/>
  <c r="BN66" l="1"/>
  <c r="BN33"/>
  <c r="BM6"/>
  <c r="BN44"/>
  <c r="BN45"/>
  <c r="BN46"/>
  <c r="BN47"/>
  <c r="BN48"/>
  <c r="BN43"/>
  <c r="BN21"/>
  <c r="BN10"/>
  <c r="BN11"/>
  <c r="BN12"/>
  <c r="BN13"/>
  <c r="BN14"/>
  <c r="BN15"/>
  <c r="BN16"/>
  <c r="BN17"/>
  <c r="BN18"/>
  <c r="BN19"/>
  <c r="BN20"/>
  <c r="BN22"/>
  <c r="BN23"/>
  <c r="BN24"/>
  <c r="BN25"/>
  <c r="BN26"/>
  <c r="BN27"/>
  <c r="BN28"/>
  <c r="BN29"/>
  <c r="BN30"/>
  <c r="BN31"/>
  <c r="BN32"/>
  <c r="BN34"/>
  <c r="BN35"/>
  <c r="BN36"/>
  <c r="BN37"/>
  <c r="BN38"/>
  <c r="BN39"/>
  <c r="BN40"/>
  <c r="BN41"/>
  <c r="BN42"/>
  <c r="BN49"/>
  <c r="BN50"/>
  <c r="BN51"/>
  <c r="BN52"/>
  <c r="BN53"/>
  <c r="BN54"/>
  <c r="BN55"/>
  <c r="BN56"/>
  <c r="BN57"/>
  <c r="BN58"/>
  <c r="BN59"/>
  <c r="BN60"/>
  <c r="BN61"/>
  <c r="BN62"/>
  <c r="BN63"/>
  <c r="BN64"/>
  <c r="BN65"/>
  <c r="BN67"/>
  <c r="BN68"/>
  <c r="BN69"/>
  <c r="BN70"/>
  <c r="BN71"/>
  <c r="BN72"/>
  <c r="BN73"/>
  <c r="BN9"/>
  <c r="BN8"/>
  <c r="BO7"/>
  <c r="BO33" l="1"/>
  <c r="BO66"/>
  <c r="BN6"/>
  <c r="BO44"/>
  <c r="BO45"/>
  <c r="BO46"/>
  <c r="BO47"/>
  <c r="BO48"/>
  <c r="BO43"/>
  <c r="BO21"/>
  <c r="BO10"/>
  <c r="BO11"/>
  <c r="BO12"/>
  <c r="BO13"/>
  <c r="BO14"/>
  <c r="BO15"/>
  <c r="BO16"/>
  <c r="BO17"/>
  <c r="BO18"/>
  <c r="BO19"/>
  <c r="BO20"/>
  <c r="BO22"/>
  <c r="BO23"/>
  <c r="BO24"/>
  <c r="BO25"/>
  <c r="BO26"/>
  <c r="BO27"/>
  <c r="BO28"/>
  <c r="BO29"/>
  <c r="BO30"/>
  <c r="BO31"/>
  <c r="BO32"/>
  <c r="BO34"/>
  <c r="BO35"/>
  <c r="BO36"/>
  <c r="BO37"/>
  <c r="BO38"/>
  <c r="BO39"/>
  <c r="BO40"/>
  <c r="BO41"/>
  <c r="BO42"/>
  <c r="BO49"/>
  <c r="BO50"/>
  <c r="BO51"/>
  <c r="BO52"/>
  <c r="BO53"/>
  <c r="BO54"/>
  <c r="BO55"/>
  <c r="BO56"/>
  <c r="BO57"/>
  <c r="BO58"/>
  <c r="BO59"/>
  <c r="BO60"/>
  <c r="BO61"/>
  <c r="BO62"/>
  <c r="BO63"/>
  <c r="BO64"/>
  <c r="BO65"/>
  <c r="BO67"/>
  <c r="BO68"/>
  <c r="BO69"/>
  <c r="BO70"/>
  <c r="BO71"/>
  <c r="BO72"/>
  <c r="BO73"/>
  <c r="BO9"/>
  <c r="BO8"/>
  <c r="BP7"/>
  <c r="BP66" l="1"/>
  <c r="BP33"/>
  <c r="BO6"/>
  <c r="BP44"/>
  <c r="BP45"/>
  <c r="BP46"/>
  <c r="BP47"/>
  <c r="BP48"/>
  <c r="BP43"/>
  <c r="BP21"/>
  <c r="BP10"/>
  <c r="BP11"/>
  <c r="BP12"/>
  <c r="BP13"/>
  <c r="BP14"/>
  <c r="BP15"/>
  <c r="BP16"/>
  <c r="BP17"/>
  <c r="BP18"/>
  <c r="BP19"/>
  <c r="BP20"/>
  <c r="BP22"/>
  <c r="BP23"/>
  <c r="BP24"/>
  <c r="BP25"/>
  <c r="BP26"/>
  <c r="BP27"/>
  <c r="BP28"/>
  <c r="BP29"/>
  <c r="BP30"/>
  <c r="BP31"/>
  <c r="BP32"/>
  <c r="BP34"/>
  <c r="BP35"/>
  <c r="BP36"/>
  <c r="BP37"/>
  <c r="BP38"/>
  <c r="BP39"/>
  <c r="BP40"/>
  <c r="BP41"/>
  <c r="BP42"/>
  <c r="BP49"/>
  <c r="BP50"/>
  <c r="BP51"/>
  <c r="BP52"/>
  <c r="BP53"/>
  <c r="BP54"/>
  <c r="BP55"/>
  <c r="BP56"/>
  <c r="BP57"/>
  <c r="BP58"/>
  <c r="BP59"/>
  <c r="BP60"/>
  <c r="BP61"/>
  <c r="BP62"/>
  <c r="BP63"/>
  <c r="BP64"/>
  <c r="BP65"/>
  <c r="BP67"/>
  <c r="BP68"/>
  <c r="BP69"/>
  <c r="BP70"/>
  <c r="BP71"/>
  <c r="BP72"/>
  <c r="BP8"/>
  <c r="BP73"/>
  <c r="BP9"/>
  <c r="BP6" l="1"/>
  <c r="P131" i="9"/>
  <c r="N135" l="1"/>
  <c r="Q131"/>
  <c r="B26" i="16" s="1"/>
  <c r="N133" i="9"/>
  <c r="N134"/>
  <c r="M133" l="1"/>
  <c r="M134"/>
  <c r="P134"/>
  <c r="R134" s="1"/>
  <c r="O134"/>
  <c r="Q134" s="1"/>
  <c r="O135"/>
  <c r="P135"/>
  <c r="M135"/>
  <c r="O133"/>
  <c r="P133"/>
  <c r="R133" s="1"/>
  <c r="Q133" l="1"/>
  <c r="R131"/>
  <c r="C26" i="16" s="1"/>
  <c r="R135" i="9"/>
  <c r="R136" s="1"/>
  <c r="E26" i="16" s="1"/>
  <c r="F26" s="1"/>
  <c r="Q135" i="9"/>
  <c r="Q136" l="1"/>
  <c r="D26" i="16" s="1"/>
  <c r="N141" i="9"/>
  <c r="N142"/>
  <c r="N143"/>
  <c r="N144"/>
  <c r="N145"/>
  <c r="Q138"/>
  <c r="B23" i="16" s="1"/>
  <c r="B28" s="1"/>
  <c r="N140" i="9"/>
  <c r="M144" l="1"/>
  <c r="P144"/>
  <c r="O144"/>
  <c r="Q144" s="1"/>
  <c r="M142"/>
  <c r="P142"/>
  <c r="O142"/>
  <c r="Q142" s="1"/>
  <c r="M145"/>
  <c r="P145"/>
  <c r="O145"/>
  <c r="Q145" s="1"/>
  <c r="M143"/>
  <c r="P143"/>
  <c r="O143"/>
  <c r="Q143" s="1"/>
  <c r="M141"/>
  <c r="P141"/>
  <c r="O141"/>
  <c r="Q141" s="1"/>
  <c r="O140"/>
  <c r="P140"/>
  <c r="M140"/>
  <c r="R140" l="1"/>
  <c r="R141"/>
  <c r="R145"/>
  <c r="R144"/>
  <c r="Q140"/>
  <c r="Q146" s="1"/>
  <c r="D23" i="16" s="1"/>
  <c r="D28" s="1"/>
  <c r="Z3" s="1"/>
  <c r="R143" i="9"/>
  <c r="R142"/>
  <c r="R138"/>
  <c r="C23" i="16" s="1"/>
  <c r="C28" s="1"/>
  <c r="R146" i="9" l="1"/>
  <c r="E23" i="16" s="1"/>
  <c r="E28" s="1"/>
  <c r="F28" s="1"/>
  <c r="B20" i="18"/>
  <c r="H2" i="16"/>
  <c r="F23" l="1"/>
  <c r="T2"/>
  <c r="R2" i="9" s="1"/>
  <c r="Q1" i="16"/>
  <c r="N1" i="9" s="1"/>
  <c r="Z6" i="16"/>
  <c r="O2" s="1"/>
  <c r="K2" i="9" s="1"/>
  <c r="C2" i="18"/>
  <c r="C2" i="9"/>
</calcChain>
</file>

<file path=xl/comments1.xml><?xml version="1.0" encoding="utf-8"?>
<comments xmlns="http://schemas.openxmlformats.org/spreadsheetml/2006/main">
  <authors>
    <author>Enigma</author>
  </authors>
  <commentList>
    <comment ref="D2" authorId="0">
      <text>
        <r>
          <rPr>
            <sz val="8"/>
            <color indexed="81"/>
            <rFont val="Tahoma"/>
            <family val="2"/>
          </rPr>
          <t>Prise en compte des murs dans l'affichage du graphique</t>
        </r>
      </text>
    </comment>
    <comment ref="E2" authorId="0">
      <text>
        <r>
          <rPr>
            <sz val="8"/>
            <color indexed="81"/>
            <rFont val="Tahoma"/>
            <family val="2"/>
          </rPr>
          <t>Prise en compte de l'hotel de ville dans l'affichage du graphique</t>
        </r>
      </text>
    </comment>
    <comment ref="F2" authorId="0">
      <text>
        <r>
          <rPr>
            <sz val="8"/>
            <color indexed="81"/>
            <rFont val="Tahoma"/>
            <family val="2"/>
          </rPr>
          <t>Prise en compte des héros dans l'affichage du graphique</t>
        </r>
      </text>
    </comment>
  </commentList>
</comments>
</file>

<file path=xl/sharedStrings.xml><?xml version="1.0" encoding="utf-8"?>
<sst xmlns="http://schemas.openxmlformats.org/spreadsheetml/2006/main" count="3326" uniqueCount="750">
  <si>
    <t>Laboratory</t>
  </si>
  <si>
    <t>Elixir Collector</t>
  </si>
  <si>
    <t>Gold Mine</t>
  </si>
  <si>
    <t>Cannon</t>
  </si>
  <si>
    <t>Wall</t>
  </si>
  <si>
    <t>Mortar</t>
  </si>
  <si>
    <t>Wizard Tower</t>
  </si>
  <si>
    <t>X-Bow</t>
  </si>
  <si>
    <t>Dark Elixir Drill</t>
  </si>
  <si>
    <t>Gold Storage</t>
  </si>
  <si>
    <t>Elixir Storage</t>
  </si>
  <si>
    <t>Dark Elixir Storage</t>
  </si>
  <si>
    <t>Army Camp</t>
  </si>
  <si>
    <t>Spell Factory</t>
  </si>
  <si>
    <t>Inferno Tower</t>
  </si>
  <si>
    <t>LVL Max</t>
  </si>
  <si>
    <t>Clan Castle</t>
  </si>
  <si>
    <t>LVL</t>
  </si>
  <si>
    <t>Cost</t>
  </si>
  <si>
    <t>Time</t>
  </si>
  <si>
    <t>Upgrades</t>
  </si>
  <si>
    <t>LVL Max2</t>
  </si>
  <si>
    <t>LVL Max3</t>
  </si>
  <si>
    <t>LVL Max4</t>
  </si>
  <si>
    <t>LVL Max5</t>
  </si>
  <si>
    <t>LVL Max6</t>
  </si>
  <si>
    <t>LVL Max7</t>
  </si>
  <si>
    <t>LVL Max8</t>
  </si>
  <si>
    <t>LVL Max9</t>
  </si>
  <si>
    <t>NB</t>
  </si>
  <si>
    <t>+</t>
  </si>
  <si>
    <t>Total</t>
  </si>
  <si>
    <t>Elixir</t>
  </si>
  <si>
    <t>Gold</t>
  </si>
  <si>
    <t>Archer Tower</t>
  </si>
  <si>
    <t>Air Defense</t>
  </si>
  <si>
    <t>Hidden Tesla</t>
  </si>
  <si>
    <t>Current</t>
  </si>
  <si>
    <t>Max</t>
  </si>
  <si>
    <t>Max +</t>
  </si>
  <si>
    <t>TO DO</t>
  </si>
  <si>
    <t>Total Time</t>
  </si>
  <si>
    <t>Total Cost</t>
  </si>
  <si>
    <t>Heroes</t>
  </si>
  <si>
    <t>Barbarian King</t>
  </si>
  <si>
    <t>Archer Queen</t>
  </si>
  <si>
    <t>Costs - Heroes</t>
  </si>
  <si>
    <t>Heroes (Available &amp; Max LVL)</t>
  </si>
  <si>
    <t>Heroes (Changes)</t>
  </si>
  <si>
    <t>Barbarian</t>
  </si>
  <si>
    <t>Archer</t>
  </si>
  <si>
    <t>Goblin</t>
  </si>
  <si>
    <t>Giant</t>
  </si>
  <si>
    <t>Wall Breaker</t>
  </si>
  <si>
    <t>Balloon</t>
  </si>
  <si>
    <t>Wizard</t>
  </si>
  <si>
    <t>Healer</t>
  </si>
  <si>
    <t>Dragon</t>
  </si>
  <si>
    <t>P.E.K.K.A</t>
  </si>
  <si>
    <t>Lightning Spell</t>
  </si>
  <si>
    <t>Healing Spell</t>
  </si>
  <si>
    <t>Rage Spell</t>
  </si>
  <si>
    <t>Jump Spell</t>
  </si>
  <si>
    <t>Costs - Spells Upgrades</t>
  </si>
  <si>
    <t>Minion</t>
  </si>
  <si>
    <t>Hog Rider</t>
  </si>
  <si>
    <t>Valkyrie</t>
  </si>
  <si>
    <t>Golem</t>
  </si>
  <si>
    <t>Dark Elixir</t>
  </si>
  <si>
    <t>Building</t>
  </si>
  <si>
    <t>Up.</t>
  </si>
  <si>
    <t>Spell</t>
  </si>
  <si>
    <t>Freeze Spell</t>
  </si>
  <si>
    <t>Traps (Available)</t>
  </si>
  <si>
    <t>Traps (Changes)</t>
  </si>
  <si>
    <t>Other Buildings (Changes)</t>
  </si>
  <si>
    <t>Other Buildings</t>
  </si>
  <si>
    <t>LVL Max10</t>
  </si>
  <si>
    <t>Costs - Other Buildings</t>
  </si>
  <si>
    <t>Hero</t>
  </si>
  <si>
    <t>Builders</t>
  </si>
  <si>
    <t>Normal Troop</t>
  </si>
  <si>
    <t>Dark Troop</t>
  </si>
  <si>
    <t>Costs - Normal Troops Upgrades</t>
  </si>
  <si>
    <t>Costs - Dark Troops Upgrades</t>
  </si>
  <si>
    <t>Resource Buildings</t>
  </si>
  <si>
    <t>Resource Buildings (Changes)</t>
  </si>
  <si>
    <t>Army Buildings (Changes)</t>
  </si>
  <si>
    <t>Defensive Buildings (Changes)</t>
  </si>
  <si>
    <t>Costs - Army Buildings</t>
  </si>
  <si>
    <t>Costs - Defensive Buildings</t>
  </si>
  <si>
    <t>Army Buildings</t>
  </si>
  <si>
    <t>Defensive Buildings</t>
  </si>
  <si>
    <t>Costs - Resource Buildings</t>
  </si>
  <si>
    <t>Version</t>
  </si>
  <si>
    <t>Description</t>
  </si>
  <si>
    <t>Download</t>
  </si>
  <si>
    <t>Name File</t>
  </si>
  <si>
    <t>- Initial version</t>
  </si>
  <si>
    <t>- Fixed Elixir Storage &amp; Gold Storage costs</t>
  </si>
  <si>
    <t>Dark Troops Upgrades</t>
  </si>
  <si>
    <t>Tot.</t>
  </si>
  <si>
    <t>Upgrade not available</t>
  </si>
  <si>
    <t>Error
Total max. reach</t>
  </si>
  <si>
    <t>Normal Troops Upgrades</t>
  </si>
  <si>
    <t>Spells Upgrades</t>
  </si>
  <si>
    <t>Spells Upgrades (Available &amp; Max LVL)</t>
  </si>
  <si>
    <t>Spells Upgrades (Changes)</t>
  </si>
  <si>
    <t>Normal Troops Upgrades (Available &amp; Max LVL)</t>
  </si>
  <si>
    <t>Normal Troops Upgrades (Changes)</t>
  </si>
  <si>
    <t>Dark Troops Upgrades (Available &amp; Max LVL)</t>
  </si>
  <si>
    <t>Dark Troops Upgrades (Changes)</t>
  </si>
  <si>
    <t>Summary Tables</t>
  </si>
  <si>
    <t>ChangeLog</t>
  </si>
  <si>
    <t>d/h/m</t>
  </si>
  <si>
    <t>- Adding the "ChangeLog" tab</t>
  </si>
  <si>
    <t>- Summary graphic changes on "TO DO" tab
- Displaying the time remaining in days rather than hours
- Locking formulas cells</t>
  </si>
  <si>
    <t>- Removing the tab "TO DO - By TH LVL"
- Renaming the tab "TO DO - By Current " to "TO DO"
- Conditional Formatting on "TO DO" tab</t>
  </si>
  <si>
    <t>/</t>
  </si>
  <si>
    <t>Production</t>
  </si>
  <si>
    <t>Capacity</t>
  </si>
  <si>
    <t>Earnings</t>
  </si>
  <si>
    <t>Period</t>
  </si>
  <si>
    <t>Type</t>
  </si>
  <si>
    <t>Time to reach needs</t>
  </si>
  <si>
    <t>Production / hour</t>
  </si>
  <si>
    <t>Production / period</t>
  </si>
  <si>
    <t>%</t>
  </si>
  <si>
    <t>Maximum Gain</t>
  </si>
  <si>
    <t>Trophy</t>
  </si>
  <si>
    <t>Gold Bonus</t>
  </si>
  <si>
    <t>Elixir Bonus</t>
  </si>
  <si>
    <t>Dark Elixir Bonus</t>
  </si>
  <si>
    <t>Rank</t>
  </si>
  <si>
    <t>Trophies</t>
  </si>
  <si>
    <t>Trophy Difference</t>
  </si>
  <si>
    <t>Loot Multiplier</t>
  </si>
  <si>
    <t>Raiding - Total Amount of Ressources</t>
  </si>
  <si>
    <t>Raiding - Available Amount of Ressources</t>
  </si>
  <si>
    <t>Max Stockable</t>
  </si>
  <si>
    <t>v1.01</t>
  </si>
  <si>
    <t>v1.21</t>
  </si>
  <si>
    <t>v1.22</t>
  </si>
  <si>
    <t>v1.23</t>
  </si>
  <si>
    <t>v1.31</t>
  </si>
  <si>
    <t>v1.41</t>
  </si>
  <si>
    <t>1 day</t>
  </si>
  <si>
    <t>Building not available</t>
  </si>
  <si>
    <t>Space</t>
  </si>
  <si>
    <t>Costs - Normal Troops Training</t>
  </si>
  <si>
    <t>Costs - Dark Troops Training</t>
  </si>
  <si>
    <t>Time (s)</t>
  </si>
  <si>
    <t>Current +</t>
  </si>
  <si>
    <t>Orange column:</t>
  </si>
  <si>
    <t>Spells Creation</t>
  </si>
  <si>
    <t>Normal Troops Training</t>
  </si>
  <si>
    <t>Dark Troops Training</t>
  </si>
  <si>
    <t>Total Space</t>
  </si>
  <si>
    <t>Max Space</t>
  </si>
  <si>
    <t>Attack</t>
  </si>
  <si>
    <t>h/m/s</t>
  </si>
  <si>
    <t>Army Camp - Total Capacity</t>
  </si>
  <si>
    <t>Yellow line:</t>
  </si>
  <si>
    <t>Error - Army Camp
Total max. reach</t>
  </si>
  <si>
    <t>Laboratory - NB</t>
  </si>
  <si>
    <t>Date</t>
  </si>
  <si>
    <t>v1.61</t>
  </si>
  <si>
    <t>v1.60</t>
  </si>
  <si>
    <t>v1.50</t>
  </si>
  <si>
    <t>v1.40</t>
  </si>
  <si>
    <t>v1.30</t>
  </si>
  <si>
    <t>v1.20</t>
  </si>
  <si>
    <t>v1.10</t>
  </si>
  <si>
    <t>v1.00</t>
  </si>
  <si>
    <t>Translation</t>
  </si>
  <si>
    <t>Tableaux récapitulatifs</t>
  </si>
  <si>
    <t>Mine d'Or</t>
  </si>
  <si>
    <t>TH LVL</t>
  </si>
  <si>
    <t>Héros</t>
  </si>
  <si>
    <t>Bâtiments Défensifs</t>
  </si>
  <si>
    <t>Bâtiments Autres</t>
  </si>
  <si>
    <t>Bâtiments d'Armée</t>
  </si>
  <si>
    <t>Reine des Archers</t>
  </si>
  <si>
    <t>Serviteur</t>
  </si>
  <si>
    <t>Guérisseuse</t>
  </si>
  <si>
    <t>Sorcier</t>
  </si>
  <si>
    <t>Ballon</t>
  </si>
  <si>
    <t>Sapeur</t>
  </si>
  <si>
    <t>Géant</t>
  </si>
  <si>
    <t>Gobelin</t>
  </si>
  <si>
    <t>Sort de Foudre</t>
  </si>
  <si>
    <t>Sort de Guérison</t>
  </si>
  <si>
    <t>Sort de Rage</t>
  </si>
  <si>
    <t>Sort de Saut</t>
  </si>
  <si>
    <t>Sort de Gel</t>
  </si>
  <si>
    <t>Barbare</t>
  </si>
  <si>
    <t>Roi des Barbares</t>
  </si>
  <si>
    <t>Hôtel de Ville</t>
  </si>
  <si>
    <t>Château de Clan</t>
  </si>
  <si>
    <t>Tour de l'Enfer</t>
  </si>
  <si>
    <t>Arc-X</t>
  </si>
  <si>
    <t>Tesla Camouflée</t>
  </si>
  <si>
    <t>Défense Antiaérienne</t>
  </si>
  <si>
    <t>Mortier</t>
  </si>
  <si>
    <t>Tour d'Archers</t>
  </si>
  <si>
    <t>Canon</t>
  </si>
  <si>
    <t>Rempart</t>
  </si>
  <si>
    <t>Caserne</t>
  </si>
  <si>
    <t>Laboratoire</t>
  </si>
  <si>
    <t>Usine de Sorts</t>
  </si>
  <si>
    <t>Extracteur d'Élixir</t>
  </si>
  <si>
    <t>Foreuse d'Élixir Noir</t>
  </si>
  <si>
    <t>Réserve d'Or</t>
  </si>
  <si>
    <t>seconds</t>
  </si>
  <si>
    <t>minutes</t>
  </si>
  <si>
    <t>secondes</t>
  </si>
  <si>
    <t>hours</t>
  </si>
  <si>
    <t>months</t>
  </si>
  <si>
    <t>heures</t>
  </si>
  <si>
    <t>mois</t>
  </si>
  <si>
    <t>days</t>
  </si>
  <si>
    <t>jours</t>
  </si>
  <si>
    <t>j/h/m</t>
  </si>
  <si>
    <t>hrs</t>
  </si>
  <si>
    <t>mins</t>
  </si>
  <si>
    <t>Time Display</t>
  </si>
  <si>
    <t>Améliorations de Sorts</t>
  </si>
  <si>
    <t>Améliorations de Troupes Noires</t>
  </si>
  <si>
    <t>Affichage Temps</t>
  </si>
  <si>
    <t>Required Resources</t>
  </si>
  <si>
    <t>Ressources Nécessaires</t>
  </si>
  <si>
    <t>Bâtiment</t>
  </si>
  <si>
    <t>Coût Total</t>
  </si>
  <si>
    <t>Temps Total</t>
  </si>
  <si>
    <t>Sort</t>
  </si>
  <si>
    <t>Troupe Normale</t>
  </si>
  <si>
    <t>Troupe Noire</t>
  </si>
  <si>
    <t>Or Total :</t>
  </si>
  <si>
    <t>Total Gold:</t>
  </si>
  <si>
    <t>Total Elixir:</t>
  </si>
  <si>
    <t>Améliorations de Troupes</t>
  </si>
  <si>
    <t>Élixir Total :</t>
  </si>
  <si>
    <t>Total Dark Elixir:</t>
  </si>
  <si>
    <t>Total Time:</t>
  </si>
  <si>
    <t>Temps Total :</t>
  </si>
  <si>
    <t>Chevaucheur de Cochon</t>
  </si>
  <si>
    <t>Or</t>
  </si>
  <si>
    <t>Élixir</t>
  </si>
  <si>
    <t>Élixir Noir</t>
  </si>
  <si>
    <t>Troops/Spells Up.:</t>
  </si>
  <si>
    <t>Champs</t>
  </si>
  <si>
    <t xml:space="preserve">Héros : </t>
  </si>
  <si>
    <t xml:space="preserve">Bâtiments : </t>
  </si>
  <si>
    <t xml:space="preserve">Buildings: </t>
  </si>
  <si>
    <t xml:space="preserve">Heroes: </t>
  </si>
  <si>
    <t>Améliorations de Troupes/Sorts :</t>
  </si>
  <si>
    <t>Actuel</t>
  </si>
  <si>
    <t>Améliorations</t>
  </si>
  <si>
    <t>Coût</t>
  </si>
  <si>
    <t>Temps</t>
  </si>
  <si>
    <t>Élixir Noir Total :</t>
  </si>
  <si>
    <t>Période</t>
  </si>
  <si>
    <t>Production / heure</t>
  </si>
  <si>
    <t>Production / période</t>
  </si>
  <si>
    <t>Temps pour obtenir besoins</t>
  </si>
  <si>
    <t>1 hour</t>
  </si>
  <si>
    <t>2 hours</t>
  </si>
  <si>
    <t>4 hours</t>
  </si>
  <si>
    <t>8 hours</t>
  </si>
  <si>
    <t>16 hours</t>
  </si>
  <si>
    <t>2 days</t>
  </si>
  <si>
    <t>3 days</t>
  </si>
  <si>
    <t>1 week</t>
  </si>
  <si>
    <t>1 month</t>
  </si>
  <si>
    <t>Fields</t>
  </si>
  <si>
    <t>1 heure</t>
  </si>
  <si>
    <t>2 heures</t>
  </si>
  <si>
    <t>4 heures</t>
  </si>
  <si>
    <t>8 heures</t>
  </si>
  <si>
    <t>16 heures</t>
  </si>
  <si>
    <t>1 jour</t>
  </si>
  <si>
    <t>2 jours</t>
  </si>
  <si>
    <t>3 jours</t>
  </si>
  <si>
    <t>1 semaine</t>
  </si>
  <si>
    <t>1 mois</t>
  </si>
  <si>
    <t>Stockage Max</t>
  </si>
  <si>
    <t>Attaque / Défense</t>
  </si>
  <si>
    <t>Attack / Defense</t>
  </si>
  <si>
    <t>Defense</t>
  </si>
  <si>
    <t>Attaque</t>
  </si>
  <si>
    <t>Défense</t>
  </si>
  <si>
    <t>LVL HdV</t>
  </si>
  <si>
    <t>LVL HdV Opposant</t>
  </si>
  <si>
    <t>Différence LVL HdV</t>
  </si>
  <si>
    <t>Trophées</t>
  </si>
  <si>
    <t>Gain Maximum</t>
  </si>
  <si>
    <t>Red cell:</t>
  </si>
  <si>
    <t>Orange Cell:</t>
  </si>
  <si>
    <t>Cellule rouge :</t>
  </si>
  <si>
    <t>Cellule orange :</t>
  </si>
  <si>
    <t>Combat - Nombre Total de Ressources</t>
  </si>
  <si>
    <t>Combat - Nombre de Ressources Disponibles</t>
  </si>
  <si>
    <t>Storages</t>
  </si>
  <si>
    <t>Mines/Collectors/Drills</t>
  </si>
  <si>
    <t>Mines/Extracteurs/Foreuses</t>
  </si>
  <si>
    <t>League Bonus</t>
  </si>
  <si>
    <t>Bonus de Ligue</t>
  </si>
  <si>
    <t>Multiplicateur de Loot</t>
  </si>
  <si>
    <t>Bâtiment non disponible</t>
  </si>
  <si>
    <t xml:space="preserve">Loots - Possible Losses vs TH LVL </t>
  </si>
  <si>
    <t xml:space="preserve">Loots - Gains Possibles vs HdV LVL </t>
  </si>
  <si>
    <t xml:space="preserve">Loots - Pertes Possibles vs HdV LVL </t>
  </si>
  <si>
    <t>Création de Sorts</t>
  </si>
  <si>
    <t>Formation de Troupes Normales</t>
  </si>
  <si>
    <t>Formation de Troupes Noires</t>
  </si>
  <si>
    <t>LVL Usine de Sorts</t>
  </si>
  <si>
    <t>Espace Max</t>
  </si>
  <si>
    <t>Espace Total</t>
  </si>
  <si>
    <t>NB
Caserne</t>
  </si>
  <si>
    <t>NB
Caserne Noire</t>
  </si>
  <si>
    <t>Caserne n°4 - NB</t>
  </si>
  <si>
    <t>Caserne n°3 - NB</t>
  </si>
  <si>
    <t>Caserne n°1 - NB</t>
  </si>
  <si>
    <t>LVL
Caserne n°1</t>
  </si>
  <si>
    <t>LVL
Caserne n°2</t>
  </si>
  <si>
    <t>LVL
Caserne n°3</t>
  </si>
  <si>
    <t>LVL
Caserne n°4</t>
  </si>
  <si>
    <t>LVL
Caserne Noire n°1</t>
  </si>
  <si>
    <t>LVL
Caserne Noire n°2</t>
  </si>
  <si>
    <t>Caserne Noire n°1 - NB</t>
  </si>
  <si>
    <t>Caserne Noire n°2 - NB</t>
  </si>
  <si>
    <t>Actuel +</t>
  </si>
  <si>
    <t>Troupe/Sort non disponible</t>
  </si>
  <si>
    <t>Colonne orange :</t>
  </si>
  <si>
    <t>Erreur - Caserne
Max. total atteint</t>
  </si>
  <si>
    <t>Colonne marron :</t>
  </si>
  <si>
    <t>Caserne non disponible
(ou pas de Laboratoire)</t>
  </si>
  <si>
    <t>Army Camp
Total Capacity</t>
  </si>
  <si>
    <t>Camp Militaire</t>
  </si>
  <si>
    <t>Camp Militaire - Capacité Totale</t>
  </si>
  <si>
    <t>Ligne jaune :</t>
  </si>
  <si>
    <t>Erreur - Camp Militaire
Max. total atteint</t>
  </si>
  <si>
    <t>Erreur - Bâtiment
Max. total atteint</t>
  </si>
  <si>
    <t>Caserne Noire</t>
  </si>
  <si>
    <t>Hôtel de Ville - Or</t>
  </si>
  <si>
    <t>Hôtel de Ville - Élixir</t>
  </si>
  <si>
    <t>Camp Militaire
Capacité Totale</t>
  </si>
  <si>
    <t>Brown cell:</t>
  </si>
  <si>
    <t>sec</t>
  </si>
  <si>
    <t>Amélioration non disponible</t>
  </si>
  <si>
    <t>Erreur
Max. total atteint</t>
  </si>
  <si>
    <t>Ouvriers</t>
  </si>
  <si>
    <t>3.a. Write down the number of Buildings you currently have with their corresponding levels
3.b. Write down the current level of your Spells/Normals Troops/Dark Troops upgrades
3.c. Write down the current level of your Heroes</t>
  </si>
  <si>
    <t>3.a. Saisir le nombre de Bâtiments que vous avez actuellement avec leurs levels correspondants
3.b. Saisir le level actuel de vos améliorations de Sorts/Troupes Normales/Troupes Noires
3.c. Saisir le level actuel de vos Héros</t>
  </si>
  <si>
    <t>Journal des Modifications</t>
  </si>
  <si>
    <t>Nom de Fichier</t>
  </si>
  <si>
    <t>Téléchargement</t>
  </si>
  <si>
    <t>=&gt; Temps par Ouvrier :</t>
  </si>
  <si>
    <t>Caserne° 2 - NB</t>
  </si>
  <si>
    <t>=&gt; Time per Builder:</t>
  </si>
  <si>
    <t>- Ajout de la date dans l'onglet "Journal des Modifications"
- Correction d'un bug de formatage conditionnel sur l'onglet "Formation de Troupes"</t>
  </si>
  <si>
    <t>À Faire</t>
  </si>
  <si>
    <t>Bâtiments de Ressources (Changements)</t>
  </si>
  <si>
    <t>Capacity - Buildings</t>
  </si>
  <si>
    <t>Bâtiments d'Amée (Changements)</t>
  </si>
  <si>
    <t>Pièges (Disponibles)</t>
  </si>
  <si>
    <t>Bâtiments de Défense (Changements)</t>
  </si>
  <si>
    <t>Pièges (Changements)</t>
  </si>
  <si>
    <t>Bâtiments Autres (Changements)</t>
  </si>
  <si>
    <t>Améliorations de Sorts (Changements)</t>
  </si>
  <si>
    <t>Améliorations de Troupes Normales (Changements)</t>
  </si>
  <si>
    <t>Héros (Changements)</t>
  </si>
  <si>
    <t>Améliorations de Troupes Noires (Changements)</t>
  </si>
  <si>
    <t>Coûts - Bâtiments de Ressources</t>
  </si>
  <si>
    <t>Coûts - Bâtiments d'Armée</t>
  </si>
  <si>
    <t>Coûts - Bâtiments de Défense</t>
  </si>
  <si>
    <t>Coûts - Bâtiments Autres</t>
  </si>
  <si>
    <t>Coûts - Améliorations de Sorts</t>
  </si>
  <si>
    <t>Coûts - Améliroations de Troupes Normales</t>
  </si>
  <si>
    <t>Coûts - Améliorations de Troupes Noires</t>
  </si>
  <si>
    <t>Coûts - Héros</t>
  </si>
  <si>
    <t>Gains</t>
  </si>
  <si>
    <t>Capacité</t>
  </si>
  <si>
    <t>Bonus de Trophées</t>
  </si>
  <si>
    <t>Classement</t>
  </si>
  <si>
    <t>Bonus d'Or</t>
  </si>
  <si>
    <t>Bonus d'Élixir</t>
  </si>
  <si>
    <t>Bonus d'Élixir Noir</t>
  </si>
  <si>
    <t>Différence de Trophées</t>
  </si>
  <si>
    <t>Coûts - Formation de Troupes Normales</t>
  </si>
  <si>
    <t>Espace</t>
  </si>
  <si>
    <t>Coûts - Formation de Troupes Noires</t>
  </si>
  <si>
    <t>Capacité - Bâtiments</t>
  </si>
  <si>
    <t>Trophies Bonus</t>
  </si>
  <si>
    <t>Trophies Difference</t>
  </si>
  <si>
    <t>Error - Building
Total max. reach</t>
  </si>
  <si>
    <t>Troop/Spell not available</t>
  </si>
  <si>
    <t>Max LVL</t>
  </si>
  <si>
    <t>Spell Factory
LVL</t>
  </si>
  <si>
    <t>Améliorations de Troupes Noires (Disponibles et LVL Max)</t>
  </si>
  <si>
    <t>Héros (Disponibles &amp; LVL Max)</t>
  </si>
  <si>
    <t>Améliorations de Troupes Normales (Disponibles &amp; LVL Max)</t>
  </si>
  <si>
    <t>Améliorations de Sorts (Disponibles et LVL Max)</t>
  </si>
  <si>
    <t>Bâtiments d'Amée (Disponibles et LVL Max)</t>
  </si>
  <si>
    <t>Bâtiments de Défense (Disponibles et LVL Max)</t>
  </si>
  <si>
    <t>Bâtiments Autres (Disponibles et LVL Max)</t>
  </si>
  <si>
    <t>Bâtiments de Ressources (Disponibles et LVL Max)</t>
  </si>
  <si>
    <t>Army Buildings (Available &amp; Max LVL)</t>
  </si>
  <si>
    <t>Defensive Buildings (Available &amp; Max LVL)</t>
  </si>
  <si>
    <t>Other Buildings (Available &amp; Max LVL)</t>
  </si>
  <si>
    <t>Resource Buildings (Available &amp; Max LVL)</t>
  </si>
  <si>
    <t>TH LVL Difference</t>
  </si>
  <si>
    <t>INSTRUCTIONS:
1. LVL HdV : Indiquer le level de votre Hôtel de Ville (1-10)
2. Ouvriers : Indiquer le nombre d'ouvriers que vous avez (1-5)</t>
  </si>
  <si>
    <t>Opponent TH LVL</t>
  </si>
  <si>
    <t>Langue</t>
  </si>
  <si>
    <t>Language</t>
  </si>
  <si>
    <t>Français - FR</t>
  </si>
  <si>
    <t>English - EN</t>
  </si>
  <si>
    <t>Raiding - Profits</t>
  </si>
  <si>
    <t>Amount</t>
  </si>
  <si>
    <t>Raiding - Earnings</t>
  </si>
  <si>
    <t>Combat - Gains</t>
  </si>
  <si>
    <t>Combat - Profits</t>
  </si>
  <si>
    <t>Montant</t>
  </si>
  <si>
    <t>v1.70</t>
  </si>
  <si>
    <t xml:space="preserve">Description </t>
  </si>
  <si>
    <t>- Version initiale</t>
  </si>
  <si>
    <t>- Changements graphiques sur le récapitulatif sur l'onglet "À Faire"
- Affichage du temps restant en jours plutôt qu'en heures
- Verrouillage des cellules de formules</t>
  </si>
  <si>
    <t>- Correction des coûts de Réserve d'Or et Réserve d'Élixir</t>
  </si>
  <si>
    <t>- Changements sur l'onglet "Paramètres"
   - Tableau récapitulatif de tous les améliorations de Bâtiments et Sorts/Troupes Normales/Troupes Noires
    - Toutes les données utilisateurs doivent désormais être saisies dans cet onglet et l'onglet "À faire" n'affiche que les résultats
    - Ajout d'indications pour utiliser le fichier Excel</t>
  </si>
  <si>
    <t>- Ajout de l'onglet "Journal des Modifications"</t>
  </si>
  <si>
    <t>- Affichage des Bâtiments par catégorie sur un seul onglet
- Changements graphiques sur le récapitulatif dans l'onglet "À faire - Actuellement"
- Ajout d'un graphique "Ressources Nécessaires"</t>
  </si>
  <si>
    <t>- Mise à jour des Coûts/Temps des Sorts</t>
  </si>
  <si>
    <t>- Updating Spells Costs/Time</t>
  </si>
  <si>
    <t>- Updating available Buildings, following the maintenance of 2013/06/24
     For TH LVL 10:
        - 1 more Gold Mine
        - 1 more Elixir Collector</t>
  </si>
  <si>
    <t>- Suppression de l'onglet "À faire - Par LVL HdV"
- Renommage de l'onglet "À faire - Actuellement" par "À faire"
- Mise en forme conditionnelle sur l'onglet "À faire"</t>
  </si>
  <si>
    <t>- Mise à jour des Bâtiments disponibles, suite à la maintenance du 24/06/2013
    Pour LVL HdV 10 :
     - 1 Mine d'Or supplémentaire
     - 1 Extracteur d'Élixir supplémentaire</t>
  </si>
  <si>
    <t>- Ajout de l'onglet "Formation de Troupes" : cela permet de connaître les possibilités de formation par rapport aux levels des Casernes/Laboratoire ainsi que les coûts totaux
- Renommage de l'onglet "Ligues" par "Trophées"
- Renommage de l'onglet "Coûts" par "Coûts des Améliorations"
- Formatage conditionnel sur l'onglet "Production"
- Modifications sur le formatage conditionnel sur l'onglet "Combats - Loots"
- Correction des Coûts/Temps des améliorations du Sort de Gel
- Correction du LVL HdV nécessaire pour les améliorations de Sorts</t>
  </si>
  <si>
    <t>- Adding the "Troops Training" tab: It helps to know training possibilities regarding the Barracks/Laboratory level and the total costs
- Renaming the "Leagues" tab to "Trophies"
- Renaming the "Costs" tab to "Upgrades Costs"
- Conditional formatting on "Production" tab
- Conditional formatting changes on "Raidings Loots" tab
- Fixing Freeze Spell upgrade Costs/Time
- Fixing TH LVL required for Spells Upgrades</t>
  </si>
  <si>
    <t xml:space="preserve">Loots - Possible Earnings vs TH LVL </t>
  </si>
  <si>
    <t>- Fixing the summary cost view for Golem upgrade
- Fixing the summary time view for Troops/Spells upgrades
- Editing the cell format for numbers</t>
  </si>
  <si>
    <t>- Correction de la vue récapitulative pour l'amélioration de Golem
- Correction de la vue récapitulative pour les améliorations de Troupes/Sorts
- Modification du format de cellule pour les nombres</t>
  </si>
  <si>
    <t>- Séparation des sections récapitulatif et détails
   - Ajout de l'onglet "À Faire - Récapitulatif"
   - Renommage de l'onglet "À Faire" par "À Faire - Détails"
- Les temps peuvent désormais être affichés en secondes/minutes/heures/jours/mois/jours heures minutes en sélectionnant le choix dans la cellule B2 (onglet "À Faire - Récapitulatif")
- Masquage du quadrillage dans les onglets
- Autorisation de modifier le format de cellule / utiliser des filtres / trier même si l'onglet est verrouillé</t>
  </si>
  <si>
    <t>- Ajout de l'onglet "Production" : cela permet de connaître combien de ressources peuvent être gagnées dans un temps imparti
- Ajout de l'onglet "Combats - Loots" : cela permet de connaître les gains ou pertes possibles dans les combats multi-joueurs
- Changements graphiques mineurs
- Renommage des anciennes versions du fichier
- Renommage du fichier</t>
  </si>
  <si>
    <t>- Adding the Date in the "ChangeLog" tab
- Fixing bug with conditional formatting on "Troops Training" tab</t>
  </si>
  <si>
    <t>- Adding the "Production" tab: It helps to know how many resources can be won in a specific time
- Adding the "Raiding Loots" tab: It helps to know the possible earnings or losses in Multiplayer Raiding
- Small graphic changes
- Renaming previous file versions
- Renaming file</t>
  </si>
  <si>
    <t>- Displaying buildings by category on one tab
- Summary graphic changes on "TO DO - Current" tab
- Adding a graphic "Required Resources"</t>
  </si>
  <si>
    <t>Bâtiments de Ressources</t>
  </si>
  <si>
    <t>Laboratoire - NB</t>
  </si>
  <si>
    <t>- Ajout du choix de la langue dans l'onglet "Paramètres" - traduction en français
- Ajout de la fonctionnalité permettant de voir les profits en fonction des coûts de formation et des gains de combat dans l'onglet "Formation de Troupes"
- Restriction des droits sur les feuilles du fichier - impossibilité de cliquer sur les cellules protégées
- Restriction des valeurs saisissables dans les cellules
- Changements graphiques mineurs</t>
  </si>
  <si>
    <t>- Adding the language selection in the "Parameters" tab - French translation
- Adding the feature which allow to see profits regarding the training costs and the raiding wins on the "Training Troops" tab
- Rights' restriction on the file's sheets - unable to click on the protected cells
- Values seizure restriction on cells
- Small graphic changes</t>
  </si>
  <si>
    <t>Réservoir d'Élixir Noir</t>
  </si>
  <si>
    <t>Réservoir d'Élixir</t>
  </si>
  <si>
    <t>Stockages</t>
  </si>
  <si>
    <t>Tour de Sorciers</t>
  </si>
  <si>
    <t>Cellule verte :</t>
  </si>
  <si>
    <t>Amélioration max. atteinte</t>
  </si>
  <si>
    <t>Green cell:</t>
  </si>
  <si>
    <t>Max. upgrade reached</t>
  </si>
  <si>
    <t>v1.71</t>
  </si>
  <si>
    <t>- Mise en forme conditionnelle dans l'onglet "Paramètres" pour savoir les améliorations restantes/indisponibles
- Correction de la traduction pour "Tour de l'Enfer"
- Correction de la couleur représentative du coût de "Tesla Camouflée" dans l'onglet "À Faire - Détails"
- Correction du calcul total avec l'ajout de la ligne des "P.E.K.K.A" dans l'onglet "Formation de Troupes" 
- Modification de la couleur de l'Élixir</t>
  </si>
  <si>
    <t>Plan</t>
  </si>
  <si>
    <t>Actual</t>
  </si>
  <si>
    <t>NB Upgrades</t>
  </si>
  <si>
    <t>Plan Start</t>
  </si>
  <si>
    <t>Actual Start</t>
  </si>
  <si>
    <t>Actual Duration</t>
  </si>
  <si>
    <t>% Complete</t>
  </si>
  <si>
    <t>Start Date</t>
  </si>
  <si>
    <t>Calendar</t>
  </si>
  <si>
    <t>Planning</t>
  </si>
  <si>
    <t>Plan Duration (days)</t>
  </si>
  <si>
    <t>Actual (beyond plan)</t>
  </si>
  <si>
    <t>% Complete (beyond plan)</t>
  </si>
  <si>
    <t>Error - Not enought Builders</t>
  </si>
  <si>
    <t>Step (day)</t>
  </si>
  <si>
    <t>Period Highlight</t>
  </si>
  <si>
    <t>Date de Départ</t>
  </si>
  <si>
    <t>Pas (jour)</t>
  </si>
  <si>
    <t>Période Sélectionnée</t>
  </si>
  <si>
    <t>Construction / Upgrade</t>
  </si>
  <si>
    <t>Construction / Amélioration</t>
  </si>
  <si>
    <t>Durée Planifée (jours)</t>
  </si>
  <si>
    <t>Début Planifiée</t>
  </si>
  <si>
    <t>Début Réel</t>
  </si>
  <si>
    <t>% Réalisé</t>
  </si>
  <si>
    <t>Réel (au-delà du planifié)</t>
  </si>
  <si>
    <t>% Réalisé (au-delà du planifié)</t>
  </si>
  <si>
    <t>Erreur - Pas suffisament d'Ouvriers</t>
  </si>
  <si>
    <t>Durée Réelle</t>
  </si>
  <si>
    <t>Planifié</t>
  </si>
  <si>
    <t>Réel</t>
  </si>
  <si>
    <t>Calendrier</t>
  </si>
  <si>
    <t>Réinitialiser</t>
  </si>
  <si>
    <t>Créer Planning</t>
  </si>
  <si>
    <t>Create Planning</t>
  </si>
  <si>
    <t>Reset</t>
  </si>
  <si>
    <t>Elixir needs</t>
  </si>
  <si>
    <t>Besoins d'Or
(sans remparts)</t>
  </si>
  <si>
    <t>Gold needs
(without walls)</t>
  </si>
  <si>
    <t>Besoins d'Elixir</t>
  </si>
  <si>
    <t>Besoins d'Elixir Noir</t>
  </si>
  <si>
    <t>Legend</t>
  </si>
  <si>
    <t>Builders available</t>
  </si>
  <si>
    <t>Ouvriers disponibles</t>
  </si>
  <si>
    <t>v1.80</t>
  </si>
  <si>
    <t>- Ajout de l'onglet "Planning" pour prévoir les futures constructions/améliorations.</t>
  </si>
  <si>
    <t>Adding the "Planning" tab to know the constuctions/upgrades futures</t>
  </si>
  <si>
    <t>Dark Elixir needs</t>
  </si>
  <si>
    <t>Town Hall</t>
  </si>
  <si>
    <t>Town Hall - Elixir</t>
  </si>
  <si>
    <t>Town Hall - Gold</t>
  </si>
  <si>
    <t>INSTRUCTIONS:
1. TH LVL: Indicate the level of your Town Hall (1-10)
2. Builders: Indicate the number of Builders you have (1-5)</t>
  </si>
  <si>
    <t>v1.81</t>
  </si>
  <si>
    <t>Légende</t>
  </si>
  <si>
    <t>- Correction de la traduction pour "Hôtel de Ville"
- Rafraichissement automatique lorsqu'on choisit la période sélectionnée dans l'onglet "Planning"
- Figeage des volets dans l'onglet "Planning"</t>
  </si>
  <si>
    <t>- Fixing the translation for "Town Hall"
- Automatic refresh when selecting the "Period Highlight" on the "Planning" tab
- Freezing panes on the "Planning" tab</t>
  </si>
  <si>
    <t>Barracks</t>
  </si>
  <si>
    <t>Barracks #1 - NB</t>
  </si>
  <si>
    <t>Barracks #1
LVL</t>
  </si>
  <si>
    <t>Barracks #2 - NB</t>
  </si>
  <si>
    <t>Barracks #2
LVL</t>
  </si>
  <si>
    <t>Barracks #3 - NB</t>
  </si>
  <si>
    <t>Barracks #3
LVL</t>
  </si>
  <si>
    <t>Barracks #4 - NB</t>
  </si>
  <si>
    <t>Barracks #4
LVL</t>
  </si>
  <si>
    <t>Barracks not available
(or no Laboratory)</t>
  </si>
  <si>
    <t>Dark Barracks</t>
  </si>
  <si>
    <t>Dark Barracks #1 - NB</t>
  </si>
  <si>
    <t>Dark Barracks #1
LVL</t>
  </si>
  <si>
    <t>Dark Barracks #2 - NB</t>
  </si>
  <si>
    <t>Dark Barracks #2
LVL</t>
  </si>
  <si>
    <t>Error - Barracks
Total max. reach</t>
  </si>
  <si>
    <t>v1.82</t>
  </si>
  <si>
    <t>- Modification du nom de fichier pour que les macros VBA fonctionnent
- Correction de la traduction pour les "Casernes"
- Correction du calcul des "Remparts" dans l'onglet "À Faire - Détails". Oubli de formules</t>
  </si>
  <si>
    <t>Witch</t>
  </si>
  <si>
    <t>Sorcière</t>
  </si>
  <si>
    <t>v1.90</t>
  </si>
  <si>
    <t>v1.41 - FR</t>
  </si>
  <si>
    <t>- Version française du fichier 1.41</t>
  </si>
  <si>
    <t>- French version of 1.41 file</t>
  </si>
  <si>
    <t>- Updates following the maintenance of 2013-07-29
- Switching host file uploader</t>
  </si>
  <si>
    <t>- Mises à jour suite à la maintenance du 29/07/2013
- Changement de l'hébergeur des fichiers</t>
  </si>
  <si>
    <t>v1.91</t>
  </si>
  <si>
    <t>- Petites corrections
   - Niveau de HdV ne correspondait pas dans les onglets "Planning" et "Combats - Loots"
   - Correction du niveau des casernes noires dans l'onglet "Formation de Troupes"
   - Oubli d'une formule dans l'onglet "Paramètres" pour la Sorcière
- Modification du code VBA - Plus de vérification sur le nom du fichier</t>
  </si>
  <si>
    <t>- Small fixes
    - TH Level was incorrect in "Planning" and "Raiding - Loots" tabs
    - Fixed the level of dark barracks in "Troops Training" tab
    - Forgot a formula in the "Parameters" tab for the Witch
- Changing the VBA code - No more checking on the filename</t>
  </si>
  <si>
    <t>- Renaming the file so the VBA code can works
- Fixing the translation for the "Barracks"
- Fixing the calculation for the "Walls" in the "TO DO - Details" tab. Forgot some formulas</t>
  </si>
  <si>
    <t>- Conditionnal formatting on "Parameters" tab to know which ameliorations are left/unavailable
- Fixing the translation for "Inferno Tower"
- Fixing the representative color for "Hidden Tesla" in the "TO DO - Details" tab
- Fixing the total cost with the adding of the "P.E.K.K.A" line o=in the "Trainings Troops" tab
- Editing the "Elixir" color</t>
  </si>
  <si>
    <t>- Separation of summary and details sections
     - Adding the tab "TO DO - Summary"
     - Renaming the tab "TO DO" to "TO DO - Details"
- The times can now be displayed by seconds/minutes/hours/days/months/days hours minutes" by selecting the choice in B2 cell ("TO DO - Summary" tab)
- Hiding the grid in the tabs
- Allowing permission to change the cell format / use filters / sort even if the tab is locked</t>
  </si>
  <si>
    <t>- Changes on the "Parameters" tab. 
     - Summary table of all Buildings and Spells/Normal Troops/Dark Troops Upgrades. 
      - All user data has to be written in this tab and now the "TO DO" tab only display results
     - Adding indications to use the Excel file</t>
  </si>
  <si>
    <t>v2.00</t>
  </si>
  <si>
    <t>- Mises à jour suite à la maintenance du 28/08/2013
- Ajout du total de troupes dans l'onglet "Formation de Troupes"
- Correction du level nécessaire pour le "Sort de Guérison"
- Correction de formules des totaux "Batiments d'Armée" dans l'onglet "À Faire - Récapitulatif"
- Correction des formules pour le "Sapeur" et les "Casernes Noires" dans l'onglet "À Faire - Détails"</t>
  </si>
  <si>
    <t>- Updates following the maintenance of 2013-08-28
- Adding the total of troops in "Troups training" tab
- Fixing the required level for the "Healing Spell"
- Fixing the totals formulas of "Army Buildings"  in "TO DO - Summary" tab
- Fixing formulas for "Wall Breaker" and "Dark Barracks" in "TO DO - Details" tab</t>
  </si>
  <si>
    <t>LVL Max33</t>
  </si>
  <si>
    <t>LVL Max35</t>
  </si>
  <si>
    <t>LVL Max37</t>
  </si>
  <si>
    <t>LVL Max39</t>
  </si>
  <si>
    <t>LVL Max41</t>
  </si>
  <si>
    <t>Bombe géante</t>
  </si>
  <si>
    <t>Piège à ressort</t>
  </si>
  <si>
    <t>Bombe aérienne</t>
  </si>
  <si>
    <t>Bombe</t>
  </si>
  <si>
    <t>Tête chercheuse</t>
  </si>
  <si>
    <t>LVL Max43</t>
  </si>
  <si>
    <t>Piège squelettique</t>
  </si>
  <si>
    <t>LVL Max53</t>
  </si>
  <si>
    <t>LVL Max55</t>
  </si>
  <si>
    <t>v4.00</t>
  </si>
  <si>
    <t>v4.01</t>
  </si>
  <si>
    <t>v4.02</t>
  </si>
  <si>
    <t>- Correction des niveau des bombes et des bombes géantes</t>
  </si>
  <si>
    <t xml:space="preserve">- Correctif sur :
- Les TDA n'affichent que 12 lvl alors qu'il y en a maintenant 13
- Les Barbares et Archers ont maintenant 7 lvl et non plus 6 comme l'indique le tableau
- Le PEKKA peut maintenant être up au lvl 5 et non plus seulement 4, 
- Les Teslas peuvent etre up jusqu'au lvl 8 et non plus seulement 7, 
- Le sort de saut à maintenant 3 lvl et non plus seulement 2, </t>
  </si>
  <si>
    <t>- Ajout des pièges dans l'onglet paramétre - Batiment - Amélioration et couts des améliorations
Piège à ressort 
Tête chercheuse  
Bombe géante  
Bombe aérienne 
pour integration dans l'onglet planning
Piège squelettique</t>
  </si>
  <si>
    <t>Molosse de lave</t>
  </si>
  <si>
    <t>v4.03</t>
  </si>
  <si>
    <t>- Correctif sur :
- Ajout de la nouvelle untité des molosses de lave
- Correction dans l'onglet : "À Faire - Détails" , la formule de la cellulle B148 est fausse on pointe plus au bonne endroit</t>
  </si>
  <si>
    <t>v4.04</t>
  </si>
  <si>
    <t>v4.05</t>
  </si>
  <si>
    <t>- Correctif sur :
- Onglet planning qui ajoutais un ouvrier pour les amelioration des sort ou des unités noirs</t>
  </si>
  <si>
    <t>- Correctif sur :
- d'une erreur dans les formules de l'onglet planning inversion entre les golems et les molosse de lave</t>
  </si>
  <si>
    <t>v4.06</t>
  </si>
  <si>
    <t>- Correctif sur :
- Modification du niveau du sort de guerisson pour aparaitre avec HDV niveau 6
- et la caserne noire est disponible au niveau 6 dès l'hôtel de ville niveau 9</t>
  </si>
  <si>
    <t>Pièges Défensifs</t>
  </si>
  <si>
    <t>V4.07</t>
  </si>
  <si>
    <t xml:space="preserve">Ajout :
- Modification des temps de construction des bombes
- Ajout dans "A Faire - Détails" de la gestion des bombes
- Ajout dans "A faire - Récapitualitif " de la gestion des bombes
- Corrections sur les formules </t>
  </si>
  <si>
    <t>V4.07.01</t>
  </si>
  <si>
    <t xml:space="preserve">Ajout :
- Ajout dans "A Faire - Détails " &amp; "A Faire - Récupitulatif" des "Bombe Géante"
- Mofication des formules pour les calcules de temps </t>
  </si>
  <si>
    <t>Ajout :
- Bombe Aérienne 
- Piège Squelletique
Dans les onglets : A faire - Détail &amp; A faire - Récapitulatif 
Correction divers de formules</t>
  </si>
  <si>
    <t>V4.07.02</t>
  </si>
  <si>
    <t>V.4.8</t>
  </si>
  <si>
    <r>
      <t xml:space="preserve">- Yezazell - 
Modification :
 - Séparation des </t>
    </r>
    <r>
      <rPr>
        <b/>
        <i/>
        <sz val="8"/>
        <color theme="1"/>
        <rFont val="Calibri"/>
        <family val="2"/>
        <scheme val="minor"/>
      </rPr>
      <t>pièges défensifs</t>
    </r>
    <r>
      <rPr>
        <sz val="8"/>
        <color theme="1"/>
        <rFont val="Calibri"/>
        <family val="2"/>
        <scheme val="minor"/>
      </rPr>
      <t xml:space="preserve">et des </t>
    </r>
    <r>
      <rPr>
        <b/>
        <i/>
        <sz val="8"/>
        <color theme="1"/>
        <rFont val="Calibri"/>
        <family val="2"/>
        <scheme val="minor"/>
      </rPr>
      <t xml:space="preserve">batiments défensifs
 - </t>
    </r>
    <r>
      <rPr>
        <sz val="8"/>
        <color theme="1"/>
        <rFont val="Calibri"/>
        <family val="2"/>
        <scheme val="minor"/>
      </rPr>
      <t>Modification de toutes les formules en respectant l'éxistant</t>
    </r>
  </si>
  <si>
    <t>V.4.9</t>
  </si>
  <si>
    <t>- Yezazell - 
Ajout : 
- Molosse de lave onglet : Formation de troupes
- Ajout gestion Caserne Noir Lvl 6
- Modifications mise en forme conditionnelle…</t>
  </si>
  <si>
    <t>LVL Max32</t>
  </si>
  <si>
    <t>V4.09.01</t>
  </si>
  <si>
    <r>
      <t xml:space="preserve">- Yezazell - 
Correction mineur sur les formules de l'onglet </t>
    </r>
    <r>
      <rPr>
        <b/>
        <i/>
        <sz val="8"/>
        <color theme="1"/>
        <rFont val="Calibri"/>
        <family val="2"/>
        <scheme val="minor"/>
      </rPr>
      <t xml:space="preserve">"Paramètres", </t>
    </r>
    <r>
      <rPr>
        <sz val="8"/>
        <color theme="1"/>
        <rFont val="Calibri"/>
        <family val="2"/>
        <scheme val="minor"/>
      </rPr>
      <t>le problème venait de l'onglet batiment ou il manquait une colonne HDV</t>
    </r>
  </si>
  <si>
    <t>Lava Hound</t>
  </si>
  <si>
    <t>Bomb</t>
  </si>
  <si>
    <t>Spring Trap</t>
  </si>
  <si>
    <t>Giant Bomb</t>
  </si>
  <si>
    <t>Air Bomb</t>
  </si>
  <si>
    <t>Skeleton Trap</t>
  </si>
  <si>
    <t>Seeking Air Mine</t>
  </si>
  <si>
    <t>V4.11</t>
  </si>
  <si>
    <t>- Franck51 - 
Ajout dans l'onglet a faire - détails des molosse de lave
Ajout aussi dans l'onglet a faire recapitulatif
changement de l'ordre de la sorciere et molosse de lave dans l'onglet parametre</t>
  </si>
  <si>
    <t>V4.11,01</t>
  </si>
  <si>
    <t>- Franck51 - 
Remise en route du module traduction</t>
  </si>
  <si>
    <t>Bâtiments d'Armée (Disponibles et LVL Max)</t>
  </si>
  <si>
    <t>Bâtiments d'Armée (Changements)</t>
  </si>
  <si>
    <t>-Add different Trap in the sheet
Piège à ressort 
Tête chercheuse  
Bombe géante  
Bombe aérienne 
pour integration dans l'onglet planning
Piège squelettique</t>
  </si>
  <si>
    <t>V4.12</t>
  </si>
  <si>
    <t xml:space="preserve">-Yezazell-
upgrade spell healing </t>
  </si>
  <si>
    <t xml:space="preserve">-Yezazell-
Mise à jour des sorts de soins  </t>
  </si>
  <si>
    <t>LVL Labo</t>
  </si>
  <si>
    <t>V4.13</t>
  </si>
  <si>
    <t>-Franck51-
modification de l'onglet parametre pour la gestion des unités et des sorts par rapport a l'existance des casernes et usine de sort et liaison des niveau par rapport au niveaux du labo</t>
  </si>
  <si>
    <t>V4.13,01</t>
  </si>
  <si>
    <t>-Franck51-
Modification de l'onglet à faire-Détails avec ajout des niveau supplémentaire suite à mise à jour</t>
  </si>
  <si>
    <t>V4.13,02</t>
  </si>
  <si>
    <t>-Franck51-
Modification de l'onglet à faire-Détails tableau pour les ballons avec l'affichage du niv 6 et calcul des sommes à avoir</t>
  </si>
  <si>
    <t>V4.13,03</t>
  </si>
  <si>
    <t>V4.13,04</t>
  </si>
  <si>
    <t>V4.13,05</t>
  </si>
  <si>
    <t>-Sednanref-
Modification de la macro de traduction pour recherche automatique de la cellule "langue ou language" de traduction</t>
  </si>
  <si>
    <t>-Sednanref-
Correction de l'onglet a-faire avec le tableau des sorciers qui ne s'activait pas</t>
  </si>
  <si>
    <t>-Franck51-
Correction :
1 - En hdv 10, message d'erreur dans l'onglet A faire pour les pekka niveau 4, idem pour les ballons niv 6 et les sorciers niv 5 .
2 - Pour les cochons , ilqui au max dans l'onglet parametre devaient être amélioré dans l'onglet A faire,
Modification :
de la macro, Lors de la création du planning j'ai modifié la macro VBA de création pour que l'on puisses intégrer des nouvelles colonne dans l'onglet parametre (pour de nouvelles unités) et que de façon automatique la macro détecte la derniere cellule non vide.</t>
  </si>
  <si>
    <t>-Franck51-
Correction dans l'onglet a-faire detail des tableaux pour les bombes géantes et les pieges squeletiques</t>
  </si>
  <si>
    <t>V4.13,06</t>
  </si>
  <si>
    <t>V4.13,07</t>
  </si>
  <si>
    <t>-Franck51-
Correction dans l'onglet a-faire detail des tableaux pour les unités et les sorts qui ne prenait en compte que l'amelioration de HDV et non du labo</t>
  </si>
  <si>
    <t>V4.14</t>
  </si>
  <si>
    <t>-Franck51-
Correction dans l'onglet a-faire detail des tableaux pour les unités et les sorts qui avaient un décalage dans les calculs suite au ajout des derniers niveau qui n'étaient pas pris en compte</t>
  </si>
  <si>
    <t>V4.13,09</t>
  </si>
  <si>
    <t>Traps</t>
  </si>
  <si>
    <t>Costs - Traps</t>
  </si>
  <si>
    <t>-Sednanref-
Ajout coût de formation pour :
- Sort de saut 3
- Sort de gel 5
- Guerrier 7
- Archer 7
- Gobelin 6
- Lava Hound 1/2/3
+ Mise à jour suite Update du 11/12/2014</t>
  </si>
  <si>
    <t>V4.16.00</t>
  </si>
  <si>
    <t>V4.15.00</t>
  </si>
  <si>
    <t>-Sednanref-
Ajout de piège à ressort et tête chercheuse dans les onglets A Faire - Recap et A Faire - Détails</t>
  </si>
  <si>
    <t>LVL Spell Factory</t>
  </si>
  <si>
    <t>LVL Laboratory</t>
  </si>
  <si>
    <t>LVL Barrack</t>
  </si>
  <si>
    <t>LVL Dark Barrack</t>
  </si>
  <si>
    <t>Propulseur d'air</t>
  </si>
  <si>
    <t>LVL Max62</t>
  </si>
  <si>
    <t>Propulsion d'air</t>
  </si>
  <si>
    <t>LVL Max6.</t>
  </si>
  <si>
    <t>Mise en place du souffleur d'air</t>
  </si>
  <si>
    <t>Air Sweeper</t>
  </si>
  <si>
    <t>V4.17.00</t>
  </si>
  <si>
    <t>V4.17.03</t>
  </si>
  <si>
    <t>Bonus</t>
  </si>
  <si>
    <t>Oui</t>
  </si>
  <si>
    <t>-Souris verte :
update formule sheet "To do…"
Change production Dark Elixir
Use trophee in gains on sheet "Troops Training"</t>
  </si>
  <si>
    <t>Français</t>
  </si>
  <si>
    <t>Capacité Totale</t>
  </si>
  <si>
    <t>Max. total atteint - Camp Militaire - Sorts</t>
  </si>
  <si>
    <t>Amélioration indisponible</t>
  </si>
  <si>
    <t>http://www.fichier-xls.fr/2015/05/22/coc-calcultator-v4-17-03-vierge/</t>
  </si>
  <si>
    <t>-Souris verte :
Modification formule feuilles "A faire…"
Correction production Elixir noir
Utilisation des trophées dans le calcul des gains dans la feuille "Formation des troupes"
Modification "Planning" pour prise en charge expulseur d'air
Simplification de la mise en forme conditionnelle feuille "paramètres"
Création d'une feuille "Rentabilité"</t>
  </si>
  <si>
    <t>Mur</t>
  </si>
  <si>
    <t>V4.17.04</t>
  </si>
  <si>
    <t xml:space="preserve">-Souris verte :
Ajout de possibilité d'afficher le récapitulatif sans les remparts.
Ajout de possibilité d'afficher le récapitulatif sans l'hotel de ville.
</t>
  </si>
  <si>
    <t>HDV</t>
  </si>
  <si>
    <t>http://www.fichier-xls.fr/2015/05/30/coc-calcultator-v4-17-04-vierge/</t>
  </si>
  <si>
    <t>12 heures</t>
  </si>
  <si>
    <t>V4.17.05</t>
  </si>
  <si>
    <t>-Souris verte :
Ajout de possibilité d'afficher le récapitulatif sans leshéros.
Corrections mineure de formule.</t>
  </si>
  <si>
    <t>http://www.fichier-xls.fr/2015/06/05/coc-calcultator-v4-17-05-vierge/</t>
  </si>
  <si>
    <t>Coûts - Pièges Défensifs</t>
  </si>
  <si>
    <t>-Souris verte :
Prise en compte de l'Elixir Noir
Simplification de la formule concernant la période</t>
  </si>
  <si>
    <t>V4.17.06</t>
  </si>
  <si>
    <t>Améliorations Troupes/Sorts :</t>
  </si>
  <si>
    <t>Coûts - Multijoueur</t>
  </si>
  <si>
    <t>Costs - Multiplayer</t>
  </si>
  <si>
    <t>Coût en or</t>
  </si>
  <si>
    <t>-Souris verte :
Prise en compte du cout de la recherche d'adversaire en attaque multijoueur.</t>
  </si>
  <si>
    <t>V4.17.07</t>
  </si>
  <si>
    <t>Valeur</t>
  </si>
  <si>
    <t>Valeurs - Bâtiments de Ressources</t>
  </si>
  <si>
    <t>Valeurs - Bâtiments d'Armée</t>
  </si>
  <si>
    <t>Valeurs - Bâtiments de Défense</t>
  </si>
  <si>
    <t>Valeurs - Pièges Défensifs</t>
  </si>
  <si>
    <t>Valeurs - Bâtiments Autres</t>
  </si>
  <si>
    <t>Valeurs - Héros</t>
  </si>
  <si>
    <t>Values - Other Buildings</t>
  </si>
  <si>
    <t>Values - Army Buildings</t>
  </si>
  <si>
    <t>Values - Defensive Buildings</t>
  </si>
  <si>
    <t>Values - Resource Buildings</t>
  </si>
  <si>
    <t>Values - Heroes</t>
  </si>
  <si>
    <t>Valeurs - Sorts</t>
  </si>
  <si>
    <t>Values - Spells</t>
  </si>
  <si>
    <t>Values - Normal Troops</t>
  </si>
  <si>
    <t>Valeurs - Troupes Noires</t>
  </si>
  <si>
    <t>Valeurs - Troupes Normales</t>
  </si>
  <si>
    <t>Values - Dark Troops</t>
  </si>
  <si>
    <t>Values - Traps</t>
  </si>
  <si>
    <t>Rang</t>
  </si>
  <si>
    <t>Valeur du Village</t>
  </si>
  <si>
    <t>Town Value</t>
  </si>
  <si>
    <t>V4.17.08</t>
  </si>
  <si>
    <t>-Souris verte
Correction de qq formules (Merci Coxwen, franck51, Leynae et krashs)
Création d'une nouvelle feuille pour la valeur du village (Proto suite au post de Extrapidou)</t>
  </si>
  <si>
    <t>Usine de Sorts Noirs</t>
  </si>
  <si>
    <t xml:space="preserve">  Dark Spell Factory</t>
  </si>
  <si>
    <t>LVL  Dark Spell Factory</t>
  </si>
  <si>
    <t>Améliorations de Sorts Noirs (Changements)</t>
  </si>
  <si>
    <t>Améliorations de Sorts Noirs (Disponibles et LVL Max)</t>
  </si>
  <si>
    <t>Sort de Poison</t>
  </si>
  <si>
    <t>Sort de Hâte</t>
  </si>
  <si>
    <t>Coûts - Améliorations de Sorts Noirs</t>
  </si>
  <si>
    <t>Améliorations de Sorts Noirs</t>
  </si>
  <si>
    <t>Coûts - Formation de Sorts</t>
  </si>
  <si>
    <t>LVL Usine de Sorts Noirs</t>
  </si>
  <si>
    <t>V5</t>
  </si>
  <si>
    <t>-Souris verte
Evolution sur à la mise à jour du 01/07/15.Reste l'onget traduction
quelques formules a la marge…</t>
  </si>
  <si>
    <t>NB Caserne</t>
  </si>
  <si>
    <t>NB Caserne Noire</t>
  </si>
  <si>
    <t>NB Barracks</t>
  </si>
  <si>
    <t>NB Dark Barracks</t>
  </si>
  <si>
    <t>Sort de Séisme</t>
  </si>
  <si>
    <t>Poison Spell</t>
  </si>
  <si>
    <t>Earthquake Spell</t>
  </si>
  <si>
    <t>Haste Spell</t>
  </si>
  <si>
    <t>V5.01</t>
  </si>
  <si>
    <t>-Souris verte
Evolution sur à la mise à jour de septembre.
25 remparts en plus, sort de foudre 7.
Mise a jours des coûts de sorts et developpements.</t>
  </si>
  <si>
    <t>http://www.fichier-xls.fr/2015/09/19/coc-calcultator-v5.01-vierge/</t>
  </si>
  <si>
    <t>Valeurs - Sorts Noirs</t>
  </si>
  <si>
    <t>V5.02</t>
  </si>
  <si>
    <t>-Souris verte
Correction de bugs divers…</t>
  </si>
  <si>
    <t>http://www.fichier-xls.fr/2015/10/22/coc-calcultator-v5.02-vierge/</t>
  </si>
  <si>
    <t>V5.03</t>
  </si>
  <si>
    <t>-Souris verte
Correction de bugs divers…
Merci, choumex et e1ff3l.</t>
  </si>
  <si>
    <t>http://www.fichier-xls.fr/2015/11/14/coc-calcultator-v5-03-vierge/</t>
  </si>
  <si>
    <t>Camps Militaires</t>
  </si>
  <si>
    <t>V5.04</t>
  </si>
  <si>
    <t>-Souris verte
Correction de bugs divers…
Modification dans l'onglet Planning
Merci, e1ff3l.</t>
  </si>
  <si>
    <t>http://www.fichier-xls.fr/2015/12/04/coc-calcultator-v5-04-vierge/</t>
  </si>
  <si>
    <t>Non</t>
  </si>
  <si>
    <t>LVL Max11</t>
  </si>
  <si>
    <t>Grand Gardien</t>
  </si>
  <si>
    <t>OR</t>
  </si>
  <si>
    <t>Elixir rose</t>
  </si>
  <si>
    <t>Elixir noir</t>
  </si>
  <si>
    <t>Hotel de ville</t>
  </si>
  <si>
    <t>V6.01</t>
  </si>
  <si>
    <t>Grand Warden</t>
  </si>
  <si>
    <t>Defense Aigle</t>
  </si>
  <si>
    <t>Aigle Artilleur</t>
  </si>
  <si>
    <t>http://www.fichier-xls.fr/2015/12/12/coc-calcultator-v6-01-vierge/</t>
  </si>
  <si>
    <t>-Souris verte
Grosse MAJ: HDV11, nouveau batiment et nouveau hero</t>
  </si>
</sst>
</file>

<file path=xl/styles.xml><?xml version="1.0" encoding="utf-8"?>
<styleSheet xmlns="http://schemas.openxmlformats.org/spreadsheetml/2006/main">
  <numFmts count="17">
    <numFmt numFmtId="43" formatCode="_-* #,##0.00\ _€_-;\-* #,##0.00\ _€_-;_-* &quot;-&quot;??\ _€_-;_-@_-"/>
    <numFmt numFmtId="164" formatCode="&quot;TH LVL &quot;0"/>
    <numFmt numFmtId="165" formatCode="&quot;+&quot;0"/>
    <numFmt numFmtId="166" formatCode="&quot;x&quot;0"/>
    <numFmt numFmtId="167" formatCode="0.00&quot; hrs&quot;"/>
    <numFmt numFmtId="168" formatCode="&quot;Total Gold: &quot;#,#00"/>
    <numFmt numFmtId="169" formatCode="&quot;Total Elixir: &quot;#,#00"/>
    <numFmt numFmtId="170" formatCode="&quot;Total Dark Elixir: &quot;#,#00"/>
    <numFmt numFmtId="171" formatCode="&quot;Total Time: &quot;0.00&quot; hrs&quot;"/>
    <numFmt numFmtId="172" formatCode="&quot;Buildings: &quot;0.00&quot; hrs&quot;"/>
    <numFmt numFmtId="173" formatCode="&quot;Troups/Spells Up.: &quot;0.00&quot; hrs&quot;"/>
    <numFmt numFmtId="174" formatCode="&quot;Heroes: &quot;0.00&quot; hrs&quot;"/>
    <numFmt numFmtId="175" formatCode="d&quot; jours &quot;\ h:mm:ss\ "/>
    <numFmt numFmtId="176" formatCode="dd\-hh\-mm\-ss"/>
    <numFmt numFmtId="177" formatCode="dd/mm&quot;-&quot;hh"/>
    <numFmt numFmtId="178" formatCode="0.000"/>
    <numFmt numFmtId="179" formatCode="dd/mm\-hh:mm"/>
  </numFmts>
  <fonts count="49">
    <font>
      <sz val="11"/>
      <color theme="1"/>
      <name val="Calibri"/>
      <family val="2"/>
      <scheme val="minor"/>
    </font>
    <font>
      <b/>
      <sz val="10"/>
      <color theme="0"/>
      <name val="Calibri"/>
      <family val="2"/>
      <scheme val="minor"/>
    </font>
    <font>
      <b/>
      <sz val="14"/>
      <color theme="0"/>
      <name val="Calibri"/>
      <family val="2"/>
      <scheme val="minor"/>
    </font>
    <font>
      <b/>
      <sz val="8"/>
      <color theme="0"/>
      <name val="Calibri"/>
      <family val="2"/>
      <scheme val="minor"/>
    </font>
    <font>
      <sz val="8"/>
      <name val="Calibri"/>
      <family val="2"/>
      <scheme val="minor"/>
    </font>
    <font>
      <b/>
      <sz val="8"/>
      <color rgb="FFC00000"/>
      <name val="Calibri"/>
      <family val="2"/>
      <scheme val="minor"/>
    </font>
    <font>
      <sz val="8"/>
      <color theme="1"/>
      <name val="Calibri"/>
      <family val="2"/>
      <scheme val="minor"/>
    </font>
    <font>
      <sz val="8"/>
      <color theme="0"/>
      <name val="Calibri"/>
      <family val="2"/>
      <scheme val="minor"/>
    </font>
    <font>
      <b/>
      <sz val="11"/>
      <color theme="0"/>
      <name val="Calibri"/>
      <family val="2"/>
      <scheme val="minor"/>
    </font>
    <font>
      <sz val="11"/>
      <name val="Calibri"/>
      <family val="2"/>
      <scheme val="minor"/>
    </font>
    <font>
      <b/>
      <sz val="8"/>
      <color theme="0"/>
      <name val="Calibri"/>
      <family val="2"/>
      <scheme val="minor"/>
    </font>
    <font>
      <sz val="8"/>
      <color theme="1"/>
      <name val="Calibri"/>
      <family val="2"/>
      <scheme val="minor"/>
    </font>
    <font>
      <b/>
      <sz val="12"/>
      <color theme="0"/>
      <name val="Calibri"/>
      <family val="2"/>
      <scheme val="minor"/>
    </font>
    <font>
      <b/>
      <sz val="8"/>
      <color theme="1"/>
      <name val="Calibri"/>
      <family val="2"/>
      <scheme val="minor"/>
    </font>
    <font>
      <sz val="11"/>
      <color theme="0"/>
      <name val="Calibri"/>
      <family val="2"/>
      <scheme val="minor"/>
    </font>
    <font>
      <b/>
      <sz val="8"/>
      <name val="Calibri"/>
      <family val="2"/>
      <scheme val="minor"/>
    </font>
    <font>
      <b/>
      <sz val="10"/>
      <name val="Calibri"/>
      <family val="2"/>
      <scheme val="minor"/>
    </font>
    <font>
      <b/>
      <sz val="10"/>
      <color theme="1"/>
      <name val="Calibri"/>
      <family val="2"/>
      <scheme val="minor"/>
    </font>
    <font>
      <b/>
      <sz val="42"/>
      <color theme="7"/>
      <name val="Cambria"/>
      <family val="2"/>
      <scheme val="major"/>
    </font>
    <font>
      <sz val="11"/>
      <color theme="1" tint="0.24994659260841701"/>
      <name val="Cambria"/>
      <family val="2"/>
      <scheme val="maj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sz val="10"/>
      <color theme="0"/>
      <name val="Calibri"/>
      <family val="2"/>
      <scheme val="minor"/>
    </font>
    <font>
      <b/>
      <sz val="9"/>
      <color theme="0"/>
      <name val="Calibri"/>
      <family val="2"/>
      <scheme val="minor"/>
    </font>
    <font>
      <b/>
      <sz val="11"/>
      <color theme="1"/>
      <name val="Calibri"/>
      <family val="2"/>
      <scheme val="minor"/>
    </font>
    <font>
      <b/>
      <sz val="9"/>
      <color theme="1"/>
      <name val="Calibri"/>
      <family val="2"/>
      <scheme val="minor"/>
    </font>
    <font>
      <i/>
      <sz val="8"/>
      <color theme="1"/>
      <name val="Calibri"/>
      <family val="2"/>
      <scheme val="minor"/>
    </font>
    <font>
      <sz val="9"/>
      <color theme="1"/>
      <name val="Calibri"/>
      <family val="2"/>
      <scheme val="minor"/>
    </font>
    <font>
      <b/>
      <sz val="16"/>
      <color theme="0"/>
      <name val="Calibri"/>
      <family val="2"/>
      <scheme val="minor"/>
    </font>
    <font>
      <b/>
      <sz val="9"/>
      <name val="Calibri"/>
      <family val="2"/>
      <scheme val="minor"/>
    </font>
    <font>
      <sz val="6"/>
      <color theme="0"/>
      <name val="Calibri"/>
      <family val="2"/>
      <scheme val="minor"/>
    </font>
    <font>
      <sz val="7"/>
      <name val="Calibri"/>
      <family val="2"/>
      <scheme val="minor"/>
    </font>
    <font>
      <sz val="7"/>
      <color theme="1"/>
      <name val="Calibri"/>
      <family val="2"/>
      <scheme val="minor"/>
    </font>
    <font>
      <b/>
      <i/>
      <sz val="8"/>
      <color theme="1"/>
      <name val="Calibri"/>
      <family val="2"/>
      <scheme val="minor"/>
    </font>
    <font>
      <sz val="8"/>
      <color rgb="FFFF0000"/>
      <name val="Calibri"/>
      <family val="2"/>
      <scheme val="minor"/>
    </font>
    <font>
      <sz val="8"/>
      <color theme="0"/>
      <name val="Times New Roman"/>
      <family val="1"/>
    </font>
    <font>
      <u/>
      <sz val="11"/>
      <color theme="10"/>
      <name val="Calibri"/>
      <family val="2"/>
    </font>
    <font>
      <sz val="12"/>
      <name val="Calibri"/>
      <family val="2"/>
      <scheme val="minor"/>
    </font>
    <font>
      <sz val="11"/>
      <color theme="0" tint="-0.14999847407452621"/>
      <name val="Calibri"/>
      <family val="2"/>
      <scheme val="minor"/>
    </font>
    <font>
      <sz val="8"/>
      <color theme="0" tint="-0.14999847407452621"/>
      <name val="Calibri"/>
      <family val="2"/>
      <scheme val="minor"/>
    </font>
    <font>
      <sz val="11"/>
      <color theme="1"/>
      <name val="Calibri"/>
      <family val="2"/>
      <scheme val="minor"/>
    </font>
    <font>
      <b/>
      <sz val="10"/>
      <color rgb="FF0000FF"/>
      <name val="Calibri"/>
      <family val="2"/>
      <scheme val="minor"/>
    </font>
    <font>
      <b/>
      <sz val="10"/>
      <color rgb="FFFF0000"/>
      <name val="Calibri"/>
      <family val="2"/>
      <scheme val="minor"/>
    </font>
    <font>
      <sz val="8"/>
      <color indexed="81"/>
      <name val="Tahoma"/>
      <family val="2"/>
    </font>
    <font>
      <sz val="10"/>
      <color rgb="FF000000"/>
      <name val="Arial"/>
      <family val="2"/>
    </font>
    <font>
      <sz val="10"/>
      <color rgb="FF3A3A3A"/>
      <name val="Helvetica"/>
      <family val="2"/>
    </font>
  </fonts>
  <fills count="36">
    <fill>
      <patternFill patternType="none"/>
    </fill>
    <fill>
      <patternFill patternType="gray125"/>
    </fill>
    <fill>
      <patternFill patternType="solid">
        <fgColor rgb="FF7030A0"/>
        <bgColor indexed="64"/>
      </patternFill>
    </fill>
    <fill>
      <patternFill patternType="solid">
        <fgColor theme="1" tint="0.14999847407452621"/>
        <bgColor indexed="64"/>
      </patternFill>
    </fill>
    <fill>
      <patternFill patternType="solid">
        <fgColor rgb="FF002060"/>
        <bgColor indexed="64"/>
      </patternFill>
    </fill>
    <fill>
      <patternFill patternType="solid">
        <fgColor theme="8" tint="0.39997558519241921"/>
        <bgColor theme="4" tint="0.59999389629810485"/>
      </patternFill>
    </fill>
    <fill>
      <patternFill patternType="solid">
        <fgColor theme="8" tint="0.39997558519241921"/>
        <bgColor theme="4" tint="0.79998168889431442"/>
      </patternFill>
    </fill>
    <fill>
      <patternFill patternType="solid">
        <fgColor theme="9" tint="0.39997558519241921"/>
        <bgColor theme="4" tint="0.59999389629810485"/>
      </patternFill>
    </fill>
    <fill>
      <patternFill patternType="solid">
        <fgColor theme="9" tint="0.39997558519241921"/>
        <bgColor theme="4" tint="0.79998168889431442"/>
      </patternFill>
    </fill>
    <fill>
      <patternFill patternType="solid">
        <fgColor theme="8" tint="0.39997558519241921"/>
        <bgColor indexed="64"/>
      </patternFill>
    </fill>
    <fill>
      <patternFill patternType="solid">
        <fgColor rgb="FFFFC000"/>
        <bgColor indexed="64"/>
      </patternFill>
    </fill>
    <fill>
      <patternFill patternType="solid">
        <fgColor theme="1"/>
        <bgColor indexed="64"/>
      </patternFill>
    </fill>
    <fill>
      <patternFill patternType="solid">
        <fgColor rgb="FF92D050"/>
        <bgColor indexed="64"/>
      </patternFill>
    </fill>
    <fill>
      <patternFill patternType="solid">
        <fgColor theme="8" tint="-0.249977111117893"/>
        <bgColor indexed="64"/>
      </patternFill>
    </fill>
    <fill>
      <patternFill patternType="solid">
        <fgColor theme="0"/>
        <bgColor indexed="64"/>
      </patternFill>
    </fill>
    <fill>
      <patternFill patternType="solid">
        <fgColor theme="0" tint="-0.249977111117893"/>
        <bgColor indexed="64"/>
      </patternFill>
    </fill>
    <fill>
      <patternFill patternType="solid">
        <fgColor theme="9" tint="0.59996337778862885"/>
        <bgColor indexed="64"/>
      </patternFill>
    </fill>
    <fill>
      <patternFill patternType="solid">
        <fgColor rgb="FFFF0000"/>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rgb="FFFFFF00"/>
        <bgColor indexed="64"/>
      </patternFill>
    </fill>
    <fill>
      <patternFill patternType="solid">
        <fgColor rgb="FFA41EB2"/>
        <bgColor indexed="64"/>
      </patternFill>
    </fill>
    <fill>
      <gradientFill degree="90">
        <stop position="0">
          <color rgb="FFA41EB2"/>
        </stop>
        <stop position="1">
          <color rgb="FFFFC000"/>
        </stop>
      </gradientFill>
    </fill>
    <fill>
      <patternFill patternType="solid">
        <fgColor rgb="FF00B050"/>
        <bgColor indexed="64"/>
      </patternFill>
    </fill>
    <fill>
      <patternFill patternType="lightUp">
        <fgColor rgb="FF0070C0"/>
      </patternFill>
    </fill>
    <fill>
      <patternFill patternType="lightUp">
        <fgColor rgb="FF0070C0"/>
        <bgColor rgb="FFFF9F9F"/>
      </patternFill>
    </fill>
    <fill>
      <patternFill patternType="lightGray">
        <fgColor rgb="FFFF0000"/>
        <bgColor auto="1"/>
      </patternFill>
    </fill>
    <fill>
      <patternFill patternType="solid">
        <fgColor rgb="FF009682"/>
        <bgColor indexed="64"/>
      </patternFill>
    </fill>
    <fill>
      <patternFill patternType="solid">
        <fgColor rgb="FF00B0F0"/>
        <bgColor indexed="64"/>
      </patternFill>
    </fill>
    <fill>
      <gradientFill degree="90">
        <stop position="0">
          <color rgb="FFFFC000"/>
        </stop>
        <stop position="1">
          <color rgb="FFA41EB2"/>
        </stop>
      </gradientFill>
    </fill>
    <fill>
      <patternFill patternType="solid">
        <fgColor theme="0" tint="-0.34998626667073579"/>
        <bgColor indexed="64"/>
      </patternFill>
    </fill>
    <fill>
      <patternFill patternType="solid">
        <fgColor rgb="FFC00000"/>
        <bgColor indexed="64"/>
      </patternFill>
    </fill>
    <fill>
      <patternFill patternType="solid">
        <fgColor theme="9" tint="0.59999389629810485"/>
        <bgColor indexed="64"/>
      </patternFill>
    </fill>
  </fills>
  <borders count="17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medium">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theme="9" tint="-0.24994659260841701"/>
      </top>
      <bottom style="thin">
        <color theme="9" tint="-0.24994659260841701"/>
      </bottom>
      <diagonal/>
    </border>
    <border>
      <left/>
      <right/>
      <top/>
      <bottom style="thin">
        <color theme="7"/>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indexed="64"/>
      </right>
      <top style="thin">
        <color theme="0"/>
      </top>
      <bottom style="thin">
        <color indexed="64"/>
      </bottom>
      <diagonal/>
    </border>
    <border>
      <left style="thin">
        <color theme="0"/>
      </left>
      <right style="thin">
        <color indexed="64"/>
      </right>
      <top style="thin">
        <color theme="0"/>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ck">
        <color rgb="FFC00000"/>
      </left>
      <right style="thick">
        <color rgb="FFC00000"/>
      </right>
      <top style="thick">
        <color rgb="FFC00000"/>
      </top>
      <bottom style="thick">
        <color rgb="FFC00000"/>
      </bottom>
      <diagonal/>
    </border>
    <border>
      <left style="thick">
        <color rgb="FFC00000"/>
      </left>
      <right style="thin">
        <color indexed="64"/>
      </right>
      <top style="thick">
        <color rgb="FFC00000"/>
      </top>
      <bottom style="thin">
        <color indexed="64"/>
      </bottom>
      <diagonal/>
    </border>
    <border>
      <left style="thin">
        <color indexed="64"/>
      </left>
      <right style="thick">
        <color rgb="FFC00000"/>
      </right>
      <top style="thick">
        <color rgb="FFC00000"/>
      </top>
      <bottom style="thin">
        <color indexed="64"/>
      </bottom>
      <diagonal/>
    </border>
    <border>
      <left style="thick">
        <color rgb="FFC00000"/>
      </left>
      <right style="thin">
        <color indexed="64"/>
      </right>
      <top style="thin">
        <color indexed="64"/>
      </top>
      <bottom style="thin">
        <color indexed="64"/>
      </bottom>
      <diagonal/>
    </border>
    <border>
      <left style="thin">
        <color indexed="64"/>
      </left>
      <right style="thick">
        <color rgb="FFC00000"/>
      </right>
      <top style="thin">
        <color indexed="64"/>
      </top>
      <bottom style="thin">
        <color indexed="64"/>
      </bottom>
      <diagonal/>
    </border>
    <border>
      <left style="thick">
        <color rgb="FFC00000"/>
      </left>
      <right style="thin">
        <color indexed="64"/>
      </right>
      <top style="thin">
        <color indexed="64"/>
      </top>
      <bottom style="thick">
        <color rgb="FFC00000"/>
      </bottom>
      <diagonal/>
    </border>
    <border>
      <left style="thin">
        <color indexed="64"/>
      </left>
      <right style="thick">
        <color rgb="FFC00000"/>
      </right>
      <top style="thin">
        <color indexed="64"/>
      </top>
      <bottom style="thick">
        <color rgb="FFC00000"/>
      </bottom>
      <diagonal/>
    </border>
    <border>
      <left style="thin">
        <color indexed="64"/>
      </left>
      <right style="thin">
        <color indexed="64"/>
      </right>
      <top style="thick">
        <color rgb="FFC00000"/>
      </top>
      <bottom style="thin">
        <color indexed="64"/>
      </bottom>
      <diagonal/>
    </border>
    <border>
      <left style="thin">
        <color indexed="64"/>
      </left>
      <right style="thin">
        <color indexed="64"/>
      </right>
      <top style="thin">
        <color indexed="64"/>
      </top>
      <bottom style="thick">
        <color rgb="FFC00000"/>
      </bottom>
      <diagonal/>
    </border>
    <border>
      <left style="thick">
        <color rgb="FFC00000"/>
      </left>
      <right style="thin">
        <color indexed="64"/>
      </right>
      <top style="thick">
        <color rgb="FFC00000"/>
      </top>
      <bottom style="thick">
        <color rgb="FFC00000"/>
      </bottom>
      <diagonal/>
    </border>
    <border>
      <left style="thin">
        <color indexed="64"/>
      </left>
      <right style="thick">
        <color rgb="FFC00000"/>
      </right>
      <top style="thick">
        <color rgb="FFC00000"/>
      </top>
      <bottom style="thick">
        <color rgb="FFC00000"/>
      </bottom>
      <diagonal/>
    </border>
    <border>
      <left style="thick">
        <color rgb="FFC00000"/>
      </left>
      <right style="thick">
        <color rgb="FFC00000"/>
      </right>
      <top style="thick">
        <color rgb="FFC00000"/>
      </top>
      <bottom style="thin">
        <color indexed="64"/>
      </bottom>
      <diagonal/>
    </border>
    <border>
      <left style="thick">
        <color rgb="FFC00000"/>
      </left>
      <right style="thick">
        <color rgb="FFC00000"/>
      </right>
      <top style="thin">
        <color indexed="64"/>
      </top>
      <bottom style="thin">
        <color indexed="64"/>
      </bottom>
      <diagonal/>
    </border>
    <border>
      <left style="thick">
        <color rgb="FFC00000"/>
      </left>
      <right style="thick">
        <color rgb="FFC00000"/>
      </right>
      <top style="thin">
        <color indexed="64"/>
      </top>
      <bottom style="thick">
        <color rgb="FFC00000"/>
      </bottom>
      <diagonal/>
    </border>
    <border>
      <left/>
      <right style="thick">
        <color rgb="FFC00000"/>
      </right>
      <top style="thick">
        <color rgb="FFC00000"/>
      </top>
      <bottom style="thin">
        <color indexed="64"/>
      </bottom>
      <diagonal/>
    </border>
    <border>
      <left style="thin">
        <color indexed="64"/>
      </left>
      <right style="thin">
        <color indexed="64"/>
      </right>
      <top style="thick">
        <color rgb="FFC00000"/>
      </top>
      <bottom style="thick">
        <color rgb="FFC00000"/>
      </bottom>
      <diagonal/>
    </border>
    <border>
      <left style="medium">
        <color indexed="64"/>
      </left>
      <right/>
      <top style="medium">
        <color indexed="64"/>
      </top>
      <bottom style="thick">
        <color rgb="FFC00000"/>
      </bottom>
      <diagonal/>
    </border>
    <border>
      <left/>
      <right style="medium">
        <color indexed="64"/>
      </right>
      <top style="medium">
        <color indexed="64"/>
      </top>
      <bottom style="thick">
        <color rgb="FFC00000"/>
      </bottom>
      <diagonal/>
    </border>
    <border>
      <left/>
      <right style="medium">
        <color indexed="64"/>
      </right>
      <top style="medium">
        <color indexed="64"/>
      </top>
      <bottom style="thin">
        <color indexed="64"/>
      </bottom>
      <diagonal/>
    </border>
    <border>
      <left style="thick">
        <color rgb="FFC00000"/>
      </left>
      <right/>
      <top style="thick">
        <color rgb="FFC00000"/>
      </top>
      <bottom style="thick">
        <color rgb="FFC00000"/>
      </bottom>
      <diagonal/>
    </border>
    <border>
      <left/>
      <right style="thick">
        <color rgb="FFC00000"/>
      </right>
      <top style="thick">
        <color rgb="FFC00000"/>
      </top>
      <bottom style="thick">
        <color rgb="FFC00000"/>
      </bottom>
      <diagonal/>
    </border>
    <border>
      <left style="thick">
        <color rgb="FFC00000"/>
      </left>
      <right/>
      <top style="thick">
        <color rgb="FFC00000"/>
      </top>
      <bottom style="thin">
        <color indexed="64"/>
      </bottom>
      <diagonal/>
    </border>
    <border>
      <left style="thick">
        <color rgb="FFC00000"/>
      </left>
      <right/>
      <top style="thin">
        <color indexed="64"/>
      </top>
      <bottom style="thin">
        <color indexed="64"/>
      </bottom>
      <diagonal/>
    </border>
    <border>
      <left/>
      <right style="thick">
        <color rgb="FFC00000"/>
      </right>
      <top style="thin">
        <color indexed="64"/>
      </top>
      <bottom style="thin">
        <color indexed="64"/>
      </bottom>
      <diagonal/>
    </border>
    <border>
      <left/>
      <right/>
      <top style="thin">
        <color rgb="FF007864"/>
      </top>
      <bottom style="thin">
        <color rgb="FF007864"/>
      </bottom>
      <diagonal/>
    </border>
    <border>
      <left style="medium">
        <color indexed="64"/>
      </left>
      <right/>
      <top style="thin">
        <color rgb="FFFF3399"/>
      </top>
      <bottom style="thin">
        <color rgb="FFFF3399"/>
      </bottom>
      <diagonal/>
    </border>
    <border>
      <left style="medium">
        <color indexed="64"/>
      </left>
      <right/>
      <top style="medium">
        <color indexed="64"/>
      </top>
      <bottom style="thin">
        <color rgb="FF002060"/>
      </bottom>
      <diagonal/>
    </border>
    <border>
      <left/>
      <right/>
      <top style="medium">
        <color indexed="64"/>
      </top>
      <bottom style="thin">
        <color rgb="FF008C3C"/>
      </bottom>
      <diagonal/>
    </border>
    <border>
      <left style="medium">
        <color indexed="64"/>
      </left>
      <right/>
      <top style="thin">
        <color rgb="FFFF0000"/>
      </top>
      <bottom style="thin">
        <color rgb="FFFF0000"/>
      </bottom>
      <diagonal/>
    </border>
    <border>
      <left style="thin">
        <color indexed="64"/>
      </left>
      <right style="medium">
        <color indexed="64"/>
      </right>
      <top style="thin">
        <color theme="0"/>
      </top>
      <bottom style="thin">
        <color indexed="64"/>
      </bottom>
      <diagonal/>
    </border>
    <border>
      <left style="thin">
        <color theme="0"/>
      </left>
      <right style="thin">
        <color indexed="64"/>
      </right>
      <top style="thin">
        <color theme="0"/>
      </top>
      <bottom/>
      <diagonal/>
    </border>
    <border>
      <left style="thin">
        <color indexed="64"/>
      </left>
      <right style="medium">
        <color indexed="64"/>
      </right>
      <top style="thin">
        <color theme="0"/>
      </top>
      <bottom/>
      <diagonal/>
    </border>
    <border>
      <left style="medium">
        <color rgb="FFC00000"/>
      </left>
      <right style="medium">
        <color rgb="FFC00000"/>
      </right>
      <top style="medium">
        <color rgb="FFC00000"/>
      </top>
      <bottom style="thin">
        <color indexed="64"/>
      </bottom>
      <diagonal/>
    </border>
    <border>
      <left style="medium">
        <color rgb="FFC00000"/>
      </left>
      <right style="medium">
        <color rgb="FFC00000"/>
      </right>
      <top style="thin">
        <color indexed="64"/>
      </top>
      <bottom style="thin">
        <color indexed="64"/>
      </bottom>
      <diagonal/>
    </border>
    <border>
      <left style="medium">
        <color rgb="FFC00000"/>
      </left>
      <right style="medium">
        <color rgb="FFC00000"/>
      </right>
      <top style="thin">
        <color indexed="64"/>
      </top>
      <bottom style="medium">
        <color rgb="FFC00000"/>
      </bottom>
      <diagonal/>
    </border>
    <border>
      <left style="thick">
        <color rgb="FFC00000"/>
      </left>
      <right style="thick">
        <color rgb="FFC00000"/>
      </right>
      <top style="thick">
        <color rgb="FFC00000"/>
      </top>
      <bottom/>
      <diagonal/>
    </border>
    <border>
      <left style="medium">
        <color rgb="FFFF0000"/>
      </left>
      <right style="thin">
        <color indexed="64"/>
      </right>
      <top style="medium">
        <color rgb="FFFF0000"/>
      </top>
      <bottom style="thin">
        <color auto="1"/>
      </bottom>
      <diagonal/>
    </border>
    <border>
      <left style="thin">
        <color indexed="64"/>
      </left>
      <right style="thin">
        <color indexed="64"/>
      </right>
      <top style="medium">
        <color rgb="FFFF0000"/>
      </top>
      <bottom style="thin">
        <color auto="1"/>
      </bottom>
      <diagonal/>
    </border>
    <border>
      <left style="thin">
        <color indexed="64"/>
      </left>
      <right style="medium">
        <color rgb="FFFF0000"/>
      </right>
      <top style="medium">
        <color rgb="FFFF0000"/>
      </top>
      <bottom style="thin">
        <color auto="1"/>
      </bottom>
      <diagonal/>
    </border>
    <border>
      <left style="thick">
        <color rgb="FFC00000"/>
      </left>
      <right/>
      <top style="thin">
        <color indexed="64"/>
      </top>
      <bottom style="medium">
        <color indexed="64"/>
      </bottom>
      <diagonal/>
    </border>
    <border>
      <left/>
      <right/>
      <top style="medium">
        <color indexed="64"/>
      </top>
      <bottom style="thick">
        <color rgb="FFC00000"/>
      </bottom>
      <diagonal/>
    </border>
    <border>
      <left style="medium">
        <color rgb="FFFF0000"/>
      </left>
      <right style="medium">
        <color rgb="FFFF0000"/>
      </right>
      <top style="medium">
        <color rgb="FFFF0000"/>
      </top>
      <bottom style="medium">
        <color rgb="FFFF0000"/>
      </bottom>
      <diagonal/>
    </border>
    <border>
      <left style="medium">
        <color rgb="FFFF0000"/>
      </left>
      <right style="thin">
        <color indexed="64"/>
      </right>
      <top style="thin">
        <color auto="1"/>
      </top>
      <bottom/>
      <diagonal/>
    </border>
    <border>
      <left style="thin">
        <color indexed="64"/>
      </left>
      <right style="medium">
        <color rgb="FFFF0000"/>
      </right>
      <top style="thin">
        <color auto="1"/>
      </top>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thin">
        <color indexed="64"/>
      </right>
      <top style="thin">
        <color indexed="64"/>
      </top>
      <bottom style="thin">
        <color indexed="64"/>
      </bottom>
      <diagonal/>
    </border>
    <border>
      <left style="thin">
        <color indexed="64"/>
      </left>
      <right style="medium">
        <color rgb="FFFF0000"/>
      </right>
      <top style="thin">
        <color indexed="64"/>
      </top>
      <bottom style="thin">
        <color indexed="64"/>
      </bottom>
      <diagonal/>
    </border>
    <border>
      <left style="medium">
        <color rgb="FFFF0000"/>
      </left>
      <right/>
      <top style="thin">
        <color indexed="64"/>
      </top>
      <bottom style="thin">
        <color indexed="64"/>
      </bottom>
      <diagonal/>
    </border>
    <border>
      <left style="medium">
        <color rgb="FFFF0000"/>
      </left>
      <right/>
      <top style="thin">
        <color indexed="64"/>
      </top>
      <bottom/>
      <diagonal/>
    </border>
    <border>
      <left style="medium">
        <color rgb="FFFF0000"/>
      </left>
      <right style="thin">
        <color indexed="64"/>
      </right>
      <top/>
      <bottom style="medium">
        <color rgb="FFFF0000"/>
      </bottom>
      <diagonal/>
    </border>
    <border>
      <left style="thin">
        <color indexed="64"/>
      </left>
      <right style="thin">
        <color indexed="64"/>
      </right>
      <top/>
      <bottom style="medium">
        <color rgb="FFFF0000"/>
      </bottom>
      <diagonal/>
    </border>
    <border>
      <left style="thin">
        <color indexed="64"/>
      </left>
      <right style="medium">
        <color rgb="FFFF0000"/>
      </right>
      <top/>
      <bottom style="medium">
        <color rgb="FFFF0000"/>
      </bottom>
      <diagonal/>
    </border>
    <border>
      <left style="thick">
        <color rgb="FFC00000"/>
      </left>
      <right/>
      <top style="thin">
        <color indexed="64"/>
      </top>
      <bottom style="thick">
        <color rgb="FFC00000"/>
      </bottom>
      <diagonal/>
    </border>
    <border>
      <left/>
      <right style="thick">
        <color rgb="FFC00000"/>
      </right>
      <top style="thin">
        <color indexed="64"/>
      </top>
      <bottom style="thick">
        <color rgb="FFC00000"/>
      </bottom>
      <diagonal/>
    </border>
    <border>
      <left style="thick">
        <color rgb="FFC00000"/>
      </left>
      <right/>
      <top style="thick">
        <color auto="1"/>
      </top>
      <bottom/>
      <diagonal/>
    </border>
    <border>
      <left/>
      <right style="thick">
        <color auto="1"/>
      </right>
      <top style="thin">
        <color indexed="64"/>
      </top>
      <bottom style="thin">
        <color indexed="64"/>
      </bottom>
      <diagonal/>
    </border>
    <border>
      <left/>
      <right style="thick">
        <color auto="1"/>
      </right>
      <top style="thin">
        <color indexed="64"/>
      </top>
      <bottom style="medium">
        <color indexed="64"/>
      </bottom>
      <diagonal/>
    </border>
    <border>
      <left/>
      <right style="thick">
        <color auto="1"/>
      </right>
      <top/>
      <bottom/>
      <diagonal/>
    </border>
    <border>
      <left style="thin">
        <color rgb="FFC00000"/>
      </left>
      <right style="thin">
        <color rgb="FFC00000"/>
      </right>
      <top style="thick">
        <color rgb="FFC00000"/>
      </top>
      <bottom style="thick">
        <color rgb="FFC00000"/>
      </bottom>
      <diagonal/>
    </border>
    <border>
      <left style="thin">
        <color rgb="FFC00000"/>
      </left>
      <right style="thick">
        <color rgb="FFC00000"/>
      </right>
      <top style="thick">
        <color rgb="FFC00000"/>
      </top>
      <bottom style="thick">
        <color rgb="FFC00000"/>
      </bottom>
      <diagonal/>
    </border>
    <border>
      <left/>
      <right style="thin">
        <color rgb="FFC00000"/>
      </right>
      <top style="thick">
        <color rgb="FFC00000"/>
      </top>
      <bottom style="thick">
        <color rgb="FFC00000"/>
      </bottom>
      <diagonal/>
    </border>
    <border>
      <left style="medium">
        <color rgb="FFFF0000"/>
      </left>
      <right/>
      <top style="medium">
        <color rgb="FFFF0000"/>
      </top>
      <bottom style="thin">
        <color auto="1"/>
      </bottom>
      <diagonal/>
    </border>
    <border>
      <left/>
      <right/>
      <top style="medium">
        <color rgb="FFFF0000"/>
      </top>
      <bottom style="thin">
        <color auto="1"/>
      </bottom>
      <diagonal/>
    </border>
    <border>
      <left/>
      <right style="medium">
        <color rgb="FFFF0000"/>
      </right>
      <top style="medium">
        <color rgb="FFFF0000"/>
      </top>
      <bottom style="thin">
        <color auto="1"/>
      </bottom>
      <diagonal/>
    </border>
    <border>
      <left style="medium">
        <color indexed="64"/>
      </left>
      <right style="medium">
        <color indexed="64"/>
      </right>
      <top/>
      <bottom/>
      <diagonal/>
    </border>
    <border>
      <left style="thick">
        <color rgb="FFC00000"/>
      </left>
      <right/>
      <top/>
      <bottom style="medium">
        <color indexed="64"/>
      </bottom>
      <diagonal/>
    </border>
    <border>
      <left style="thin">
        <color rgb="FFFF0000"/>
      </left>
      <right style="thin">
        <color theme="0" tint="-0.24994659260841701"/>
      </right>
      <top style="thin">
        <color rgb="FFFF0000"/>
      </top>
      <bottom style="thin">
        <color theme="0" tint="-0.24994659260841701"/>
      </bottom>
      <diagonal/>
    </border>
    <border>
      <left style="thin">
        <color theme="0" tint="-0.24994659260841701"/>
      </left>
      <right style="thin">
        <color theme="0" tint="-0.24994659260841701"/>
      </right>
      <top style="thin">
        <color rgb="FFFF0000"/>
      </top>
      <bottom style="thin">
        <color theme="0" tint="-0.24994659260841701"/>
      </bottom>
      <diagonal/>
    </border>
    <border>
      <left style="thin">
        <color theme="0" tint="-0.24994659260841701"/>
      </left>
      <right style="thin">
        <color auto="1"/>
      </right>
      <top style="thin">
        <color rgb="FFFF0000"/>
      </top>
      <bottom style="thin">
        <color theme="0" tint="-0.24994659260841701"/>
      </bottom>
      <diagonal/>
    </border>
    <border>
      <left style="thin">
        <color auto="1"/>
      </left>
      <right style="thin">
        <color theme="0" tint="-0.24994659260841701"/>
      </right>
      <top style="thin">
        <color rgb="FFFF0000"/>
      </top>
      <bottom style="thin">
        <color theme="0" tint="-0.24994659260841701"/>
      </bottom>
      <diagonal/>
    </border>
    <border>
      <left style="thin">
        <color rgb="FFFF0000"/>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auto="1"/>
      </right>
      <top style="thin">
        <color theme="0" tint="-0.24994659260841701"/>
      </top>
      <bottom style="thin">
        <color theme="0" tint="-0.24994659260841701"/>
      </bottom>
      <diagonal/>
    </border>
    <border>
      <left style="thin">
        <color auto="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rgb="FFFF0000"/>
      </right>
      <top style="thin">
        <color rgb="FFFF0000"/>
      </top>
      <bottom style="thin">
        <color theme="0" tint="-0.24994659260841701"/>
      </bottom>
      <diagonal/>
    </border>
    <border>
      <left style="thin">
        <color theme="0" tint="-0.24994659260841701"/>
      </left>
      <right style="thin">
        <color rgb="FFFF0000"/>
      </right>
      <top style="thin">
        <color theme="0" tint="-0.24994659260841701"/>
      </top>
      <bottom style="thin">
        <color theme="0" tint="-0.24994659260841701"/>
      </bottom>
      <diagonal/>
    </border>
    <border>
      <left style="thin">
        <color rgb="FFFF0000"/>
      </left>
      <right style="thin">
        <color theme="0" tint="-0.24994659260841701"/>
      </right>
      <top style="thin">
        <color theme="0" tint="-0.24994659260841701"/>
      </top>
      <bottom style="thin">
        <color rgb="FFFF0000"/>
      </bottom>
      <diagonal/>
    </border>
    <border>
      <left style="thin">
        <color theme="0" tint="-0.24994659260841701"/>
      </left>
      <right style="thin">
        <color theme="0" tint="-0.24994659260841701"/>
      </right>
      <top style="thin">
        <color theme="0" tint="-0.24994659260841701"/>
      </top>
      <bottom style="thin">
        <color rgb="FFFF0000"/>
      </bottom>
      <diagonal/>
    </border>
    <border>
      <left style="thin">
        <color theme="0" tint="-0.24994659260841701"/>
      </left>
      <right style="thin">
        <color auto="1"/>
      </right>
      <top style="thin">
        <color theme="0" tint="-0.24994659260841701"/>
      </top>
      <bottom style="thin">
        <color rgb="FFFF0000"/>
      </bottom>
      <diagonal/>
    </border>
    <border>
      <left style="thin">
        <color auto="1"/>
      </left>
      <right style="thin">
        <color theme="0" tint="-0.24994659260841701"/>
      </right>
      <top style="thin">
        <color theme="0" tint="-0.24994659260841701"/>
      </top>
      <bottom style="thin">
        <color rgb="FFFF0000"/>
      </bottom>
      <diagonal/>
    </border>
    <border>
      <left style="thin">
        <color theme="0" tint="-0.24994659260841701"/>
      </left>
      <right style="thin">
        <color rgb="FFFF0000"/>
      </right>
      <top style="thin">
        <color theme="0" tint="-0.24994659260841701"/>
      </top>
      <bottom style="thin">
        <color rgb="FFFF0000"/>
      </bottom>
      <diagonal/>
    </border>
    <border>
      <left style="medium">
        <color indexed="64"/>
      </left>
      <right style="thin">
        <color indexed="64"/>
      </right>
      <top/>
      <bottom/>
      <diagonal/>
    </border>
    <border>
      <left style="thin">
        <color indexed="64"/>
      </left>
      <right style="thin">
        <color indexed="64"/>
      </right>
      <top style="thin">
        <color theme="0"/>
      </top>
      <bottom/>
      <diagonal/>
    </border>
    <border>
      <left style="thin">
        <color indexed="64"/>
      </left>
      <right/>
      <top style="medium">
        <color rgb="FFFF0000"/>
      </top>
      <bottom style="thin">
        <color auto="1"/>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rgb="FFFF0000"/>
      </left>
      <right style="thin">
        <color indexed="64"/>
      </right>
      <top style="medium">
        <color indexed="64"/>
      </top>
      <bottom style="thin">
        <color indexed="64"/>
      </bottom>
      <diagonal/>
    </border>
    <border>
      <left style="thick">
        <color rgb="FFFF0000"/>
      </left>
      <right style="thin">
        <color indexed="64"/>
      </right>
      <top style="thin">
        <color indexed="64"/>
      </top>
      <bottom style="thin">
        <color indexed="64"/>
      </bottom>
      <diagonal/>
    </border>
    <border>
      <left style="thick">
        <color rgb="FFFF0000"/>
      </left>
      <right style="thin">
        <color indexed="64"/>
      </right>
      <top style="thin">
        <color indexed="64"/>
      </top>
      <bottom style="medium">
        <color indexed="64"/>
      </bottom>
      <diagonal/>
    </border>
    <border>
      <left style="thin">
        <color indexed="64"/>
      </left>
      <right style="thick">
        <color rgb="FFFF0000"/>
      </right>
      <top style="medium">
        <color indexed="64"/>
      </top>
      <bottom style="thin">
        <color indexed="64"/>
      </bottom>
      <diagonal/>
    </border>
    <border>
      <left style="thin">
        <color indexed="64"/>
      </left>
      <right style="thick">
        <color rgb="FFFF0000"/>
      </right>
      <top style="thin">
        <color indexed="64"/>
      </top>
      <bottom style="thin">
        <color indexed="64"/>
      </bottom>
      <diagonal/>
    </border>
    <border>
      <left style="thin">
        <color indexed="64"/>
      </left>
      <right style="thick">
        <color rgb="FFFF0000"/>
      </right>
      <top style="thin">
        <color indexed="64"/>
      </top>
      <bottom style="medium">
        <color indexed="64"/>
      </bottom>
      <diagonal/>
    </border>
    <border>
      <left style="thick">
        <color rgb="FFFF0000"/>
      </left>
      <right style="thick">
        <color rgb="FFFF0000"/>
      </right>
      <top style="thick">
        <color rgb="FFFF0000"/>
      </top>
      <bottom style="thick">
        <color rgb="FFFF0000"/>
      </bottom>
      <diagonal/>
    </border>
  </borders>
  <cellStyleXfs count="12">
    <xf numFmtId="0" fontId="0" fillId="0" borderId="0"/>
    <xf numFmtId="0" fontId="18" fillId="0" borderId="0" applyNumberFormat="0" applyFill="0" applyBorder="0" applyAlignment="0" applyProtection="0"/>
    <xf numFmtId="0" fontId="19" fillId="0" borderId="0" applyNumberFormat="0" applyFill="0" applyBorder="0" applyProtection="0">
      <alignment vertical="center"/>
    </xf>
    <xf numFmtId="0" fontId="20" fillId="16" borderId="70" applyNumberFormat="0" applyProtection="0">
      <alignment horizontal="left" vertical="center"/>
    </xf>
    <xf numFmtId="0" fontId="21" fillId="0" borderId="0" applyNumberFormat="0" applyFill="0" applyBorder="0" applyProtection="0">
      <alignment horizontal="left" vertical="center"/>
    </xf>
    <xf numFmtId="0" fontId="22" fillId="0" borderId="0" applyFill="0" applyBorder="0" applyProtection="0">
      <alignment horizontal="left"/>
    </xf>
    <xf numFmtId="9" fontId="23" fillId="0" borderId="0" applyFill="0" applyBorder="0" applyProtection="0">
      <alignment horizontal="center" vertical="center"/>
    </xf>
    <xf numFmtId="0" fontId="24" fillId="0" borderId="0" applyFill="0" applyBorder="0" applyProtection="0">
      <alignment horizontal="center"/>
    </xf>
    <xf numFmtId="3" fontId="24" fillId="0" borderId="71" applyFill="0" applyProtection="0">
      <alignment horizontal="center"/>
    </xf>
    <xf numFmtId="0" fontId="39" fillId="0" borderId="0" applyNumberFormat="0" applyFill="0" applyBorder="0" applyAlignment="0" applyProtection="0">
      <alignment vertical="top"/>
      <protection locked="0"/>
    </xf>
    <xf numFmtId="43" fontId="43" fillId="0" borderId="0" applyFont="0" applyFill="0" applyBorder="0" applyAlignment="0" applyProtection="0"/>
    <xf numFmtId="0" fontId="47" fillId="0" borderId="0"/>
  </cellStyleXfs>
  <cellXfs count="1334">
    <xf numFmtId="0" fontId="0" fillId="0" borderId="0" xfId="0"/>
    <xf numFmtId="0" fontId="4" fillId="5" borderId="34" xfId="0" applyFont="1" applyFill="1" applyBorder="1" applyAlignment="1">
      <alignment horizontal="center" vertical="center" wrapText="1"/>
    </xf>
    <xf numFmtId="0" fontId="4" fillId="6" borderId="34" xfId="0" applyFont="1" applyFill="1" applyBorder="1" applyAlignment="1">
      <alignment horizontal="center" vertical="center" wrapText="1"/>
    </xf>
    <xf numFmtId="0" fontId="4" fillId="7" borderId="34" xfId="0" applyFont="1" applyFill="1" applyBorder="1" applyAlignment="1">
      <alignment horizontal="center" vertical="center" wrapText="1"/>
    </xf>
    <xf numFmtId="0" fontId="4" fillId="8" borderId="34"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5" fillId="6" borderId="34"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5" fillId="5" borderId="36" xfId="0" applyFont="1" applyFill="1" applyBorder="1" applyAlignment="1">
      <alignment horizontal="center" vertical="center" wrapText="1"/>
    </xf>
    <xf numFmtId="0" fontId="4" fillId="7" borderId="36" xfId="0" applyFont="1" applyFill="1" applyBorder="1" applyAlignment="1">
      <alignment horizontal="center" vertical="center" wrapText="1"/>
    </xf>
    <xf numFmtId="0" fontId="4" fillId="5" borderId="36"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5" fillId="7" borderId="37" xfId="0" applyFont="1" applyFill="1" applyBorder="1" applyAlignment="1">
      <alignment horizontal="center" vertical="center" wrapText="1"/>
    </xf>
    <xf numFmtId="0" fontId="5" fillId="8" borderId="39" xfId="0" applyFont="1" applyFill="1" applyBorder="1" applyAlignment="1">
      <alignment horizontal="center" vertical="center" wrapText="1"/>
    </xf>
    <xf numFmtId="0" fontId="5" fillId="7" borderId="39" xfId="0" applyFont="1" applyFill="1" applyBorder="1" applyAlignment="1">
      <alignment horizontal="center" vertical="center" wrapText="1"/>
    </xf>
    <xf numFmtId="0" fontId="3" fillId="4" borderId="47" xfId="0" applyFont="1" applyFill="1" applyBorder="1" applyAlignment="1">
      <alignment horizontal="center" vertical="center" wrapText="1"/>
    </xf>
    <xf numFmtId="0" fontId="3" fillId="4" borderId="48" xfId="0" applyFont="1" applyFill="1" applyBorder="1" applyAlignment="1">
      <alignment horizontal="center" vertical="center" wrapText="1"/>
    </xf>
    <xf numFmtId="0" fontId="3" fillId="4" borderId="49" xfId="0" applyFont="1" applyFill="1" applyBorder="1" applyAlignment="1">
      <alignment horizontal="center" vertical="center" wrapText="1"/>
    </xf>
    <xf numFmtId="0" fontId="5" fillId="6" borderId="41" xfId="0" applyFont="1" applyFill="1" applyBorder="1" applyAlignment="1">
      <alignment horizontal="center" vertical="center" wrapText="1"/>
    </xf>
    <xf numFmtId="0" fontId="4" fillId="8" borderId="41" xfId="0" applyFont="1" applyFill="1" applyBorder="1" applyAlignment="1">
      <alignment horizontal="center" vertical="center" wrapText="1"/>
    </xf>
    <xf numFmtId="0" fontId="4" fillId="6" borderId="41" xfId="0" applyFont="1" applyFill="1" applyBorder="1" applyAlignment="1">
      <alignment horizontal="center" vertical="center" wrapText="1"/>
    </xf>
    <xf numFmtId="0" fontId="5" fillId="8" borderId="42" xfId="0" applyFont="1" applyFill="1" applyBorder="1" applyAlignment="1">
      <alignment horizontal="center" vertical="center" wrapText="1"/>
    </xf>
    <xf numFmtId="3" fontId="4" fillId="10" borderId="38" xfId="0" applyNumberFormat="1" applyFont="1" applyFill="1" applyBorder="1" applyAlignment="1">
      <alignment horizontal="center" vertical="center" wrapText="1"/>
    </xf>
    <xf numFmtId="3" fontId="4" fillId="10" borderId="40" xfId="0" applyNumberFormat="1" applyFont="1" applyFill="1" applyBorder="1" applyAlignment="1">
      <alignment horizontal="center" vertical="center" wrapText="1"/>
    </xf>
    <xf numFmtId="165" fontId="4" fillId="6" borderId="38" xfId="0" applyNumberFormat="1" applyFont="1" applyFill="1" applyBorder="1" applyAlignment="1">
      <alignment horizontal="center" vertical="center" wrapText="1"/>
    </xf>
    <xf numFmtId="165" fontId="5" fillId="6" borderId="34" xfId="0" applyNumberFormat="1" applyFont="1" applyFill="1" applyBorder="1" applyAlignment="1">
      <alignment horizontal="center" vertical="center" wrapText="1"/>
    </xf>
    <xf numFmtId="165" fontId="4" fillId="8" borderId="38" xfId="0" applyNumberFormat="1" applyFont="1" applyFill="1" applyBorder="1" applyAlignment="1">
      <alignment horizontal="center" vertical="center" wrapText="1"/>
    </xf>
    <xf numFmtId="165" fontId="5" fillId="8" borderId="34" xfId="0" applyNumberFormat="1" applyFont="1" applyFill="1" applyBorder="1" applyAlignment="1">
      <alignment horizontal="center" vertical="center" wrapText="1"/>
    </xf>
    <xf numFmtId="165" fontId="4" fillId="5" borderId="35" xfId="0" applyNumberFormat="1" applyFont="1" applyFill="1" applyBorder="1" applyAlignment="1">
      <alignment horizontal="center" vertical="center" wrapText="1"/>
    </xf>
    <xf numFmtId="165" fontId="5" fillId="5" borderId="36" xfId="0" applyNumberFormat="1" applyFont="1" applyFill="1" applyBorder="1" applyAlignment="1">
      <alignment horizontal="center" vertical="center" wrapText="1"/>
    </xf>
    <xf numFmtId="165" fontId="4" fillId="7" borderId="35" xfId="0" applyNumberFormat="1" applyFont="1" applyFill="1" applyBorder="1" applyAlignment="1">
      <alignment horizontal="center" vertical="center" wrapText="1"/>
    </xf>
    <xf numFmtId="165" fontId="5" fillId="7" borderId="36" xfId="0" applyNumberFormat="1" applyFont="1" applyFill="1" applyBorder="1" applyAlignment="1">
      <alignment horizontal="center" vertical="center" wrapText="1"/>
    </xf>
    <xf numFmtId="0" fontId="5" fillId="8" borderId="34" xfId="0" applyFont="1" applyFill="1" applyBorder="1" applyAlignment="1">
      <alignment horizontal="center" vertical="center" wrapText="1"/>
    </xf>
    <xf numFmtId="0" fontId="5" fillId="7" borderId="36" xfId="0" applyFont="1" applyFill="1" applyBorder="1" applyAlignment="1">
      <alignment horizontal="center" vertical="center" wrapText="1"/>
    </xf>
    <xf numFmtId="0" fontId="5" fillId="7" borderId="34" xfId="0" applyFont="1" applyFill="1" applyBorder="1" applyAlignment="1">
      <alignment horizontal="center" vertical="center" wrapText="1"/>
    </xf>
    <xf numFmtId="0" fontId="5" fillId="8" borderId="41" xfId="0" applyFont="1" applyFill="1" applyBorder="1" applyAlignment="1">
      <alignment horizontal="center" vertical="center" wrapText="1"/>
    </xf>
    <xf numFmtId="0" fontId="5" fillId="6" borderId="54" xfId="0" applyFont="1" applyFill="1" applyBorder="1" applyAlignment="1">
      <alignment horizontal="center" vertical="center" wrapText="1"/>
    </xf>
    <xf numFmtId="0" fontId="4" fillId="8" borderId="54" xfId="0" applyFont="1" applyFill="1" applyBorder="1" applyAlignment="1">
      <alignment horizontal="center" vertical="center" wrapText="1"/>
    </xf>
    <xf numFmtId="0" fontId="5" fillId="8" borderId="54" xfId="0" applyFont="1" applyFill="1" applyBorder="1" applyAlignment="1">
      <alignment horizontal="center" vertical="center" wrapText="1"/>
    </xf>
    <xf numFmtId="0" fontId="4" fillId="6" borderId="44" xfId="0" applyFont="1" applyFill="1" applyBorder="1" applyAlignment="1">
      <alignment horizontal="center" vertical="center" wrapText="1"/>
    </xf>
    <xf numFmtId="0" fontId="5" fillId="6" borderId="44" xfId="0" applyFont="1" applyFill="1" applyBorder="1" applyAlignment="1">
      <alignment horizontal="center" vertical="center" wrapText="1"/>
    </xf>
    <xf numFmtId="0" fontId="4" fillId="8" borderId="44" xfId="0" applyFont="1" applyFill="1" applyBorder="1" applyAlignment="1">
      <alignment horizontal="center" vertical="center" wrapText="1"/>
    </xf>
    <xf numFmtId="0" fontId="5" fillId="8" borderId="44" xfId="0" applyFont="1" applyFill="1" applyBorder="1" applyAlignment="1">
      <alignment horizontal="center" vertical="center" wrapText="1"/>
    </xf>
    <xf numFmtId="0" fontId="5" fillId="5" borderId="39" xfId="0" applyFont="1" applyFill="1" applyBorder="1" applyAlignment="1">
      <alignment horizontal="center" vertical="center" wrapText="1"/>
    </xf>
    <xf numFmtId="0" fontId="5" fillId="6" borderId="39" xfId="0" applyFont="1" applyFill="1" applyBorder="1" applyAlignment="1">
      <alignment horizontal="center" vertical="center" wrapText="1"/>
    </xf>
    <xf numFmtId="0" fontId="4" fillId="6" borderId="50" xfId="0" applyFont="1" applyFill="1" applyBorder="1" applyAlignment="1">
      <alignment horizontal="center" vertical="center" wrapText="1"/>
    </xf>
    <xf numFmtId="0" fontId="4" fillId="5" borderId="38" xfId="0" applyFont="1" applyFill="1" applyBorder="1" applyAlignment="1">
      <alignment horizontal="center" vertical="center" wrapText="1"/>
    </xf>
    <xf numFmtId="0" fontId="4" fillId="6" borderId="38" xfId="0" applyFont="1" applyFill="1" applyBorder="1" applyAlignment="1">
      <alignment horizontal="center" vertical="center" wrapText="1"/>
    </xf>
    <xf numFmtId="0" fontId="4" fillId="6" borderId="45"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30" xfId="0" applyFont="1" applyFill="1" applyBorder="1" applyAlignment="1">
      <alignment horizontal="center" vertical="center" wrapText="1"/>
    </xf>
    <xf numFmtId="2" fontId="4" fillId="12" borderId="39" xfId="0" applyNumberFormat="1" applyFont="1" applyFill="1" applyBorder="1" applyAlignment="1">
      <alignment horizontal="center" vertical="center" wrapText="1"/>
    </xf>
    <xf numFmtId="2" fontId="4" fillId="12" borderId="42" xfId="0" applyNumberFormat="1" applyFont="1" applyFill="1" applyBorder="1" applyAlignment="1">
      <alignment horizontal="center" vertical="center" wrapText="1"/>
    </xf>
    <xf numFmtId="2" fontId="4" fillId="12" borderId="43" xfId="0" applyNumberFormat="1" applyFont="1" applyFill="1" applyBorder="1" applyAlignment="1">
      <alignment horizontal="center" vertical="center" wrapText="1"/>
    </xf>
    <xf numFmtId="2" fontId="4" fillId="12" borderId="21" xfId="0" applyNumberFormat="1" applyFont="1" applyFill="1" applyBorder="1" applyAlignment="1">
      <alignment horizontal="center" vertical="center" wrapText="1"/>
    </xf>
    <xf numFmtId="0" fontId="3" fillId="4" borderId="57" xfId="0" applyFont="1" applyFill="1" applyBorder="1" applyAlignment="1">
      <alignment horizontal="center" vertical="center" wrapText="1"/>
    </xf>
    <xf numFmtId="0" fontId="5" fillId="5" borderId="37" xfId="0" applyFont="1" applyFill="1" applyBorder="1" applyAlignment="1">
      <alignment horizontal="center" vertical="center" wrapText="1"/>
    </xf>
    <xf numFmtId="0" fontId="5" fillId="6" borderId="42" xfId="0" applyFont="1" applyFill="1" applyBorder="1" applyAlignment="1">
      <alignment horizontal="center" vertical="center" wrapText="1"/>
    </xf>
    <xf numFmtId="165" fontId="4" fillId="5" borderId="60" xfId="0" applyNumberFormat="1" applyFont="1" applyFill="1" applyBorder="1" applyAlignment="1">
      <alignment horizontal="center" vertical="center" wrapText="1"/>
    </xf>
    <xf numFmtId="165" fontId="5" fillId="5" borderId="61" xfId="0" applyNumberFormat="1" applyFont="1" applyFill="1" applyBorder="1" applyAlignment="1">
      <alignment horizontal="center" vertical="center" wrapText="1"/>
    </xf>
    <xf numFmtId="165" fontId="4" fillId="7" borderId="60" xfId="0" applyNumberFormat="1" applyFont="1" applyFill="1" applyBorder="1" applyAlignment="1">
      <alignment horizontal="center" vertical="center" wrapText="1"/>
    </xf>
    <xf numFmtId="165" fontId="4" fillId="5" borderId="34" xfId="0" applyNumberFormat="1" applyFont="1" applyFill="1" applyBorder="1" applyAlignment="1">
      <alignment horizontal="center" vertical="center" wrapText="1"/>
    </xf>
    <xf numFmtId="165" fontId="5" fillId="5" borderId="34" xfId="0" applyNumberFormat="1" applyFont="1" applyFill="1" applyBorder="1" applyAlignment="1">
      <alignment horizontal="center" vertical="center" wrapText="1"/>
    </xf>
    <xf numFmtId="165" fontId="4" fillId="7" borderId="34" xfId="0" applyNumberFormat="1" applyFont="1" applyFill="1" applyBorder="1" applyAlignment="1">
      <alignment horizontal="center" vertical="center" wrapText="1"/>
    </xf>
    <xf numFmtId="165" fontId="5" fillId="7" borderId="34" xfId="0" applyNumberFormat="1" applyFont="1" applyFill="1" applyBorder="1" applyAlignment="1">
      <alignment horizontal="center" vertical="center" wrapText="1"/>
    </xf>
    <xf numFmtId="165" fontId="4" fillId="5" borderId="51" xfId="0" applyNumberFormat="1" applyFont="1" applyFill="1" applyBorder="1" applyAlignment="1">
      <alignment horizontal="center" vertical="center" wrapText="1"/>
    </xf>
    <xf numFmtId="165" fontId="5" fillId="7" borderId="43" xfId="0" applyNumberFormat="1" applyFont="1" applyFill="1" applyBorder="1" applyAlignment="1">
      <alignment horizontal="center" vertical="center" wrapText="1"/>
    </xf>
    <xf numFmtId="165" fontId="4" fillId="5" borderId="33" xfId="0" applyNumberFormat="1" applyFont="1" applyFill="1" applyBorder="1" applyAlignment="1">
      <alignment horizontal="center" vertical="center" wrapText="1"/>
    </xf>
    <xf numFmtId="165" fontId="5" fillId="5" borderId="44" xfId="0" applyNumberFormat="1" applyFont="1" applyFill="1" applyBorder="1" applyAlignment="1">
      <alignment horizontal="center" vertical="center" wrapText="1"/>
    </xf>
    <xf numFmtId="165" fontId="4" fillId="7" borderId="44" xfId="0" applyNumberFormat="1" applyFont="1" applyFill="1" applyBorder="1" applyAlignment="1">
      <alignment horizontal="center" vertical="center" wrapText="1"/>
    </xf>
    <xf numFmtId="165" fontId="5" fillId="7" borderId="44" xfId="0" applyNumberFormat="1" applyFont="1" applyFill="1" applyBorder="1" applyAlignment="1">
      <alignment horizontal="center" vertical="center" wrapText="1"/>
    </xf>
    <xf numFmtId="165" fontId="4" fillId="5" borderId="44" xfId="0" applyNumberFormat="1" applyFont="1" applyFill="1" applyBorder="1" applyAlignment="1">
      <alignment horizontal="center" vertical="center" wrapText="1"/>
    </xf>
    <xf numFmtId="165" fontId="5" fillId="7" borderId="21" xfId="0" applyNumberFormat="1" applyFont="1" applyFill="1" applyBorder="1" applyAlignment="1">
      <alignment horizontal="center" vertical="center" wrapText="1"/>
    </xf>
    <xf numFmtId="165" fontId="4" fillId="8" borderId="74" xfId="0" applyNumberFormat="1" applyFont="1" applyFill="1" applyBorder="1" applyAlignment="1">
      <alignment horizontal="center" vertical="center" wrapText="1"/>
    </xf>
    <xf numFmtId="0" fontId="4" fillId="7" borderId="75" xfId="0" applyFont="1" applyFill="1" applyBorder="1" applyAlignment="1">
      <alignment horizontal="center" vertical="center" wrapText="1"/>
    </xf>
    <xf numFmtId="0" fontId="5" fillId="7" borderId="75" xfId="0" applyFont="1" applyFill="1" applyBorder="1" applyAlignment="1">
      <alignment horizontal="center" vertical="center" wrapText="1"/>
    </xf>
    <xf numFmtId="165" fontId="4" fillId="7" borderId="76" xfId="0" applyNumberFormat="1" applyFont="1" applyFill="1" applyBorder="1" applyAlignment="1">
      <alignment horizontal="center" vertical="center" wrapText="1"/>
    </xf>
    <xf numFmtId="165" fontId="5" fillId="7" borderId="75" xfId="0" applyNumberFormat="1" applyFont="1" applyFill="1" applyBorder="1" applyAlignment="1">
      <alignment horizontal="center" vertical="center" wrapText="1"/>
    </xf>
    <xf numFmtId="0" fontId="3" fillId="4" borderId="32" xfId="0" applyFont="1" applyFill="1" applyBorder="1" applyAlignment="1" applyProtection="1">
      <alignment horizontal="center" vertical="center" wrapText="1"/>
    </xf>
    <xf numFmtId="0" fontId="3" fillId="4" borderId="20" xfId="0" applyFont="1" applyFill="1" applyBorder="1" applyAlignment="1" applyProtection="1">
      <alignment horizontal="center" vertical="center" wrapText="1"/>
    </xf>
    <xf numFmtId="0" fontId="6" fillId="11" borderId="32" xfId="0" applyFont="1" applyFill="1" applyBorder="1" applyAlignment="1" applyProtection="1">
      <alignment horizontal="center" vertical="center" wrapText="1"/>
    </xf>
    <xf numFmtId="0" fontId="6" fillId="13" borderId="53" xfId="0" applyFont="1" applyFill="1" applyBorder="1" applyAlignment="1" applyProtection="1">
      <alignment horizontal="center" vertical="center" wrapText="1"/>
    </xf>
    <xf numFmtId="166" fontId="6" fillId="13" borderId="36" xfId="0" applyNumberFormat="1" applyFont="1" applyFill="1" applyBorder="1" applyAlignment="1" applyProtection="1">
      <alignment horizontal="center" vertical="center" wrapText="1"/>
    </xf>
    <xf numFmtId="46" fontId="6" fillId="12" borderId="52" xfId="0" applyNumberFormat="1" applyFont="1" applyFill="1" applyBorder="1" applyAlignment="1" applyProtection="1">
      <alignment horizontal="center" vertical="center" wrapText="1"/>
    </xf>
    <xf numFmtId="3" fontId="6" fillId="10" borderId="54" xfId="0" applyNumberFormat="1" applyFont="1" applyFill="1" applyBorder="1" applyAlignment="1" applyProtection="1">
      <alignment horizontal="center" vertical="center" wrapText="1"/>
    </xf>
    <xf numFmtId="0" fontId="3" fillId="4" borderId="27" xfId="0" applyFont="1" applyFill="1" applyBorder="1" applyAlignment="1" applyProtection="1">
      <alignment horizontal="left" vertical="center" wrapText="1"/>
    </xf>
    <xf numFmtId="0" fontId="6" fillId="13" borderId="33" xfId="0" applyFont="1" applyFill="1" applyBorder="1" applyAlignment="1" applyProtection="1">
      <alignment horizontal="center" vertical="center" wrapText="1"/>
    </xf>
    <xf numFmtId="0" fontId="6" fillId="13" borderId="21" xfId="0" applyFont="1" applyFill="1" applyBorder="1" applyAlignment="1" applyProtection="1">
      <alignment horizontal="center" vertical="center" wrapText="1"/>
    </xf>
    <xf numFmtId="0" fontId="3" fillId="4" borderId="17" xfId="0" applyFont="1" applyFill="1" applyBorder="1" applyAlignment="1" applyProtection="1">
      <alignment horizontal="left" vertical="center" wrapText="1"/>
    </xf>
    <xf numFmtId="0" fontId="6" fillId="13" borderId="51" xfId="0" applyFont="1" applyFill="1" applyBorder="1" applyAlignment="1" applyProtection="1">
      <alignment horizontal="center" vertical="center" wrapText="1"/>
    </xf>
    <xf numFmtId="166" fontId="6" fillId="13" borderId="34" xfId="0" applyNumberFormat="1" applyFont="1" applyFill="1" applyBorder="1" applyAlignment="1" applyProtection="1">
      <alignment horizontal="center" vertical="center" wrapText="1"/>
    </xf>
    <xf numFmtId="3" fontId="6" fillId="10" borderId="34" xfId="0" applyNumberFormat="1" applyFont="1" applyFill="1" applyBorder="1" applyAlignment="1" applyProtection="1">
      <alignment horizontal="center" vertical="center" wrapText="1"/>
    </xf>
    <xf numFmtId="167" fontId="6" fillId="12" borderId="34" xfId="0" applyNumberFormat="1" applyFont="1" applyFill="1" applyBorder="1" applyAlignment="1" applyProtection="1">
      <alignment horizontal="center" vertical="center" wrapText="1"/>
    </xf>
    <xf numFmtId="3" fontId="6" fillId="2" borderId="34" xfId="0" applyNumberFormat="1" applyFont="1" applyFill="1" applyBorder="1" applyAlignment="1" applyProtection="1">
      <alignment horizontal="center" vertical="center" wrapText="1"/>
    </xf>
    <xf numFmtId="0" fontId="6" fillId="13" borderId="68" xfId="0" applyFont="1" applyFill="1" applyBorder="1" applyAlignment="1" applyProtection="1">
      <alignment horizontal="center" vertical="center" wrapText="1"/>
    </xf>
    <xf numFmtId="0" fontId="6" fillId="13" borderId="41" xfId="0" applyFont="1" applyFill="1" applyBorder="1" applyAlignment="1" applyProtection="1">
      <alignment horizontal="center" vertical="center" wrapText="1"/>
    </xf>
    <xf numFmtId="3" fontId="6" fillId="10" borderId="41" xfId="0" applyNumberFormat="1" applyFont="1" applyFill="1" applyBorder="1" applyAlignment="1" applyProtection="1">
      <alignment horizontal="center" vertical="center" wrapText="1"/>
    </xf>
    <xf numFmtId="0" fontId="3" fillId="4" borderId="1" xfId="0" quotePrefix="1" applyFont="1" applyFill="1" applyBorder="1" applyAlignment="1" applyProtection="1">
      <alignment horizontal="center" vertical="center" wrapText="1"/>
    </xf>
    <xf numFmtId="0" fontId="3" fillId="4" borderId="77" xfId="0" applyFont="1" applyFill="1" applyBorder="1" applyAlignment="1" applyProtection="1">
      <alignment horizontal="center" vertical="center" wrapText="1"/>
    </xf>
    <xf numFmtId="0" fontId="7" fillId="11" borderId="3" xfId="0" applyFont="1" applyFill="1" applyBorder="1" applyAlignment="1" applyProtection="1">
      <alignment horizontal="center" vertical="center" wrapText="1"/>
    </xf>
    <xf numFmtId="0" fontId="13" fillId="13" borderId="2" xfId="0" applyFont="1" applyFill="1" applyBorder="1" applyAlignment="1" applyProtection="1">
      <alignment horizontal="center" vertical="center" wrapText="1"/>
    </xf>
    <xf numFmtId="166" fontId="13" fillId="13" borderId="3" xfId="0" applyNumberFormat="1" applyFont="1" applyFill="1" applyBorder="1" applyAlignment="1" applyProtection="1">
      <alignment horizontal="center" vertical="center" wrapText="1"/>
    </xf>
    <xf numFmtId="3" fontId="13" fillId="10" borderId="3" xfId="0" applyNumberFormat="1" applyFont="1" applyFill="1" applyBorder="1" applyAlignment="1" applyProtection="1">
      <alignment horizontal="center" vertical="center" wrapText="1"/>
    </xf>
    <xf numFmtId="46" fontId="6" fillId="12" borderId="4" xfId="0" applyNumberFormat="1" applyFont="1" applyFill="1" applyBorder="1" applyAlignment="1" applyProtection="1">
      <alignment horizontal="center" vertical="center" wrapText="1"/>
    </xf>
    <xf numFmtId="0" fontId="3" fillId="4" borderId="17" xfId="0" applyFont="1" applyFill="1" applyBorder="1" applyAlignment="1" applyProtection="1">
      <alignment horizontal="center" vertical="center" wrapText="1"/>
    </xf>
    <xf numFmtId="0" fontId="6" fillId="15" borderId="7" xfId="0" applyFont="1" applyFill="1" applyBorder="1" applyAlignment="1" applyProtection="1">
      <alignment horizontal="center" vertical="center" wrapText="1"/>
    </xf>
    <xf numFmtId="165" fontId="6" fillId="9" borderId="34" xfId="0" applyNumberFormat="1" applyFont="1" applyFill="1" applyBorder="1" applyAlignment="1" applyProtection="1">
      <alignment horizontal="center" vertical="center" wrapText="1"/>
    </xf>
    <xf numFmtId="0" fontId="3" fillId="4" borderId="73" xfId="0" applyFont="1" applyFill="1" applyBorder="1" applyAlignment="1" applyProtection="1">
      <alignment horizontal="center" vertical="center" wrapText="1"/>
    </xf>
    <xf numFmtId="0" fontId="6" fillId="15" borderId="8" xfId="0" applyFont="1" applyFill="1" applyBorder="1" applyAlignment="1" applyProtection="1">
      <alignment horizontal="center" vertical="center" wrapText="1"/>
    </xf>
    <xf numFmtId="166" fontId="6" fillId="13" borderId="41" xfId="0" applyNumberFormat="1" applyFont="1" applyFill="1" applyBorder="1" applyAlignment="1" applyProtection="1">
      <alignment horizontal="center" vertical="center" wrapText="1"/>
    </xf>
    <xf numFmtId="3" fontId="6" fillId="2" borderId="41" xfId="0" applyNumberFormat="1" applyFont="1" applyFill="1" applyBorder="1" applyAlignment="1" applyProtection="1">
      <alignment horizontal="center" vertical="center" wrapText="1"/>
    </xf>
    <xf numFmtId="0" fontId="3" fillId="4" borderId="66" xfId="0" applyFont="1" applyFill="1" applyBorder="1" applyAlignment="1" applyProtection="1">
      <alignment horizontal="left" vertical="center" wrapText="1"/>
    </xf>
    <xf numFmtId="167" fontId="6" fillId="12" borderId="44" xfId="0" applyNumberFormat="1" applyFont="1" applyFill="1" applyBorder="1" applyAlignment="1" applyProtection="1">
      <alignment horizontal="center" vertical="center" wrapText="1"/>
    </xf>
    <xf numFmtId="0" fontId="6" fillId="15" borderId="9" xfId="0" applyFont="1" applyFill="1" applyBorder="1" applyAlignment="1" applyProtection="1">
      <alignment horizontal="center" vertical="center" wrapText="1"/>
    </xf>
    <xf numFmtId="165" fontId="6" fillId="9" borderId="44" xfId="0" applyNumberFormat="1" applyFont="1" applyFill="1" applyBorder="1" applyAlignment="1" applyProtection="1">
      <alignment horizontal="center" vertical="center" wrapText="1"/>
    </xf>
    <xf numFmtId="167" fontId="6" fillId="12" borderId="21" xfId="0" applyNumberFormat="1" applyFont="1" applyFill="1" applyBorder="1" applyAlignment="1" applyProtection="1">
      <alignment horizontal="center" vertical="center" wrapText="1"/>
    </xf>
    <xf numFmtId="3" fontId="6" fillId="10" borderId="44" xfId="0" applyNumberFormat="1" applyFont="1" applyFill="1" applyBorder="1" applyAlignment="1" applyProtection="1">
      <alignment horizontal="center" vertical="center" wrapText="1"/>
    </xf>
    <xf numFmtId="0" fontId="3" fillId="4" borderId="29" xfId="0" applyFont="1" applyFill="1" applyBorder="1" applyAlignment="1" applyProtection="1">
      <alignment horizontal="left" vertical="center" wrapText="1"/>
    </xf>
    <xf numFmtId="0" fontId="6" fillId="13" borderId="35" xfId="0" applyFont="1" applyFill="1" applyBorder="1" applyAlignment="1" applyProtection="1">
      <alignment horizontal="center" vertical="center" wrapText="1"/>
    </xf>
    <xf numFmtId="3" fontId="7" fillId="3" borderId="54" xfId="0" applyNumberFormat="1" applyFont="1" applyFill="1" applyBorder="1" applyAlignment="1" applyProtection="1">
      <alignment horizontal="center" vertical="center" wrapText="1"/>
    </xf>
    <xf numFmtId="0" fontId="3" fillId="4" borderId="8" xfId="0" applyFont="1" applyFill="1" applyBorder="1" applyAlignment="1" applyProtection="1">
      <alignment horizontal="left" vertical="center" wrapText="1"/>
    </xf>
    <xf numFmtId="0" fontId="6" fillId="13" borderId="38" xfId="0" applyFont="1" applyFill="1" applyBorder="1" applyAlignment="1" applyProtection="1">
      <alignment horizontal="center" vertical="center" wrapText="1"/>
    </xf>
    <xf numFmtId="3" fontId="7" fillId="3" borderId="34" xfId="0" applyNumberFormat="1" applyFont="1" applyFill="1" applyBorder="1" applyAlignment="1" applyProtection="1">
      <alignment horizontal="center" vertical="center" wrapText="1"/>
    </xf>
    <xf numFmtId="3" fontId="7" fillId="3" borderId="41" xfId="0" applyNumberFormat="1" applyFont="1" applyFill="1" applyBorder="1" applyAlignment="1" applyProtection="1">
      <alignment horizontal="center" vertical="center" wrapText="1"/>
    </xf>
    <xf numFmtId="3" fontId="3" fillId="3" borderId="3" xfId="0" applyNumberFormat="1" applyFont="1" applyFill="1" applyBorder="1" applyAlignment="1" applyProtection="1">
      <alignment horizontal="center" vertical="center" wrapText="1"/>
    </xf>
    <xf numFmtId="0" fontId="13" fillId="13" borderId="5" xfId="0"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9" xfId="0" applyFont="1" applyFill="1" applyBorder="1" applyAlignment="1" applyProtection="1">
      <alignment horizontal="center" vertical="center" wrapText="1"/>
    </xf>
    <xf numFmtId="0" fontId="3" fillId="4" borderId="22" xfId="0" applyFont="1" applyFill="1" applyBorder="1" applyAlignment="1" applyProtection="1">
      <alignment horizontal="center" vertical="center" wrapText="1"/>
    </xf>
    <xf numFmtId="0" fontId="0" fillId="14" borderId="0" xfId="0" applyFill="1" applyAlignment="1" applyProtection="1">
      <alignment vertical="center" wrapText="1"/>
    </xf>
    <xf numFmtId="0" fontId="0" fillId="14" borderId="0" xfId="0" applyFill="1" applyAlignment="1" applyProtection="1">
      <alignment horizontal="center" vertical="center" wrapText="1"/>
    </xf>
    <xf numFmtId="0" fontId="0" fillId="14" borderId="0" xfId="0" applyFill="1" applyAlignment="1" applyProtection="1">
      <alignment horizontal="right" vertical="center" wrapText="1"/>
    </xf>
    <xf numFmtId="0" fontId="0" fillId="14" borderId="0" xfId="0" applyFill="1" applyAlignment="1" applyProtection="1">
      <alignment horizontal="left" vertical="center" wrapText="1"/>
    </xf>
    <xf numFmtId="0" fontId="6" fillId="14" borderId="0" xfId="0" applyFont="1" applyFill="1" applyAlignment="1" applyProtection="1">
      <alignment horizontal="center" vertical="center" wrapText="1"/>
    </xf>
    <xf numFmtId="0" fontId="14" fillId="14" borderId="0" xfId="0" applyFont="1" applyFill="1" applyAlignment="1" applyProtection="1">
      <alignment vertical="center" wrapText="1"/>
    </xf>
    <xf numFmtId="0" fontId="6" fillId="14" borderId="0" xfId="0" applyFont="1" applyFill="1" applyAlignment="1" applyProtection="1">
      <alignment vertical="center" wrapText="1"/>
    </xf>
    <xf numFmtId="46" fontId="0" fillId="14" borderId="0" xfId="0" applyNumberFormat="1" applyFill="1" applyAlignment="1" applyProtection="1">
      <alignment vertical="center" wrapText="1"/>
    </xf>
    <xf numFmtId="176" fontId="0" fillId="14" borderId="0" xfId="0" applyNumberFormat="1" applyFill="1" applyAlignment="1" applyProtection="1">
      <alignment vertical="center" wrapText="1"/>
    </xf>
    <xf numFmtId="175" fontId="0" fillId="14" borderId="0" xfId="0" applyNumberFormat="1" applyFill="1" applyAlignment="1" applyProtection="1">
      <alignment vertical="center" wrapText="1"/>
    </xf>
    <xf numFmtId="0" fontId="4" fillId="14" borderId="0" xfId="0" applyFont="1" applyFill="1" applyAlignment="1">
      <alignment horizontal="center" vertical="center" wrapText="1"/>
    </xf>
    <xf numFmtId="0" fontId="6" fillId="14" borderId="0" xfId="0" applyFont="1" applyFill="1"/>
    <xf numFmtId="0" fontId="6" fillId="14" borderId="0" xfId="0" applyFont="1" applyFill="1" applyAlignment="1">
      <alignment wrapText="1"/>
    </xf>
    <xf numFmtId="0" fontId="3" fillId="4" borderId="6"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4" fillId="6" borderId="36" xfId="0" applyFont="1" applyFill="1" applyBorder="1" applyAlignment="1">
      <alignment horizontal="center" vertical="center" wrapText="1"/>
    </xf>
    <xf numFmtId="0" fontId="5" fillId="6" borderId="36" xfId="0" applyFont="1" applyFill="1" applyBorder="1" applyAlignment="1">
      <alignment horizontal="center" vertical="center" wrapText="1"/>
    </xf>
    <xf numFmtId="165" fontId="4" fillId="6" borderId="53" xfId="0" applyNumberFormat="1" applyFont="1" applyFill="1" applyBorder="1" applyAlignment="1">
      <alignment horizontal="center" vertical="center" wrapText="1"/>
    </xf>
    <xf numFmtId="165" fontId="5" fillId="6" borderId="36" xfId="0" applyNumberFormat="1" applyFont="1" applyFill="1" applyBorder="1" applyAlignment="1">
      <alignment horizontal="center" vertical="center" wrapText="1"/>
    </xf>
    <xf numFmtId="165" fontId="4" fillId="6"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5" fillId="8" borderId="36" xfId="0" applyFont="1" applyFill="1" applyBorder="1" applyAlignment="1">
      <alignment horizontal="center" vertical="center" wrapText="1"/>
    </xf>
    <xf numFmtId="165" fontId="4" fillId="8" borderId="36" xfId="0" applyNumberFormat="1" applyFont="1" applyFill="1" applyBorder="1" applyAlignment="1">
      <alignment horizontal="center" vertical="center" wrapText="1"/>
    </xf>
    <xf numFmtId="165" fontId="5" fillId="8" borderId="36" xfId="0" applyNumberFormat="1" applyFont="1" applyFill="1" applyBorder="1" applyAlignment="1">
      <alignment horizontal="center" vertical="center" wrapText="1"/>
    </xf>
    <xf numFmtId="165" fontId="5" fillId="8" borderId="52" xfId="0" applyNumberFormat="1" applyFont="1" applyFill="1" applyBorder="1" applyAlignment="1">
      <alignment horizontal="center" vertical="center" wrapText="1"/>
    </xf>
    <xf numFmtId="0" fontId="6" fillId="14" borderId="0" xfId="0" applyFont="1" applyFill="1" applyAlignment="1">
      <alignment vertical="center" wrapText="1"/>
    </xf>
    <xf numFmtId="46" fontId="6" fillId="12" borderId="64" xfId="0" applyNumberFormat="1" applyFont="1" applyFill="1" applyBorder="1" applyAlignment="1" applyProtection="1">
      <alignment horizontal="center" vertical="center" wrapText="1"/>
    </xf>
    <xf numFmtId="0" fontId="3" fillId="4" borderId="65" xfId="0" applyFont="1" applyFill="1" applyBorder="1" applyAlignment="1" applyProtection="1">
      <alignment horizontal="left" vertical="center" wrapText="1"/>
    </xf>
    <xf numFmtId="0" fontId="6" fillId="13" borderId="40" xfId="0" applyFont="1" applyFill="1" applyBorder="1" applyAlignment="1" applyProtection="1">
      <alignment horizontal="center" vertical="center" wrapText="1"/>
    </xf>
    <xf numFmtId="0" fontId="6" fillId="15" borderId="34" xfId="0" applyFont="1" applyFill="1" applyBorder="1" applyAlignment="1" applyProtection="1">
      <alignment horizontal="center" vertical="center" wrapText="1"/>
      <protection locked="0"/>
    </xf>
    <xf numFmtId="0" fontId="7" fillId="4" borderId="1"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46" xfId="0" applyFont="1" applyFill="1" applyBorder="1" applyAlignment="1">
      <alignment horizontal="center" vertical="center" wrapText="1"/>
    </xf>
    <xf numFmtId="0" fontId="7" fillId="4" borderId="48" xfId="0" applyFont="1" applyFill="1" applyBorder="1" applyAlignment="1">
      <alignment horizontal="center" vertical="center" wrapText="1"/>
    </xf>
    <xf numFmtId="2" fontId="6" fillId="12" borderId="37" xfId="0" applyNumberFormat="1" applyFont="1" applyFill="1" applyBorder="1" applyAlignment="1">
      <alignment horizontal="center" vertical="center" wrapText="1"/>
    </xf>
    <xf numFmtId="3" fontId="6" fillId="10" borderId="35" xfId="0" applyNumberFormat="1" applyFont="1" applyFill="1" applyBorder="1" applyAlignment="1">
      <alignment horizontal="center" vertical="center" wrapText="1"/>
    </xf>
    <xf numFmtId="2" fontId="6" fillId="12" borderId="39" xfId="0" applyNumberFormat="1" applyFont="1" applyFill="1" applyBorder="1" applyAlignment="1">
      <alignment horizontal="center" vertical="center" wrapText="1"/>
    </xf>
    <xf numFmtId="3" fontId="6" fillId="10" borderId="38" xfId="0" applyNumberFormat="1" applyFont="1" applyFill="1" applyBorder="1" applyAlignment="1">
      <alignment horizontal="center" vertical="center" wrapText="1"/>
    </xf>
    <xf numFmtId="2" fontId="6" fillId="12" borderId="42" xfId="0" applyNumberFormat="1" applyFont="1" applyFill="1" applyBorder="1" applyAlignment="1">
      <alignment horizontal="center" vertical="center" wrapText="1"/>
    </xf>
    <xf numFmtId="3" fontId="7" fillId="3" borderId="35"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2" fontId="6" fillId="12" borderId="20" xfId="0" applyNumberFormat="1" applyFont="1" applyFill="1" applyBorder="1" applyAlignment="1">
      <alignment horizontal="center" vertical="center" wrapText="1"/>
    </xf>
    <xf numFmtId="2" fontId="6" fillId="12" borderId="43" xfId="0" applyNumberFormat="1" applyFont="1" applyFill="1" applyBorder="1" applyAlignment="1">
      <alignment horizontal="center" vertical="center" wrapText="1"/>
    </xf>
    <xf numFmtId="0" fontId="3" fillId="4" borderId="66" xfId="0" applyFont="1" applyFill="1" applyBorder="1" applyAlignment="1">
      <alignment horizontal="center" vertical="center" wrapText="1"/>
    </xf>
    <xf numFmtId="0" fontId="7" fillId="4" borderId="78" xfId="0" applyFont="1" applyFill="1" applyBorder="1" applyAlignment="1">
      <alignment horizontal="center" vertical="center" wrapText="1"/>
    </xf>
    <xf numFmtId="3" fontId="6" fillId="10" borderId="50" xfId="0" applyNumberFormat="1" applyFont="1" applyFill="1" applyBorder="1" applyAlignment="1">
      <alignment horizontal="center" vertical="center" wrapText="1"/>
    </xf>
    <xf numFmtId="3" fontId="6" fillId="10" borderId="40"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10" borderId="41" xfId="0" applyNumberFormat="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57" xfId="0" applyFont="1" applyFill="1" applyBorder="1" applyAlignment="1">
      <alignment horizontal="center" vertical="center" wrapText="1"/>
    </xf>
    <xf numFmtId="0" fontId="10" fillId="4" borderId="8" xfId="0" applyFont="1" applyFill="1" applyBorder="1" applyAlignment="1">
      <alignment horizontal="center" vertical="center" wrapText="1"/>
    </xf>
    <xf numFmtId="2" fontId="11" fillId="12" borderId="39" xfId="0" applyNumberFormat="1" applyFont="1" applyFill="1" applyBorder="1" applyAlignment="1">
      <alignment horizontal="center" vertical="center" wrapText="1"/>
    </xf>
    <xf numFmtId="0" fontId="10" fillId="4" borderId="65" xfId="0" applyFont="1" applyFill="1" applyBorder="1" applyAlignment="1">
      <alignment horizontal="center" vertical="center" wrapText="1"/>
    </xf>
    <xf numFmtId="2" fontId="11" fillId="12" borderId="42" xfId="0" applyNumberFormat="1" applyFont="1" applyFill="1" applyBorder="1" applyAlignment="1">
      <alignment horizontal="center" vertical="center" wrapText="1"/>
    </xf>
    <xf numFmtId="0" fontId="3" fillId="4" borderId="65" xfId="0" applyFont="1" applyFill="1" applyBorder="1" applyAlignment="1">
      <alignment horizontal="center" vertical="center" wrapText="1"/>
    </xf>
    <xf numFmtId="0" fontId="0" fillId="14" borderId="0" xfId="0" applyFill="1" applyAlignment="1">
      <alignment vertical="center" wrapText="1"/>
    </xf>
    <xf numFmtId="0" fontId="8" fillId="4" borderId="4"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3" fillId="4" borderId="7" xfId="0" applyFont="1" applyFill="1" applyBorder="1" applyAlignment="1" applyProtection="1">
      <alignment horizontal="center" vertical="center" wrapText="1"/>
    </xf>
    <xf numFmtId="0" fontId="6" fillId="15" borderId="34" xfId="0" applyFont="1" applyFill="1" applyBorder="1" applyAlignment="1">
      <alignment horizontal="center" vertical="center" wrapText="1"/>
    </xf>
    <xf numFmtId="0" fontId="6" fillId="15" borderId="43" xfId="0" applyFont="1" applyFill="1" applyBorder="1" applyAlignment="1">
      <alignment horizontal="center" vertical="center" wrapText="1"/>
    </xf>
    <xf numFmtId="165" fontId="3" fillId="4" borderId="8" xfId="0" applyNumberFormat="1" applyFont="1" applyFill="1" applyBorder="1" applyAlignment="1" applyProtection="1">
      <alignment horizontal="center" vertical="center" wrapText="1"/>
    </xf>
    <xf numFmtId="165" fontId="3" fillId="4" borderId="7" xfId="0" applyNumberFormat="1" applyFont="1" applyFill="1" applyBorder="1" applyAlignment="1" applyProtection="1">
      <alignment horizontal="center" vertical="center" wrapText="1"/>
    </xf>
    <xf numFmtId="0" fontId="6" fillId="15" borderId="54" xfId="0" applyFont="1" applyFill="1" applyBorder="1" applyAlignment="1">
      <alignment horizontal="center" vertical="center" wrapText="1"/>
    </xf>
    <xf numFmtId="0" fontId="6" fillId="15" borderId="20" xfId="0" applyFont="1" applyFill="1" applyBorder="1" applyAlignment="1">
      <alignment horizontal="center" vertical="center" wrapText="1"/>
    </xf>
    <xf numFmtId="165" fontId="3" fillId="4" borderId="9" xfId="0" applyNumberFormat="1" applyFont="1" applyFill="1" applyBorder="1" applyAlignment="1" applyProtection="1">
      <alignment horizontal="center" vertical="center" wrapText="1"/>
    </xf>
    <xf numFmtId="0" fontId="8" fillId="4" borderId="3" xfId="0" applyFont="1" applyFill="1" applyBorder="1" applyAlignment="1">
      <alignment horizontal="center" vertical="center" wrapText="1"/>
    </xf>
    <xf numFmtId="0" fontId="0" fillId="15" borderId="8" xfId="0" applyFill="1" applyBorder="1" applyAlignment="1" applyProtection="1">
      <alignment horizontal="center" vertical="center" wrapText="1"/>
    </xf>
    <xf numFmtId="0" fontId="0" fillId="15" borderId="9" xfId="0" applyFill="1" applyBorder="1" applyAlignment="1" applyProtection="1">
      <alignment horizontal="center" vertical="center" wrapText="1"/>
    </xf>
    <xf numFmtId="0" fontId="8" fillId="4" borderId="78" xfId="0" applyFont="1" applyFill="1" applyBorder="1" applyAlignment="1" applyProtection="1">
      <alignment horizontal="center" vertical="center" wrapText="1"/>
    </xf>
    <xf numFmtId="0" fontId="6" fillId="11" borderId="68" xfId="0" applyFont="1" applyFill="1" applyBorder="1" applyAlignment="1" applyProtection="1">
      <alignment horizontal="center" vertical="center" wrapText="1"/>
    </xf>
    <xf numFmtId="166" fontId="6" fillId="13" borderId="69" xfId="0" applyNumberFormat="1" applyFont="1" applyFill="1" applyBorder="1" applyAlignment="1" applyProtection="1">
      <alignment horizontal="center" vertical="center" wrapText="1"/>
    </xf>
    <xf numFmtId="3" fontId="7" fillId="3" borderId="44" xfId="0" applyNumberFormat="1" applyFont="1" applyFill="1" applyBorder="1" applyAlignment="1" applyProtection="1">
      <alignment horizontal="center" vertical="center" wrapText="1"/>
    </xf>
    <xf numFmtId="0" fontId="3" fillId="4" borderId="24" xfId="0" quotePrefix="1" applyFont="1" applyFill="1" applyBorder="1" applyAlignment="1" applyProtection="1">
      <alignment horizontal="center" vertical="center" wrapText="1"/>
    </xf>
    <xf numFmtId="3" fontId="3" fillId="4" borderId="43" xfId="0" applyNumberFormat="1" applyFont="1" applyFill="1" applyBorder="1" applyAlignment="1">
      <alignment horizontal="center" vertical="center" wrapText="1"/>
    </xf>
    <xf numFmtId="3" fontId="3" fillId="4" borderId="21" xfId="0" applyNumberFormat="1" applyFont="1" applyFill="1" applyBorder="1" applyAlignment="1">
      <alignment horizontal="center" vertical="center" wrapText="1"/>
    </xf>
    <xf numFmtId="0" fontId="6" fillId="4" borderId="35" xfId="0" applyFont="1" applyFill="1" applyBorder="1" applyAlignment="1">
      <alignment horizontal="center" vertical="center" wrapText="1"/>
    </xf>
    <xf numFmtId="9" fontId="6" fillId="12" borderId="38" xfId="0" applyNumberFormat="1" applyFont="1" applyFill="1" applyBorder="1" applyAlignment="1">
      <alignment horizontal="center" vertical="center" wrapText="1"/>
    </xf>
    <xf numFmtId="9" fontId="6" fillId="12" borderId="40" xfId="0" applyNumberFormat="1"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20" xfId="0" applyFont="1" applyFill="1" applyBorder="1" applyAlignment="1">
      <alignment horizontal="center" vertical="center" wrapText="1"/>
    </xf>
    <xf numFmtId="3" fontId="15" fillId="13" borderId="51" xfId="0" applyNumberFormat="1" applyFont="1" applyFill="1" applyBorder="1" applyAlignment="1">
      <alignment horizontal="center" vertical="center" wrapText="1"/>
    </xf>
    <xf numFmtId="3" fontId="15" fillId="13" borderId="33" xfId="0" applyNumberFormat="1" applyFont="1" applyFill="1" applyBorder="1" applyAlignment="1">
      <alignment horizontal="center" vertical="center" wrapText="1"/>
    </xf>
    <xf numFmtId="0" fontId="6" fillId="11" borderId="50" xfId="0" applyFont="1" applyFill="1" applyBorder="1" applyAlignment="1" applyProtection="1">
      <alignment horizontal="center" vertical="center" wrapText="1"/>
    </xf>
    <xf numFmtId="0" fontId="6" fillId="11" borderId="40" xfId="0" applyFont="1" applyFill="1" applyBorder="1" applyAlignment="1" applyProtection="1">
      <alignment horizontal="center" vertical="center" wrapText="1"/>
    </xf>
    <xf numFmtId="0" fontId="3" fillId="4" borderId="2" xfId="0" quotePrefix="1" applyFont="1" applyFill="1" applyBorder="1" applyAlignment="1" applyProtection="1">
      <alignment horizontal="center" vertical="center" wrapText="1"/>
    </xf>
    <xf numFmtId="0" fontId="3" fillId="4" borderId="3" xfId="0" quotePrefix="1" applyFont="1" applyFill="1" applyBorder="1" applyAlignment="1" applyProtection="1">
      <alignment horizontal="center" vertical="center" wrapText="1"/>
    </xf>
    <xf numFmtId="0" fontId="6" fillId="13" borderId="44" xfId="0" applyFont="1" applyFill="1" applyBorder="1" applyAlignment="1" applyProtection="1">
      <alignment horizontal="center" vertical="center" wrapText="1"/>
    </xf>
    <xf numFmtId="166" fontId="6" fillId="13" borderId="21" xfId="0" applyNumberFormat="1" applyFont="1" applyFill="1" applyBorder="1" applyAlignment="1" applyProtection="1">
      <alignment horizontal="center" vertical="center" wrapText="1"/>
    </xf>
    <xf numFmtId="3" fontId="7" fillId="3" borderId="36" xfId="0" applyNumberFormat="1" applyFont="1" applyFill="1" applyBorder="1" applyAlignment="1" applyProtection="1">
      <alignment horizontal="center" vertical="center" wrapText="1"/>
    </xf>
    <xf numFmtId="0" fontId="0" fillId="15" borderId="7" xfId="0" applyFill="1" applyBorder="1" applyAlignment="1" applyProtection="1">
      <alignment horizontal="center" vertical="center" wrapText="1"/>
    </xf>
    <xf numFmtId="167" fontId="13" fillId="12" borderId="57" xfId="0" applyNumberFormat="1" applyFont="1" applyFill="1" applyBorder="1" applyAlignment="1" applyProtection="1">
      <alignment horizontal="center" vertical="center" wrapText="1"/>
    </xf>
    <xf numFmtId="3" fontId="13" fillId="10" borderId="47" xfId="0" applyNumberFormat="1" applyFont="1" applyFill="1" applyBorder="1" applyAlignment="1" applyProtection="1">
      <alignment horizontal="center" vertical="center" wrapText="1"/>
    </xf>
    <xf numFmtId="3" fontId="3" fillId="3" borderId="47" xfId="0" applyNumberFormat="1" applyFont="1" applyFill="1" applyBorder="1" applyAlignment="1" applyProtection="1">
      <alignment horizontal="center" vertical="center" wrapText="1"/>
    </xf>
    <xf numFmtId="0" fontId="3" fillId="4" borderId="28" xfId="0" applyFont="1" applyFill="1" applyBorder="1" applyAlignment="1" applyProtection="1">
      <alignment horizontal="center" vertical="center" wrapText="1"/>
    </xf>
    <xf numFmtId="0" fontId="3" fillId="4" borderId="18" xfId="0" applyFont="1" applyFill="1" applyBorder="1" applyAlignment="1" applyProtection="1">
      <alignment horizontal="center" vertical="center" wrapText="1"/>
    </xf>
    <xf numFmtId="0" fontId="3" fillId="4" borderId="19"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3" fontId="6" fillId="13" borderId="3" xfId="0" applyNumberFormat="1" applyFont="1" applyFill="1" applyBorder="1" applyAlignment="1" applyProtection="1">
      <alignment horizontal="center" vertical="center" wrapText="1"/>
    </xf>
    <xf numFmtId="3" fontId="6" fillId="13" borderId="4" xfId="0" applyNumberFormat="1" applyFont="1" applyFill="1" applyBorder="1" applyAlignment="1" applyProtection="1">
      <alignment horizontal="center" vertical="center" wrapText="1"/>
    </xf>
    <xf numFmtId="0" fontId="3" fillId="4" borderId="17" xfId="0" applyFont="1" applyFill="1" applyBorder="1" applyAlignment="1" applyProtection="1">
      <alignment vertical="center" wrapText="1"/>
    </xf>
    <xf numFmtId="3" fontId="6" fillId="10" borderId="32" xfId="0" applyNumberFormat="1" applyFont="1" applyFill="1" applyBorder="1" applyAlignment="1" applyProtection="1">
      <alignment horizontal="center" vertical="center" wrapText="1"/>
    </xf>
    <xf numFmtId="3" fontId="7" fillId="3" borderId="20" xfId="0" applyNumberFormat="1" applyFont="1" applyFill="1" applyBorder="1" applyAlignment="1" applyProtection="1">
      <alignment horizontal="center" vertical="center" wrapText="1"/>
    </xf>
    <xf numFmtId="3" fontId="6" fillId="10" borderId="51" xfId="0" applyNumberFormat="1" applyFont="1" applyFill="1" applyBorder="1" applyAlignment="1" applyProtection="1">
      <alignment horizontal="center" vertical="center" wrapText="1"/>
    </xf>
    <xf numFmtId="3" fontId="7" fillId="3" borderId="43" xfId="0" applyNumberFormat="1" applyFont="1" applyFill="1" applyBorder="1" applyAlignment="1" applyProtection="1">
      <alignment horizontal="center" vertical="center" wrapText="1"/>
    </xf>
    <xf numFmtId="0" fontId="3" fillId="4" borderId="66" xfId="0" applyFont="1" applyFill="1" applyBorder="1" applyAlignment="1" applyProtection="1">
      <alignment horizontal="center" vertical="center" wrapText="1"/>
    </xf>
    <xf numFmtId="3" fontId="6" fillId="10" borderId="33" xfId="0" applyNumberFormat="1" applyFont="1" applyFill="1" applyBorder="1" applyAlignment="1" applyProtection="1">
      <alignment horizontal="center" vertical="center" wrapText="1"/>
    </xf>
    <xf numFmtId="3" fontId="7" fillId="3" borderId="21" xfId="0" applyNumberFormat="1" applyFont="1" applyFill="1" applyBorder="1" applyAlignment="1" applyProtection="1">
      <alignment horizontal="center" vertical="center" wrapText="1"/>
    </xf>
    <xf numFmtId="3" fontId="13" fillId="10" borderId="46" xfId="0" applyNumberFormat="1" applyFont="1" applyFill="1" applyBorder="1" applyAlignment="1" applyProtection="1">
      <alignment horizontal="center" vertical="center" wrapText="1"/>
    </xf>
    <xf numFmtId="3" fontId="3" fillId="3" borderId="57" xfId="0" applyNumberFormat="1" applyFont="1" applyFill="1" applyBorder="1" applyAlignment="1" applyProtection="1">
      <alignment horizontal="center" vertical="center" wrapText="1"/>
    </xf>
    <xf numFmtId="9" fontId="6" fillId="12" borderId="50" xfId="0" applyNumberFormat="1" applyFont="1" applyFill="1" applyBorder="1" applyAlignment="1" applyProtection="1">
      <alignment horizontal="center" vertical="center" wrapText="1"/>
    </xf>
    <xf numFmtId="9" fontId="6" fillId="12" borderId="38" xfId="0" applyNumberFormat="1" applyFont="1" applyFill="1" applyBorder="1" applyAlignment="1" applyProtection="1">
      <alignment horizontal="center" vertical="center" wrapText="1"/>
    </xf>
    <xf numFmtId="0" fontId="6" fillId="12" borderId="45" xfId="0" quotePrefix="1" applyFont="1" applyFill="1" applyBorder="1" applyAlignment="1" applyProtection="1">
      <alignment horizontal="center" vertical="center" wrapText="1"/>
    </xf>
    <xf numFmtId="3" fontId="4" fillId="15" borderId="34" xfId="0" applyNumberFormat="1" applyFont="1" applyFill="1" applyBorder="1" applyAlignment="1" applyProtection="1">
      <alignment horizontal="center" vertical="center" wrapText="1"/>
      <protection locked="0"/>
    </xf>
    <xf numFmtId="3" fontId="7" fillId="3" borderId="34" xfId="0" applyNumberFormat="1" applyFont="1" applyFill="1" applyBorder="1" applyAlignment="1">
      <alignment horizontal="center" vertical="center" wrapText="1"/>
    </xf>
    <xf numFmtId="0" fontId="3" fillId="4" borderId="78" xfId="0" applyFont="1" applyFill="1" applyBorder="1" applyAlignment="1">
      <alignment horizontal="center" vertical="center" wrapText="1"/>
    </xf>
    <xf numFmtId="0" fontId="15" fillId="13" borderId="77" xfId="0" applyFont="1" applyFill="1" applyBorder="1" applyAlignment="1">
      <alignment horizontal="center" vertical="center" wrapText="1"/>
    </xf>
    <xf numFmtId="2" fontId="6" fillId="12" borderId="34" xfId="0" applyNumberFormat="1" applyFont="1" applyFill="1" applyBorder="1" applyAlignment="1">
      <alignment horizontal="center" vertical="center" wrapText="1"/>
    </xf>
    <xf numFmtId="2" fontId="6" fillId="12" borderId="36" xfId="0" applyNumberFormat="1" applyFont="1" applyFill="1" applyBorder="1" applyAlignment="1">
      <alignment horizontal="center" vertical="center" wrapText="1"/>
    </xf>
    <xf numFmtId="3" fontId="7" fillId="3" borderId="41" xfId="0" applyNumberFormat="1" applyFont="1" applyFill="1" applyBorder="1" applyAlignment="1">
      <alignment horizontal="center" vertical="center" wrapText="1"/>
    </xf>
    <xf numFmtId="0" fontId="7" fillId="4" borderId="3" xfId="0" applyFont="1" applyFill="1" applyBorder="1" applyAlignment="1">
      <alignment horizontal="center" vertical="center" wrapText="1"/>
    </xf>
    <xf numFmtId="3" fontId="7" fillId="3" borderId="36" xfId="0" applyNumberFormat="1" applyFont="1" applyFill="1" applyBorder="1" applyAlignment="1">
      <alignment horizontal="center" vertical="center" wrapText="1"/>
    </xf>
    <xf numFmtId="0" fontId="4" fillId="20" borderId="35" xfId="0" applyFont="1" applyFill="1" applyBorder="1" applyAlignment="1">
      <alignment horizontal="center" vertical="center" wrapText="1"/>
    </xf>
    <xf numFmtId="0" fontId="4" fillId="20" borderId="38" xfId="0" applyFont="1" applyFill="1" applyBorder="1" applyAlignment="1">
      <alignment horizontal="center" vertical="center" wrapText="1"/>
    </xf>
    <xf numFmtId="0" fontId="4" fillId="20" borderId="40" xfId="0" applyFont="1" applyFill="1" applyBorder="1" applyAlignment="1">
      <alignment horizontal="center" vertical="center" wrapText="1"/>
    </xf>
    <xf numFmtId="0" fontId="6" fillId="14" borderId="0" xfId="0" applyFont="1" applyFill="1" applyAlignment="1">
      <alignment vertical="center"/>
    </xf>
    <xf numFmtId="0" fontId="3" fillId="4" borderId="1" xfId="0" applyFont="1" applyFill="1" applyBorder="1" applyAlignment="1">
      <alignment horizontal="center" vertical="center"/>
    </xf>
    <xf numFmtId="3" fontId="6" fillId="21" borderId="37" xfId="0" applyNumberFormat="1" applyFont="1" applyFill="1" applyBorder="1" applyAlignment="1">
      <alignment horizontal="center" vertical="center" wrapText="1"/>
    </xf>
    <xf numFmtId="3" fontId="6" fillId="21" borderId="39" xfId="0" applyNumberFormat="1" applyFont="1" applyFill="1" applyBorder="1" applyAlignment="1">
      <alignment horizontal="center" vertical="center" wrapText="1"/>
    </xf>
    <xf numFmtId="3" fontId="4" fillId="21" borderId="39" xfId="0" applyNumberFormat="1" applyFont="1" applyFill="1" applyBorder="1" applyAlignment="1">
      <alignment horizontal="center" vertical="center" wrapText="1"/>
    </xf>
    <xf numFmtId="0" fontId="6" fillId="21" borderId="26" xfId="0" applyFont="1" applyFill="1" applyBorder="1" applyAlignment="1">
      <alignment horizontal="center" vertical="center"/>
    </xf>
    <xf numFmtId="0" fontId="6" fillId="21" borderId="81"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29" xfId="0" applyFont="1" applyFill="1" applyBorder="1" applyAlignment="1">
      <alignment horizontal="center" vertical="center"/>
    </xf>
    <xf numFmtId="0" fontId="6" fillId="21" borderId="25" xfId="0" applyFont="1" applyFill="1" applyBorder="1" applyAlignment="1">
      <alignment horizontal="center" vertical="center"/>
    </xf>
    <xf numFmtId="0" fontId="13" fillId="4" borderId="24" xfId="0" applyFont="1" applyFill="1" applyBorder="1" applyAlignment="1">
      <alignment horizontal="center" vertical="center"/>
    </xf>
    <xf numFmtId="0" fontId="13" fillId="11" borderId="54" xfId="0" applyFont="1" applyFill="1" applyBorder="1" applyAlignment="1" applyProtection="1">
      <alignment vertical="center" wrapText="1"/>
    </xf>
    <xf numFmtId="0" fontId="13" fillId="11" borderId="56" xfId="0" applyFont="1" applyFill="1" applyBorder="1" applyAlignment="1" applyProtection="1">
      <alignment vertical="center" wrapText="1"/>
    </xf>
    <xf numFmtId="0" fontId="4" fillId="13" borderId="9" xfId="0" applyFont="1" applyFill="1" applyBorder="1" applyAlignment="1" applyProtection="1">
      <alignment horizontal="center" vertical="center" wrapText="1"/>
    </xf>
    <xf numFmtId="0" fontId="6" fillId="11" borderId="44" xfId="0" applyFont="1" applyFill="1" applyBorder="1" applyAlignment="1" applyProtection="1">
      <alignment vertical="center" wrapText="1"/>
    </xf>
    <xf numFmtId="0" fontId="6" fillId="11" borderId="55" xfId="0" applyFont="1" applyFill="1" applyBorder="1" applyAlignment="1" applyProtection="1">
      <alignment vertical="center" wrapText="1"/>
    </xf>
    <xf numFmtId="0" fontId="13" fillId="11" borderId="10" xfId="0" applyFont="1" applyFill="1" applyBorder="1" applyAlignment="1" applyProtection="1">
      <alignment horizontal="left" vertical="center" wrapText="1"/>
    </xf>
    <xf numFmtId="0" fontId="3" fillId="4" borderId="2" xfId="0" applyFont="1" applyFill="1" applyBorder="1" applyAlignment="1" applyProtection="1">
      <alignment horizontal="center" vertical="center" wrapText="1"/>
    </xf>
    <xf numFmtId="1" fontId="3" fillId="4" borderId="3" xfId="0" applyNumberFormat="1" applyFont="1" applyFill="1" applyBorder="1" applyAlignment="1" applyProtection="1">
      <alignment horizontal="center" vertical="center" wrapText="1"/>
    </xf>
    <xf numFmtId="0" fontId="3" fillId="4" borderId="30" xfId="0" applyFont="1" applyFill="1" applyBorder="1" applyAlignment="1" applyProtection="1">
      <alignment horizontal="center" vertical="center" wrapText="1"/>
    </xf>
    <xf numFmtId="0" fontId="13" fillId="11" borderId="78" xfId="0" applyFont="1" applyFill="1" applyBorder="1" applyAlignment="1" applyProtection="1">
      <alignment horizontal="left" vertical="center" wrapText="1"/>
    </xf>
    <xf numFmtId="1" fontId="3" fillId="4" borderId="18" xfId="0" applyNumberFormat="1" applyFont="1" applyFill="1" applyBorder="1" applyAlignment="1" applyProtection="1">
      <alignment horizontal="center" vertical="center" wrapText="1"/>
    </xf>
    <xf numFmtId="0" fontId="3" fillId="4" borderId="67" xfId="0" applyFont="1" applyFill="1" applyBorder="1" applyAlignment="1" applyProtection="1">
      <alignment horizontal="center" vertical="center" wrapText="1"/>
    </xf>
    <xf numFmtId="0" fontId="6" fillId="11" borderId="63" xfId="0" applyFont="1" applyFill="1" applyBorder="1" applyAlignment="1" applyProtection="1">
      <alignment vertical="center" wrapText="1"/>
    </xf>
    <xf numFmtId="0" fontId="3" fillId="4" borderId="7" xfId="0" applyFont="1" applyFill="1" applyBorder="1" applyAlignment="1" applyProtection="1">
      <alignment horizontal="left" vertical="center" wrapText="1"/>
    </xf>
    <xf numFmtId="0" fontId="6" fillId="13" borderId="36" xfId="0" applyFont="1" applyFill="1" applyBorder="1" applyAlignment="1" applyProtection="1">
      <alignment horizontal="center" vertical="center" wrapText="1"/>
    </xf>
    <xf numFmtId="3" fontId="6" fillId="20" borderId="36" xfId="0" applyNumberFormat="1" applyFont="1" applyFill="1" applyBorder="1" applyAlignment="1" applyProtection="1">
      <alignment horizontal="center" vertical="center" wrapText="1"/>
    </xf>
    <xf numFmtId="2" fontId="6" fillId="12" borderId="37" xfId="0" applyNumberFormat="1" applyFont="1" applyFill="1" applyBorder="1" applyAlignment="1" applyProtection="1">
      <alignment horizontal="center" vertical="center" wrapText="1"/>
    </xf>
    <xf numFmtId="0" fontId="6" fillId="13" borderId="34" xfId="0" applyFont="1" applyFill="1" applyBorder="1" applyAlignment="1" applyProtection="1">
      <alignment horizontal="center" vertical="center" wrapText="1"/>
    </xf>
    <xf numFmtId="3" fontId="6" fillId="20" borderId="34" xfId="0" applyNumberFormat="1" applyFont="1" applyFill="1" applyBorder="1" applyAlignment="1" applyProtection="1">
      <alignment horizontal="center" vertical="center" wrapText="1"/>
    </xf>
    <xf numFmtId="2" fontId="6" fillId="12" borderId="39" xfId="0" applyNumberFormat="1" applyFont="1" applyFill="1" applyBorder="1" applyAlignment="1" applyProtection="1">
      <alignment horizontal="center" vertical="center" wrapText="1"/>
    </xf>
    <xf numFmtId="0" fontId="6" fillId="12" borderId="39" xfId="0" applyFont="1" applyFill="1" applyBorder="1" applyAlignment="1" applyProtection="1">
      <alignment horizontal="center" vertical="center" wrapText="1"/>
    </xf>
    <xf numFmtId="0" fontId="3" fillId="4" borderId="9" xfId="0" applyFont="1" applyFill="1" applyBorder="1" applyAlignment="1" applyProtection="1">
      <alignment horizontal="left" vertical="center" wrapText="1"/>
    </xf>
    <xf numFmtId="3" fontId="6" fillId="20" borderId="41" xfId="0" applyNumberFormat="1" applyFont="1" applyFill="1" applyBorder="1" applyAlignment="1" applyProtection="1">
      <alignment horizontal="center" vertical="center" wrapText="1"/>
    </xf>
    <xf numFmtId="0" fontId="6" fillId="12" borderId="42" xfId="0" applyFont="1" applyFill="1" applyBorder="1" applyAlignment="1" applyProtection="1">
      <alignment horizontal="center" vertical="center" wrapText="1"/>
    </xf>
    <xf numFmtId="3" fontId="6" fillId="20" borderId="44" xfId="0" applyNumberFormat="1" applyFont="1" applyFill="1" applyBorder="1" applyAlignment="1" applyProtection="1">
      <alignment horizontal="center" vertical="center" wrapText="1"/>
    </xf>
    <xf numFmtId="2" fontId="6" fillId="12" borderId="55" xfId="0" applyNumberFormat="1" applyFont="1" applyFill="1" applyBorder="1" applyAlignment="1" applyProtection="1">
      <alignment horizontal="center" vertical="center" wrapText="1"/>
    </xf>
    <xf numFmtId="0" fontId="6" fillId="11" borderId="5" xfId="0" applyFont="1" applyFill="1" applyBorder="1" applyAlignment="1" applyProtection="1">
      <alignment vertical="center" wrapText="1"/>
    </xf>
    <xf numFmtId="0" fontId="6" fillId="11" borderId="3" xfId="0" applyFont="1" applyFill="1" applyBorder="1" applyAlignment="1" applyProtection="1">
      <alignment vertical="center" wrapText="1"/>
    </xf>
    <xf numFmtId="3" fontId="13" fillId="13" borderId="1" xfId="0" applyNumberFormat="1" applyFont="1" applyFill="1" applyBorder="1" applyAlignment="1" applyProtection="1">
      <alignment horizontal="center" vertical="center" wrapText="1"/>
    </xf>
    <xf numFmtId="0" fontId="6" fillId="11" borderId="35" xfId="0" applyFont="1" applyFill="1" applyBorder="1" applyAlignment="1" applyProtection="1">
      <alignment vertical="center" wrapText="1"/>
    </xf>
    <xf numFmtId="0" fontId="6" fillId="11" borderId="36" xfId="0" applyFont="1" applyFill="1" applyBorder="1" applyAlignment="1" applyProtection="1">
      <alignment vertical="center" wrapText="1"/>
    </xf>
    <xf numFmtId="3" fontId="13" fillId="20" borderId="36" xfId="0" applyNumberFormat="1" applyFont="1" applyFill="1" applyBorder="1" applyAlignment="1" applyProtection="1">
      <alignment horizontal="center" vertical="center" wrapText="1"/>
    </xf>
    <xf numFmtId="3" fontId="13" fillId="20" borderId="37" xfId="0" applyNumberFormat="1" applyFont="1" applyFill="1" applyBorder="1" applyAlignment="1" applyProtection="1">
      <alignment horizontal="center" vertical="center" wrapText="1"/>
    </xf>
    <xf numFmtId="3" fontId="13" fillId="20" borderId="29" xfId="0" applyNumberFormat="1" applyFont="1" applyFill="1" applyBorder="1" applyAlignment="1" applyProtection="1">
      <alignment horizontal="center" vertical="center" wrapText="1"/>
    </xf>
    <xf numFmtId="3" fontId="13" fillId="20" borderId="52" xfId="0" applyNumberFormat="1" applyFont="1" applyFill="1" applyBorder="1" applyAlignment="1" applyProtection="1">
      <alignment horizontal="center" vertical="center" wrapText="1"/>
    </xf>
    <xf numFmtId="0" fontId="6" fillId="11" borderId="38" xfId="0" applyFont="1" applyFill="1" applyBorder="1" applyAlignment="1" applyProtection="1">
      <alignment vertical="center" wrapText="1"/>
    </xf>
    <xf numFmtId="0" fontId="6" fillId="11" borderId="34" xfId="0" applyFont="1" applyFill="1" applyBorder="1" applyAlignment="1" applyProtection="1">
      <alignment vertical="center" wrapText="1"/>
    </xf>
    <xf numFmtId="3" fontId="3" fillId="3" borderId="34" xfId="0" applyNumberFormat="1" applyFont="1" applyFill="1" applyBorder="1" applyAlignment="1" applyProtection="1">
      <alignment horizontal="center" vertical="center" wrapText="1"/>
    </xf>
    <xf numFmtId="3" fontId="3" fillId="3" borderId="39" xfId="0" applyNumberFormat="1" applyFont="1" applyFill="1" applyBorder="1" applyAlignment="1" applyProtection="1">
      <alignment horizontal="center" vertical="center" wrapText="1"/>
    </xf>
    <xf numFmtId="3" fontId="3" fillId="3" borderId="8" xfId="0" applyNumberFormat="1" applyFont="1" applyFill="1" applyBorder="1" applyAlignment="1" applyProtection="1">
      <alignment horizontal="center" vertical="center" wrapText="1"/>
    </xf>
    <xf numFmtId="0" fontId="6" fillId="11" borderId="45" xfId="0" applyFont="1" applyFill="1" applyBorder="1" applyAlignment="1" applyProtection="1">
      <alignment vertical="center" wrapText="1"/>
    </xf>
    <xf numFmtId="0" fontId="13" fillId="12" borderId="44" xfId="0" applyFont="1" applyFill="1" applyBorder="1" applyAlignment="1" applyProtection="1">
      <alignment horizontal="center" vertical="center" wrapText="1"/>
    </xf>
    <xf numFmtId="0" fontId="13" fillId="12" borderId="55" xfId="0" applyFont="1" applyFill="1" applyBorder="1" applyAlignment="1" applyProtection="1">
      <alignment horizontal="center" vertical="center" wrapText="1"/>
    </xf>
    <xf numFmtId="0" fontId="13" fillId="12" borderId="9" xfId="0" applyFont="1" applyFill="1" applyBorder="1" applyAlignment="1" applyProtection="1">
      <alignment horizontal="center" vertical="center" wrapText="1"/>
    </xf>
    <xf numFmtId="0" fontId="13" fillId="12" borderId="21" xfId="0" applyFont="1" applyFill="1" applyBorder="1" applyAlignment="1" applyProtection="1">
      <alignment horizontal="center" vertical="center" wrapText="1"/>
    </xf>
    <xf numFmtId="2" fontId="6" fillId="12" borderId="42" xfId="0" applyNumberFormat="1" applyFont="1" applyFill="1" applyBorder="1" applyAlignment="1" applyProtection="1">
      <alignment horizontal="center" vertical="center" wrapText="1"/>
    </xf>
    <xf numFmtId="0" fontId="8" fillId="4" borderId="35"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6" fillId="0" borderId="38" xfId="0" applyFont="1" applyFill="1" applyBorder="1" applyAlignment="1">
      <alignment vertical="center" wrapText="1"/>
    </xf>
    <xf numFmtId="0" fontId="6" fillId="0" borderId="40" xfId="0" applyFont="1" applyFill="1" applyBorder="1" applyAlignment="1">
      <alignment vertical="center" wrapText="1"/>
    </xf>
    <xf numFmtId="0" fontId="0" fillId="15" borderId="9" xfId="0" applyFont="1" applyFill="1" applyBorder="1" applyAlignment="1">
      <alignment horizontal="center" vertical="center" wrapText="1"/>
    </xf>
    <xf numFmtId="0" fontId="8" fillId="4" borderId="78" xfId="0" applyFont="1" applyFill="1" applyBorder="1" applyAlignment="1">
      <alignment horizontal="center" vertical="center" wrapText="1"/>
    </xf>
    <xf numFmtId="0" fontId="0" fillId="15" borderId="78" xfId="0" applyFont="1" applyFill="1" applyBorder="1" applyAlignment="1">
      <alignment horizontal="center" vertical="center" wrapText="1"/>
    </xf>
    <xf numFmtId="0" fontId="0" fillId="15" borderId="65" xfId="0" applyFont="1" applyFill="1" applyBorder="1" applyAlignment="1">
      <alignment horizontal="center" vertical="center" wrapText="1"/>
    </xf>
    <xf numFmtId="0" fontId="8" fillId="4" borderId="1" xfId="0" quotePrefix="1" applyFont="1" applyFill="1" applyBorder="1" applyAlignment="1" applyProtection="1">
      <alignment horizontal="center" vertical="center" wrapText="1"/>
    </xf>
    <xf numFmtId="0" fontId="0" fillId="15" borderId="10" xfId="0" applyFont="1" applyFill="1" applyBorder="1" applyAlignment="1">
      <alignment horizontal="center" vertical="center" wrapText="1"/>
    </xf>
    <xf numFmtId="0" fontId="0" fillId="15" borderId="66" xfId="0" applyFont="1" applyFill="1" applyBorder="1" applyAlignment="1">
      <alignment horizontal="center" vertical="center" wrapText="1"/>
    </xf>
    <xf numFmtId="2" fontId="6" fillId="12" borderId="36" xfId="0" applyNumberFormat="1" applyFont="1" applyFill="1" applyBorder="1" applyAlignment="1" applyProtection="1">
      <alignment horizontal="center" vertical="center" wrapText="1"/>
    </xf>
    <xf numFmtId="2" fontId="6" fillId="12" borderId="34" xfId="0" applyNumberFormat="1" applyFont="1" applyFill="1" applyBorder="1" applyAlignment="1" applyProtection="1">
      <alignment horizontal="center" vertical="center" wrapText="1"/>
    </xf>
    <xf numFmtId="2" fontId="6" fillId="12" borderId="41" xfId="0" applyNumberFormat="1" applyFont="1" applyFill="1" applyBorder="1" applyAlignment="1" applyProtection="1">
      <alignment horizontal="center" vertical="center" wrapText="1"/>
    </xf>
    <xf numFmtId="2" fontId="13" fillId="12" borderId="3" xfId="0" applyNumberFormat="1" applyFont="1" applyFill="1" applyBorder="1" applyAlignment="1" applyProtection="1">
      <alignment horizontal="center" vertical="center" wrapText="1"/>
    </xf>
    <xf numFmtId="0" fontId="12" fillId="4" borderId="78" xfId="0" applyNumberFormat="1" applyFont="1" applyFill="1" applyBorder="1" applyAlignment="1" applyProtection="1">
      <alignment horizontal="center" vertical="center" wrapText="1"/>
    </xf>
    <xf numFmtId="164" fontId="12" fillId="4" borderId="78" xfId="0" applyNumberFormat="1" applyFont="1" applyFill="1" applyBorder="1" applyAlignment="1" applyProtection="1">
      <alignment horizontal="center" vertical="center" wrapText="1"/>
    </xf>
    <xf numFmtId="170" fontId="8" fillId="3" borderId="78" xfId="0" applyNumberFormat="1" applyFont="1" applyFill="1" applyBorder="1" applyAlignment="1" applyProtection="1">
      <alignment horizontal="center" vertical="center" wrapText="1"/>
    </xf>
    <xf numFmtId="170" fontId="1" fillId="3" borderId="6" xfId="0" applyNumberFormat="1" applyFont="1" applyFill="1" applyBorder="1" applyAlignment="1" applyProtection="1">
      <alignment horizontal="center" vertical="center" wrapText="1"/>
    </xf>
    <xf numFmtId="0" fontId="6" fillId="11" borderId="78" xfId="0" applyFont="1" applyFill="1" applyBorder="1" applyAlignment="1" applyProtection="1">
      <alignment horizontal="center" vertical="center" wrapText="1"/>
    </xf>
    <xf numFmtId="0" fontId="0" fillId="14" borderId="0" xfId="0" applyFill="1" applyAlignment="1">
      <alignment wrapText="1"/>
    </xf>
    <xf numFmtId="0" fontId="6" fillId="11" borderId="78" xfId="0" applyFont="1" applyFill="1" applyBorder="1" applyAlignment="1" applyProtection="1">
      <alignment vertical="center" wrapText="1"/>
    </xf>
    <xf numFmtId="0" fontId="7" fillId="14" borderId="0" xfId="0" applyFont="1" applyFill="1" applyAlignment="1" applyProtection="1">
      <alignment vertical="center"/>
    </xf>
    <xf numFmtId="0" fontId="6" fillId="0" borderId="38" xfId="0" quotePrefix="1" applyFont="1" applyFill="1" applyBorder="1" applyAlignment="1">
      <alignment vertical="center" wrapText="1"/>
    </xf>
    <xf numFmtId="0" fontId="12" fillId="4" borderId="14" xfId="0" applyNumberFormat="1"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3" fillId="4" borderId="79" xfId="0" applyFont="1" applyFill="1" applyBorder="1" applyAlignment="1" applyProtection="1">
      <alignment horizontal="left" vertical="center" wrapText="1"/>
    </xf>
    <xf numFmtId="0" fontId="3" fillId="4" borderId="73" xfId="0" applyFont="1" applyFill="1" applyBorder="1" applyAlignment="1" applyProtection="1">
      <alignment horizontal="left" vertical="center" wrapText="1"/>
    </xf>
    <xf numFmtId="168" fontId="17" fillId="10" borderId="16" xfId="0" applyNumberFormat="1" applyFont="1" applyFill="1" applyBorder="1" applyAlignment="1" applyProtection="1">
      <alignment horizontal="center" vertical="center" wrapText="1"/>
    </xf>
    <xf numFmtId="0" fontId="3" fillId="4" borderId="11" xfId="0" applyFont="1" applyFill="1" applyBorder="1" applyAlignment="1" applyProtection="1">
      <alignment horizontal="center" vertical="center" wrapText="1"/>
    </xf>
    <xf numFmtId="1" fontId="6" fillId="13" borderId="15" xfId="0" applyNumberFormat="1" applyFont="1" applyFill="1" applyBorder="1" applyAlignment="1" applyProtection="1">
      <alignment horizontal="center" vertical="center" wrapText="1"/>
    </xf>
    <xf numFmtId="0" fontId="3" fillId="4" borderId="78" xfId="0" applyFont="1" applyFill="1" applyBorder="1" applyAlignment="1" applyProtection="1">
      <alignment horizontal="center" vertical="center" wrapText="1"/>
    </xf>
    <xf numFmtId="3" fontId="6" fillId="13" borderId="18" xfId="0" applyNumberFormat="1" applyFont="1" applyFill="1" applyBorder="1" applyAlignment="1" applyProtection="1">
      <alignment horizontal="center" vertical="center" wrapText="1"/>
    </xf>
    <xf numFmtId="3" fontId="6" fillId="13" borderId="19" xfId="0" applyNumberFormat="1" applyFont="1" applyFill="1" applyBorder="1" applyAlignment="1" applyProtection="1">
      <alignment horizontal="center" vertical="center" wrapText="1"/>
    </xf>
    <xf numFmtId="3" fontId="13" fillId="13" borderId="58" xfId="0" applyNumberFormat="1" applyFont="1" applyFill="1" applyBorder="1" applyAlignment="1" applyProtection="1">
      <alignment horizontal="center" vertical="center" wrapText="1"/>
    </xf>
    <xf numFmtId="3" fontId="13" fillId="13" borderId="47" xfId="0" applyNumberFormat="1" applyFont="1" applyFill="1" applyBorder="1" applyAlignment="1" applyProtection="1">
      <alignment horizontal="center" vertical="center" wrapText="1"/>
    </xf>
    <xf numFmtId="3" fontId="13" fillId="13" borderId="57" xfId="0" applyNumberFormat="1" applyFont="1" applyFill="1" applyBorder="1" applyAlignment="1" applyProtection="1">
      <alignment horizontal="center" vertical="center" wrapText="1"/>
    </xf>
    <xf numFmtId="0" fontId="3" fillId="4" borderId="24" xfId="0" applyFont="1" applyFill="1" applyBorder="1" applyAlignment="1" applyProtection="1">
      <alignment horizontal="center" vertical="center" wrapText="1"/>
    </xf>
    <xf numFmtId="3" fontId="13" fillId="13" borderId="48" xfId="0" applyNumberFormat="1" applyFont="1" applyFill="1" applyBorder="1" applyAlignment="1" applyProtection="1">
      <alignment horizontal="center" vertical="center" wrapText="1"/>
    </xf>
    <xf numFmtId="0" fontId="9" fillId="15" borderId="82" xfId="0" applyFont="1" applyFill="1" applyBorder="1" applyAlignment="1" applyProtection="1">
      <alignment horizontal="center" vertical="center" wrapText="1"/>
      <protection locked="0"/>
    </xf>
    <xf numFmtId="0" fontId="9" fillId="15" borderId="82" xfId="0" applyNumberFormat="1" applyFont="1" applyFill="1" applyBorder="1" applyAlignment="1" applyProtection="1">
      <alignment horizontal="center" vertical="center" wrapText="1"/>
      <protection locked="0"/>
    </xf>
    <xf numFmtId="0" fontId="6" fillId="15" borderId="83" xfId="0" applyFont="1" applyFill="1" applyBorder="1" applyAlignment="1" applyProtection="1">
      <alignment horizontal="center" vertical="center" wrapText="1"/>
      <protection locked="0"/>
    </xf>
    <xf numFmtId="0" fontId="6" fillId="15" borderId="84" xfId="0" applyFont="1" applyFill="1" applyBorder="1" applyAlignment="1" applyProtection="1">
      <alignment horizontal="center" vertical="center" wrapText="1"/>
      <protection locked="0"/>
    </xf>
    <xf numFmtId="0" fontId="6" fillId="15" borderId="85" xfId="0" applyFont="1" applyFill="1" applyBorder="1" applyAlignment="1" applyProtection="1">
      <alignment horizontal="center" vertical="center" wrapText="1"/>
      <protection locked="0"/>
    </xf>
    <xf numFmtId="0" fontId="6" fillId="15" borderId="86" xfId="0" applyFont="1" applyFill="1" applyBorder="1" applyAlignment="1" applyProtection="1">
      <alignment horizontal="center" vertical="center" wrapText="1"/>
      <protection locked="0"/>
    </xf>
    <xf numFmtId="0" fontId="6" fillId="15" borderId="87" xfId="0" applyFont="1" applyFill="1" applyBorder="1" applyAlignment="1" applyProtection="1">
      <alignment horizontal="center" vertical="center" wrapText="1"/>
      <protection locked="0"/>
    </xf>
    <xf numFmtId="0" fontId="6" fillId="15" borderId="88" xfId="0" applyFont="1" applyFill="1" applyBorder="1" applyAlignment="1" applyProtection="1">
      <alignment horizontal="center" vertical="center" wrapText="1"/>
      <protection locked="0"/>
    </xf>
    <xf numFmtId="0" fontId="6" fillId="15" borderId="89" xfId="0" applyFont="1" applyFill="1" applyBorder="1" applyAlignment="1" applyProtection="1">
      <alignment horizontal="center" vertical="center" wrapText="1"/>
      <protection locked="0"/>
    </xf>
    <xf numFmtId="0" fontId="6" fillId="15" borderId="90" xfId="0" applyFont="1" applyFill="1" applyBorder="1" applyAlignment="1" applyProtection="1">
      <alignment horizontal="center" vertical="center" wrapText="1"/>
      <protection locked="0"/>
    </xf>
    <xf numFmtId="0" fontId="0" fillId="15" borderId="82" xfId="0" applyFill="1" applyBorder="1" applyAlignment="1" applyProtection="1">
      <alignment horizontal="center" vertical="center" wrapText="1"/>
      <protection locked="0"/>
    </xf>
    <xf numFmtId="0" fontId="6" fillId="15" borderId="82" xfId="0" applyFont="1" applyFill="1" applyBorder="1" applyAlignment="1" applyProtection="1">
      <alignment horizontal="center" vertical="center" wrapText="1"/>
      <protection locked="0"/>
    </xf>
    <xf numFmtId="3" fontId="4" fillId="15" borderId="83" xfId="0" applyNumberFormat="1" applyFont="1" applyFill="1" applyBorder="1" applyAlignment="1" applyProtection="1">
      <alignment horizontal="center" vertical="center" wrapText="1"/>
      <protection locked="0"/>
    </xf>
    <xf numFmtId="3" fontId="4" fillId="15" borderId="89" xfId="0" applyNumberFormat="1" applyFont="1" applyFill="1" applyBorder="1" applyAlignment="1" applyProtection="1">
      <alignment horizontal="center" vertical="center" wrapText="1"/>
      <protection locked="0"/>
    </xf>
    <xf numFmtId="3" fontId="4" fillId="15" borderId="84" xfId="0" applyNumberFormat="1" applyFont="1" applyFill="1" applyBorder="1" applyAlignment="1" applyProtection="1">
      <alignment horizontal="center" vertical="center" wrapText="1"/>
      <protection locked="0"/>
    </xf>
    <xf numFmtId="3" fontId="4" fillId="15" borderId="85" xfId="0" applyNumberFormat="1" applyFont="1" applyFill="1" applyBorder="1" applyAlignment="1" applyProtection="1">
      <alignment horizontal="center" vertical="center" wrapText="1"/>
      <protection locked="0"/>
    </xf>
    <xf numFmtId="3" fontId="4" fillId="15" borderId="86" xfId="0" applyNumberFormat="1" applyFont="1" applyFill="1" applyBorder="1" applyAlignment="1" applyProtection="1">
      <alignment horizontal="center" vertical="center" wrapText="1"/>
      <protection locked="0"/>
    </xf>
    <xf numFmtId="3" fontId="4" fillId="15" borderId="87" xfId="0" applyNumberFormat="1" applyFont="1" applyFill="1" applyBorder="1" applyAlignment="1" applyProtection="1">
      <alignment horizontal="center" vertical="center" wrapText="1"/>
      <protection locked="0"/>
    </xf>
    <xf numFmtId="3" fontId="4" fillId="15" borderId="90" xfId="0" applyNumberFormat="1" applyFont="1" applyFill="1" applyBorder="1" applyAlignment="1" applyProtection="1">
      <alignment horizontal="center" vertical="center" wrapText="1"/>
      <protection locked="0"/>
    </xf>
    <xf numFmtId="3" fontId="4" fillId="15" borderId="88" xfId="0" applyNumberFormat="1" applyFont="1" applyFill="1" applyBorder="1" applyAlignment="1" applyProtection="1">
      <alignment horizontal="center" vertical="center" wrapText="1"/>
      <protection locked="0"/>
    </xf>
    <xf numFmtId="0" fontId="6" fillId="15" borderId="93" xfId="0" applyFont="1" applyFill="1" applyBorder="1" applyAlignment="1" applyProtection="1">
      <alignment horizontal="center" vertical="center" wrapText="1"/>
      <protection locked="0"/>
    </xf>
    <xf numFmtId="0" fontId="6" fillId="15" borderId="94" xfId="0" applyFont="1" applyFill="1" applyBorder="1" applyAlignment="1" applyProtection="1">
      <alignment horizontal="center" vertical="center" wrapText="1"/>
      <protection locked="0"/>
    </xf>
    <xf numFmtId="0" fontId="6" fillId="15" borderId="95" xfId="0" applyFont="1" applyFill="1" applyBorder="1" applyAlignment="1" applyProtection="1">
      <alignment horizontal="center" vertical="center" wrapText="1"/>
      <protection locked="0"/>
    </xf>
    <xf numFmtId="0" fontId="3" fillId="4" borderId="72" xfId="0" applyFont="1" applyFill="1" applyBorder="1" applyAlignment="1" applyProtection="1">
      <alignment horizontal="left" vertical="center" wrapText="1"/>
    </xf>
    <xf numFmtId="0" fontId="4" fillId="15" borderId="91" xfId="0" applyFont="1" applyFill="1" applyBorder="1" applyAlignment="1" applyProtection="1">
      <alignment horizontal="center" vertical="center" wrapText="1"/>
      <protection locked="0"/>
    </xf>
    <xf numFmtId="0" fontId="4" fillId="15" borderId="92" xfId="0" applyFont="1" applyFill="1" applyBorder="1" applyAlignment="1" applyProtection="1">
      <alignment horizontal="center" vertical="center" wrapText="1"/>
      <protection locked="0"/>
    </xf>
    <xf numFmtId="0" fontId="4" fillId="15" borderId="97" xfId="0" applyFont="1" applyFill="1" applyBorder="1" applyAlignment="1" applyProtection="1">
      <alignment horizontal="center" vertical="center" wrapText="1"/>
      <protection locked="0"/>
    </xf>
    <xf numFmtId="11" fontId="6" fillId="9" borderId="36" xfId="0" quotePrefix="1" applyNumberFormat="1" applyFont="1" applyFill="1" applyBorder="1" applyAlignment="1">
      <alignment horizontal="left" vertical="center" wrapText="1"/>
    </xf>
    <xf numFmtId="11" fontId="6" fillId="9" borderId="34" xfId="0" quotePrefix="1" applyNumberFormat="1" applyFont="1" applyFill="1" applyBorder="1" applyAlignment="1">
      <alignment horizontal="left" vertical="center" wrapText="1"/>
    </xf>
    <xf numFmtId="3" fontId="13" fillId="24" borderId="34" xfId="0" applyNumberFormat="1" applyFont="1" applyFill="1" applyBorder="1" applyAlignment="1" applyProtection="1">
      <alignment horizontal="center" vertical="center" wrapText="1"/>
    </xf>
    <xf numFmtId="3" fontId="13" fillId="24" borderId="39" xfId="0" applyNumberFormat="1" applyFont="1" applyFill="1" applyBorder="1" applyAlignment="1" applyProtection="1">
      <alignment horizontal="center" vertical="center" wrapText="1"/>
    </xf>
    <xf numFmtId="3" fontId="13" fillId="24" borderId="8" xfId="0" applyNumberFormat="1" applyFont="1" applyFill="1" applyBorder="1" applyAlignment="1" applyProtection="1">
      <alignment horizontal="center" vertical="center" wrapText="1"/>
    </xf>
    <xf numFmtId="3" fontId="6" fillId="24" borderId="54" xfId="0" applyNumberFormat="1" applyFont="1" applyFill="1" applyBorder="1" applyAlignment="1" applyProtection="1">
      <alignment horizontal="center" vertical="center" wrapText="1"/>
    </xf>
    <xf numFmtId="3" fontId="6" fillId="24" borderId="34" xfId="0" applyNumberFormat="1" applyFont="1" applyFill="1" applyBorder="1" applyAlignment="1" applyProtection="1">
      <alignment horizontal="center" vertical="center" wrapText="1"/>
    </xf>
    <xf numFmtId="3" fontId="6" fillId="24" borderId="44" xfId="0" applyNumberFormat="1" applyFont="1" applyFill="1" applyBorder="1" applyAlignment="1" applyProtection="1">
      <alignment horizontal="center" vertical="center" wrapText="1"/>
    </xf>
    <xf numFmtId="3" fontId="13" fillId="24" borderId="47" xfId="0" applyNumberFormat="1" applyFont="1" applyFill="1" applyBorder="1" applyAlignment="1" applyProtection="1">
      <alignment horizontal="center" vertical="center" wrapText="1"/>
    </xf>
    <xf numFmtId="3" fontId="6" fillId="24" borderId="34" xfId="0" applyNumberFormat="1" applyFont="1" applyFill="1" applyBorder="1" applyAlignment="1">
      <alignment horizontal="center" vertical="center" wrapText="1"/>
    </xf>
    <xf numFmtId="169" fontId="17" fillId="24" borderId="6" xfId="0" applyNumberFormat="1" applyFont="1" applyFill="1" applyBorder="1" applyAlignment="1" applyProtection="1">
      <alignment horizontal="center" vertical="center" wrapText="1"/>
    </xf>
    <xf numFmtId="3" fontId="6" fillId="24" borderId="36" xfId="0" applyNumberFormat="1" applyFont="1" applyFill="1" applyBorder="1" applyAlignment="1" applyProtection="1">
      <alignment horizontal="center" vertical="center" wrapText="1"/>
    </xf>
    <xf numFmtId="3" fontId="6" fillId="24" borderId="41" xfId="0" applyNumberFormat="1" applyFont="1" applyFill="1" applyBorder="1" applyAlignment="1" applyProtection="1">
      <alignment horizontal="center" vertical="center" wrapText="1"/>
    </xf>
    <xf numFmtId="3" fontId="13" fillId="25" borderId="3" xfId="0" applyNumberFormat="1" applyFont="1" applyFill="1" applyBorder="1" applyAlignment="1" applyProtection="1">
      <alignment horizontal="center" vertical="center" wrapText="1"/>
    </xf>
    <xf numFmtId="3" fontId="13" fillId="24" borderId="3" xfId="0" applyNumberFormat="1" applyFont="1" applyFill="1" applyBorder="1" applyAlignment="1" applyProtection="1">
      <alignment horizontal="center" vertical="center" wrapText="1"/>
    </xf>
    <xf numFmtId="3" fontId="6" fillId="24" borderId="35" xfId="0" applyNumberFormat="1" applyFont="1" applyFill="1" applyBorder="1" applyAlignment="1">
      <alignment horizontal="center" vertical="center" wrapText="1"/>
    </xf>
    <xf numFmtId="3" fontId="6" fillId="24" borderId="38" xfId="0" applyNumberFormat="1" applyFont="1" applyFill="1" applyBorder="1" applyAlignment="1">
      <alignment horizontal="center" vertical="center" wrapText="1"/>
    </xf>
    <xf numFmtId="3" fontId="4" fillId="24" borderId="38" xfId="0" applyNumberFormat="1" applyFont="1" applyFill="1" applyBorder="1" applyAlignment="1">
      <alignment horizontal="center" vertical="center" wrapText="1"/>
    </xf>
    <xf numFmtId="3" fontId="4" fillId="24" borderId="40" xfId="0" applyNumberFormat="1" applyFont="1" applyFill="1" applyBorder="1" applyAlignment="1">
      <alignment horizontal="center" vertical="center" wrapText="1"/>
    </xf>
    <xf numFmtId="3" fontId="6" fillId="24" borderId="40" xfId="0" applyNumberFormat="1" applyFont="1" applyFill="1" applyBorder="1" applyAlignment="1">
      <alignment horizontal="center" vertical="center" wrapText="1"/>
    </xf>
    <xf numFmtId="3" fontId="6" fillId="24" borderId="50" xfId="0" applyNumberFormat="1" applyFont="1" applyFill="1" applyBorder="1" applyAlignment="1">
      <alignment horizontal="center" vertical="center" wrapText="1"/>
    </xf>
    <xf numFmtId="3" fontId="4" fillId="24" borderId="45" xfId="0" applyNumberFormat="1" applyFont="1" applyFill="1" applyBorder="1" applyAlignment="1">
      <alignment horizontal="center" vertical="center" wrapText="1"/>
    </xf>
    <xf numFmtId="3" fontId="6" fillId="24" borderId="41" xfId="0" applyNumberFormat="1" applyFont="1" applyFill="1" applyBorder="1" applyAlignment="1">
      <alignment horizontal="center" vertical="center" wrapText="1"/>
    </xf>
    <xf numFmtId="3" fontId="11" fillId="24" borderId="38" xfId="0" applyNumberFormat="1" applyFont="1" applyFill="1" applyBorder="1" applyAlignment="1">
      <alignment horizontal="center" vertical="center" wrapText="1"/>
    </xf>
    <xf numFmtId="3" fontId="11" fillId="24" borderId="40" xfId="0" applyNumberFormat="1" applyFont="1" applyFill="1" applyBorder="1" applyAlignment="1">
      <alignment horizontal="center" vertical="center" wrapText="1"/>
    </xf>
    <xf numFmtId="3" fontId="6" fillId="24" borderId="36" xfId="0" applyNumberFormat="1" applyFont="1" applyFill="1" applyBorder="1" applyAlignment="1">
      <alignment horizontal="center" vertical="center" wrapText="1"/>
    </xf>
    <xf numFmtId="0" fontId="6" fillId="14" borderId="0" xfId="0" applyFont="1" applyFill="1" applyAlignment="1">
      <alignment horizontal="center" vertical="center" wrapText="1"/>
    </xf>
    <xf numFmtId="0" fontId="6" fillId="13" borderId="43" xfId="0" applyFont="1" applyFill="1" applyBorder="1" applyAlignment="1" applyProtection="1">
      <alignment horizontal="center" vertical="center" wrapText="1"/>
    </xf>
    <xf numFmtId="0" fontId="6" fillId="13" borderId="69" xfId="0" applyFont="1" applyFill="1" applyBorder="1" applyAlignment="1" applyProtection="1">
      <alignment horizontal="center" vertical="center" wrapText="1"/>
    </xf>
    <xf numFmtId="0" fontId="13" fillId="13" borderId="3" xfId="0" applyFont="1" applyFill="1" applyBorder="1" applyAlignment="1" applyProtection="1">
      <alignment horizontal="center" vertical="center" wrapText="1"/>
    </xf>
    <xf numFmtId="0" fontId="13" fillId="13" borderId="4" xfId="0" applyFont="1" applyFill="1" applyBorder="1" applyAlignment="1" applyProtection="1">
      <alignment horizontal="center" vertical="center" wrapText="1"/>
    </xf>
    <xf numFmtId="0" fontId="7" fillId="4" borderId="15" xfId="0" applyFont="1" applyFill="1" applyBorder="1" applyAlignment="1">
      <alignment horizontal="center" vertical="center" wrapText="1"/>
    </xf>
    <xf numFmtId="177" fontId="6" fillId="12" borderId="79" xfId="0" applyNumberFormat="1" applyFont="1" applyFill="1" applyBorder="1" applyAlignment="1">
      <alignment horizontal="center" vertical="center" wrapText="1"/>
    </xf>
    <xf numFmtId="177" fontId="6" fillId="12" borderId="27" xfId="0" applyNumberFormat="1" applyFont="1" applyFill="1" applyBorder="1" applyAlignment="1">
      <alignment horizontal="center" vertical="center" wrapText="1"/>
    </xf>
    <xf numFmtId="165" fontId="6" fillId="13" borderId="34" xfId="0" applyNumberFormat="1"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18" xfId="0" applyFont="1" applyFill="1" applyBorder="1" applyAlignment="1">
      <alignment horizontal="center" vertical="center" wrapText="1"/>
    </xf>
    <xf numFmtId="3" fontId="3" fillId="4" borderId="51" xfId="0" applyNumberFormat="1" applyFont="1" applyFill="1" applyBorder="1" applyAlignment="1">
      <alignment horizontal="center" vertical="center" wrapText="1"/>
    </xf>
    <xf numFmtId="0" fontId="3" fillId="4" borderId="19" xfId="0" applyFont="1" applyFill="1" applyBorder="1" applyAlignment="1">
      <alignment horizontal="center" vertical="center" wrapText="1"/>
    </xf>
    <xf numFmtId="0" fontId="0" fillId="14" borderId="0" xfId="0" applyFill="1" applyAlignment="1">
      <alignment horizontal="center" vertical="center" wrapText="1"/>
    </xf>
    <xf numFmtId="0" fontId="0" fillId="30" borderId="106" xfId="0" applyFont="1" applyFill="1" applyBorder="1" applyAlignment="1">
      <alignment horizontal="left" wrapText="1"/>
    </xf>
    <xf numFmtId="0" fontId="0" fillId="28" borderId="107" xfId="0" applyFont="1" applyFill="1" applyBorder="1" applyAlignment="1">
      <alignment horizontal="center" wrapText="1"/>
    </xf>
    <xf numFmtId="3" fontId="7" fillId="3" borderId="34" xfId="0" applyNumberFormat="1" applyFont="1" applyFill="1" applyBorder="1" applyAlignment="1">
      <alignment horizontal="center" vertical="center" wrapText="1"/>
    </xf>
    <xf numFmtId="3" fontId="7" fillId="3" borderId="44" xfId="0" applyNumberFormat="1" applyFont="1" applyFill="1" applyBorder="1" applyAlignment="1">
      <alignment horizontal="center" vertical="center" wrapText="1"/>
    </xf>
    <xf numFmtId="0" fontId="3" fillId="4" borderId="23" xfId="0" applyFont="1" applyFill="1" applyBorder="1" applyAlignment="1">
      <alignment horizontal="center" vertical="center" wrapText="1"/>
    </xf>
    <xf numFmtId="3" fontId="3" fillId="4" borderId="33" xfId="0" applyNumberFormat="1" applyFont="1" applyFill="1" applyBorder="1" applyAlignment="1">
      <alignment horizontal="center" vertical="center" wrapText="1"/>
    </xf>
    <xf numFmtId="165" fontId="6" fillId="13" borderId="44" xfId="0" applyNumberFormat="1" applyFont="1" applyFill="1" applyBorder="1" applyAlignment="1">
      <alignment horizontal="center" vertical="center" wrapText="1"/>
    </xf>
    <xf numFmtId="178" fontId="0" fillId="15" borderId="78" xfId="0" applyNumberFormat="1" applyFont="1" applyFill="1" applyBorder="1" applyAlignment="1">
      <alignment horizontal="center" vertical="center" wrapText="1"/>
    </xf>
    <xf numFmtId="178" fontId="0" fillId="15" borderId="65" xfId="0" applyNumberFormat="1" applyFont="1" applyFill="1" applyBorder="1" applyAlignment="1">
      <alignment horizontal="center" vertical="center" wrapText="1"/>
    </xf>
    <xf numFmtId="178" fontId="0" fillId="15" borderId="9" xfId="0" applyNumberFormat="1" applyFont="1" applyFill="1" applyBorder="1" applyAlignment="1">
      <alignment horizontal="center" vertical="center" wrapText="1"/>
    </xf>
    <xf numFmtId="0" fontId="6" fillId="13" borderId="32" xfId="0" applyFont="1" applyFill="1" applyBorder="1" applyAlignment="1">
      <alignment horizontal="center" vertical="center" wrapText="1"/>
    </xf>
    <xf numFmtId="0" fontId="6" fillId="13" borderId="51" xfId="0" applyFont="1" applyFill="1" applyBorder="1" applyAlignment="1">
      <alignment horizontal="center" vertical="center" wrapText="1"/>
    </xf>
    <xf numFmtId="0" fontId="6" fillId="13" borderId="33" xfId="0" applyFont="1" applyFill="1" applyBorder="1" applyAlignment="1">
      <alignment horizontal="center" vertical="center" wrapText="1"/>
    </xf>
    <xf numFmtId="0" fontId="0" fillId="14" borderId="0" xfId="0" applyFill="1" applyBorder="1" applyAlignment="1">
      <alignment horizontal="center" vertical="center" wrapText="1"/>
    </xf>
    <xf numFmtId="0" fontId="0" fillId="14" borderId="13" xfId="0" applyFill="1" applyBorder="1" applyAlignment="1">
      <alignment horizontal="center" vertical="center" wrapText="1"/>
    </xf>
    <xf numFmtId="0" fontId="0" fillId="27" borderId="108" xfId="0" applyFont="1" applyFill="1" applyBorder="1" applyAlignment="1">
      <alignment horizontal="center" wrapText="1"/>
    </xf>
    <xf numFmtId="0" fontId="0" fillId="26" borderId="109" xfId="0" applyFont="1" applyFill="1" applyBorder="1" applyAlignment="1">
      <alignment horizontal="left" wrapText="1"/>
    </xf>
    <xf numFmtId="0" fontId="0" fillId="29" borderId="110" xfId="0" applyFont="1" applyFill="1" applyBorder="1" applyAlignment="1">
      <alignment horizontal="left" wrapText="1"/>
    </xf>
    <xf numFmtId="0" fontId="0" fillId="17" borderId="15" xfId="0" applyFill="1" applyBorder="1" applyAlignment="1">
      <alignment horizontal="center" vertical="center" wrapText="1"/>
    </xf>
    <xf numFmtId="0" fontId="4" fillId="31" borderId="14" xfId="2" applyFont="1" applyFill="1" applyBorder="1" applyAlignment="1">
      <alignment horizontal="center" vertical="center" wrapText="1"/>
    </xf>
    <xf numFmtId="11" fontId="4" fillId="9" borderId="34" xfId="0" quotePrefix="1" applyNumberFormat="1" applyFont="1" applyFill="1" applyBorder="1" applyAlignment="1">
      <alignment horizontal="left" vertical="center" wrapText="1"/>
    </xf>
    <xf numFmtId="0" fontId="3" fillId="4" borderId="4" xfId="0"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73"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72" xfId="0" applyFont="1" applyFill="1" applyBorder="1" applyAlignment="1">
      <alignment horizontal="center" vertical="center" wrapText="1"/>
    </xf>
    <xf numFmtId="0" fontId="4" fillId="6" borderId="51" xfId="0" applyFont="1" applyFill="1" applyBorder="1" applyAlignment="1">
      <alignment horizontal="center" vertical="center" wrapText="1"/>
    </xf>
    <xf numFmtId="0" fontId="4" fillId="5" borderId="51" xfId="0" applyFont="1" applyFill="1" applyBorder="1" applyAlignment="1">
      <alignment horizontal="center" vertical="center" wrapText="1"/>
    </xf>
    <xf numFmtId="0" fontId="4" fillId="6" borderId="33" xfId="0" applyFont="1" applyFill="1" applyBorder="1" applyAlignment="1">
      <alignment horizontal="center" vertical="center" wrapText="1"/>
    </xf>
    <xf numFmtId="0" fontId="3" fillId="4" borderId="100" xfId="0" applyFont="1" applyFill="1" applyBorder="1" applyAlignment="1">
      <alignment horizontal="center" vertical="center" wrapText="1"/>
    </xf>
    <xf numFmtId="2" fontId="6" fillId="12" borderId="21" xfId="0" applyNumberFormat="1" applyFont="1" applyFill="1" applyBorder="1" applyAlignment="1">
      <alignment horizontal="center" vertical="center" wrapText="1"/>
    </xf>
    <xf numFmtId="0" fontId="3" fillId="4" borderId="81" xfId="0" applyFont="1" applyFill="1" applyBorder="1" applyAlignment="1">
      <alignment horizontal="center" vertical="center" wrapText="1"/>
    </xf>
    <xf numFmtId="0" fontId="7" fillId="4" borderId="77"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4" fillId="20" borderId="50" xfId="0" applyFont="1" applyFill="1" applyBorder="1" applyAlignment="1">
      <alignment horizontal="center" vertical="center" wrapText="1"/>
    </xf>
    <xf numFmtId="0" fontId="4" fillId="20" borderId="45" xfId="0" applyFont="1" applyFill="1" applyBorder="1" applyAlignment="1">
      <alignment horizontal="center" vertical="center" wrapText="1"/>
    </xf>
    <xf numFmtId="0" fontId="3" fillId="4" borderId="28" xfId="0" quotePrefix="1" applyFont="1" applyFill="1" applyBorder="1" applyAlignment="1" applyProtection="1">
      <alignment horizontal="center" vertical="center" wrapText="1"/>
    </xf>
    <xf numFmtId="0" fontId="3" fillId="4" borderId="18" xfId="0" quotePrefix="1" applyFont="1" applyFill="1" applyBorder="1" applyAlignment="1" applyProtection="1">
      <alignment horizontal="center" vertical="center" wrapText="1"/>
    </xf>
    <xf numFmtId="165" fontId="6" fillId="9" borderId="54" xfId="0" applyNumberFormat="1" applyFont="1" applyFill="1" applyBorder="1" applyAlignment="1" applyProtection="1">
      <alignment horizontal="center" vertical="center" wrapText="1"/>
    </xf>
    <xf numFmtId="167" fontId="6" fillId="12" borderId="54" xfId="0" applyNumberFormat="1" applyFont="1" applyFill="1" applyBorder="1" applyAlignment="1" applyProtection="1">
      <alignment horizontal="center" vertical="center" wrapText="1"/>
    </xf>
    <xf numFmtId="167" fontId="6" fillId="12" borderId="20" xfId="0" applyNumberFormat="1" applyFont="1" applyFill="1" applyBorder="1" applyAlignment="1" applyProtection="1">
      <alignment horizontal="center" vertical="center" wrapText="1"/>
    </xf>
    <xf numFmtId="0" fontId="7" fillId="11" borderId="5" xfId="0" applyFont="1" applyFill="1" applyBorder="1" applyAlignment="1" applyProtection="1">
      <alignment horizontal="center" vertical="center" wrapText="1"/>
    </xf>
    <xf numFmtId="0" fontId="6" fillId="13" borderId="32" xfId="0" applyFont="1" applyFill="1" applyBorder="1" applyAlignment="1" applyProtection="1">
      <alignment horizontal="center" vertical="center" wrapText="1"/>
    </xf>
    <xf numFmtId="0" fontId="6" fillId="13" borderId="54" xfId="0" applyFont="1" applyFill="1" applyBorder="1" applyAlignment="1" applyProtection="1">
      <alignment horizontal="center" vertical="center" wrapText="1"/>
    </xf>
    <xf numFmtId="0" fontId="6" fillId="13" borderId="20" xfId="0" applyFont="1" applyFill="1" applyBorder="1" applyAlignment="1" applyProtection="1">
      <alignment horizontal="center" vertical="center" wrapText="1"/>
    </xf>
    <xf numFmtId="0" fontId="25" fillId="4" borderId="2" xfId="0" applyFont="1" applyFill="1" applyBorder="1" applyAlignment="1">
      <alignment horizontal="center" vertical="center" wrapText="1"/>
    </xf>
    <xf numFmtId="0" fontId="25" fillId="4" borderId="23" xfId="0" applyFont="1" applyFill="1" applyBorder="1" applyAlignment="1">
      <alignment horizontal="center" vertical="center" wrapText="1"/>
    </xf>
    <xf numFmtId="11" fontId="25" fillId="4" borderId="4" xfId="0" applyNumberFormat="1" applyFont="1" applyFill="1" applyBorder="1" applyAlignment="1">
      <alignment horizontal="center" vertical="center" wrapText="1"/>
    </xf>
    <xf numFmtId="11" fontId="25" fillId="4" borderId="5" xfId="0" applyNumberFormat="1" applyFont="1" applyFill="1" applyBorder="1" applyAlignment="1">
      <alignment horizontal="center" vertical="center" wrapText="1"/>
    </xf>
    <xf numFmtId="11" fontId="25" fillId="4" borderId="3" xfId="0" applyNumberFormat="1" applyFont="1" applyFill="1" applyBorder="1" applyAlignment="1">
      <alignment horizontal="center" vertical="center" wrapText="1"/>
    </xf>
    <xf numFmtId="0" fontId="25" fillId="4" borderId="4" xfId="0" applyFont="1" applyFill="1" applyBorder="1" applyAlignment="1">
      <alignment horizontal="center" vertical="center" wrapText="1"/>
    </xf>
    <xf numFmtId="0" fontId="3" fillId="4" borderId="51" xfId="0" applyFont="1" applyFill="1" applyBorder="1" applyAlignment="1">
      <alignment horizontal="center" vertical="center" wrapText="1"/>
    </xf>
    <xf numFmtId="14" fontId="3" fillId="4" borderId="34" xfId="0" applyNumberFormat="1" applyFont="1" applyFill="1" applyBorder="1" applyAlignment="1">
      <alignment horizontal="center" vertical="center" wrapText="1"/>
    </xf>
    <xf numFmtId="11" fontId="3" fillId="4" borderId="34" xfId="0" applyNumberFormat="1" applyFont="1" applyFill="1" applyBorder="1" applyAlignment="1">
      <alignment horizontal="center" vertical="center" wrapText="1"/>
    </xf>
    <xf numFmtId="0" fontId="6" fillId="18" borderId="43" xfId="0" applyFont="1" applyFill="1" applyBorder="1" applyAlignment="1">
      <alignment horizontal="center" vertical="center" wrapText="1"/>
    </xf>
    <xf numFmtId="0" fontId="3" fillId="4" borderId="53" xfId="0" applyFont="1" applyFill="1" applyBorder="1" applyAlignment="1">
      <alignment horizontal="center" vertical="center" wrapText="1"/>
    </xf>
    <xf numFmtId="14" fontId="3" fillId="4" borderId="36" xfId="0" applyNumberFormat="1" applyFont="1" applyFill="1" applyBorder="1" applyAlignment="1">
      <alignment horizontal="center" vertical="center" wrapText="1"/>
    </xf>
    <xf numFmtId="11" fontId="3" fillId="4" borderId="36" xfId="0" applyNumberFormat="1" applyFont="1" applyFill="1" applyBorder="1" applyAlignment="1">
      <alignment horizontal="center" vertical="center" wrapText="1"/>
    </xf>
    <xf numFmtId="0" fontId="3" fillId="4" borderId="33" xfId="0" applyFont="1" applyFill="1" applyBorder="1" applyAlignment="1">
      <alignment horizontal="center" vertical="center" wrapText="1"/>
    </xf>
    <xf numFmtId="14" fontId="3" fillId="4" borderId="44" xfId="0" applyNumberFormat="1" applyFont="1" applyFill="1" applyBorder="1" applyAlignment="1">
      <alignment horizontal="center" vertical="center" wrapText="1"/>
    </xf>
    <xf numFmtId="11" fontId="3" fillId="4" borderId="44" xfId="0" applyNumberFormat="1" applyFont="1" applyFill="1" applyBorder="1" applyAlignment="1">
      <alignment horizontal="center" vertical="center" wrapText="1"/>
    </xf>
    <xf numFmtId="11" fontId="6" fillId="9" borderId="44" xfId="0" quotePrefix="1" applyNumberFormat="1" applyFont="1" applyFill="1" applyBorder="1" applyAlignment="1">
      <alignment horizontal="left" vertical="center" wrapText="1"/>
    </xf>
    <xf numFmtId="11" fontId="6" fillId="14" borderId="0" xfId="0" applyNumberFormat="1" applyFont="1" applyFill="1" applyAlignment="1">
      <alignment horizontal="center" vertical="center" wrapText="1"/>
    </xf>
    <xf numFmtId="0" fontId="12" fillId="4" borderId="14" xfId="0" applyNumberFormat="1" applyFont="1" applyFill="1" applyBorder="1" applyAlignment="1" applyProtection="1">
      <alignment horizontal="center" vertical="center" wrapText="1"/>
    </xf>
    <xf numFmtId="0" fontId="3" fillId="4" borderId="31" xfId="0" applyFont="1" applyFill="1" applyBorder="1" applyAlignment="1" applyProtection="1">
      <alignment horizontal="center" vertical="center" wrapText="1"/>
    </xf>
    <xf numFmtId="0" fontId="3" fillId="4" borderId="22" xfId="0" applyFont="1" applyFill="1" applyBorder="1" applyAlignment="1" applyProtection="1">
      <alignment horizontal="center" vertical="center" wrapText="1"/>
    </xf>
    <xf numFmtId="3" fontId="6" fillId="24" borderId="34" xfId="0" applyNumberFormat="1" applyFont="1" applyFill="1" applyBorder="1" applyAlignment="1">
      <alignment horizontal="center" vertical="center" wrapText="1"/>
    </xf>
    <xf numFmtId="3" fontId="13" fillId="13" borderId="26" xfId="0" applyNumberFormat="1" applyFont="1" applyFill="1" applyBorder="1" applyAlignment="1" applyProtection="1">
      <alignment horizontal="center" vertical="center" wrapText="1"/>
    </xf>
    <xf numFmtId="3" fontId="13" fillId="13" borderId="49" xfId="0" applyNumberFormat="1" applyFont="1" applyFill="1" applyBorder="1" applyAlignment="1" applyProtection="1">
      <alignment horizontal="center" vertical="center" wrapText="1"/>
    </xf>
    <xf numFmtId="3" fontId="6" fillId="10" borderId="68" xfId="0" applyNumberFormat="1" applyFont="1" applyFill="1" applyBorder="1" applyAlignment="1">
      <alignment horizontal="center" vertical="center" wrapText="1"/>
    </xf>
    <xf numFmtId="2" fontId="6" fillId="12" borderId="69" xfId="0" applyNumberFormat="1" applyFont="1" applyFill="1" applyBorder="1" applyAlignment="1">
      <alignment horizontal="center" vertical="center" wrapText="1"/>
    </xf>
    <xf numFmtId="3" fontId="7" fillId="3" borderId="40"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6" fillId="14" borderId="22" xfId="0" applyFont="1" applyFill="1" applyBorder="1" applyAlignment="1" applyProtection="1">
      <alignment horizontal="center" vertical="center" wrapText="1"/>
    </xf>
    <xf numFmtId="0" fontId="6" fillId="14" borderId="23" xfId="0" applyFont="1" applyFill="1" applyBorder="1" applyAlignment="1" applyProtection="1">
      <alignment horizontal="center" vertical="center" wrapText="1"/>
    </xf>
    <xf numFmtId="0" fontId="6" fillId="14" borderId="24" xfId="0" applyFont="1" applyFill="1" applyBorder="1" applyAlignment="1" applyProtection="1">
      <alignment horizontal="center" vertical="center" wrapText="1"/>
    </xf>
    <xf numFmtId="177" fontId="4" fillId="9" borderId="2" xfId="0" applyNumberFormat="1" applyFont="1" applyFill="1" applyBorder="1" applyAlignment="1">
      <alignment horizontal="center" vertical="center" wrapText="1"/>
    </xf>
    <xf numFmtId="177" fontId="4" fillId="9" borderId="3" xfId="0" applyNumberFormat="1" applyFont="1" applyFill="1" applyBorder="1" applyAlignment="1">
      <alignment horizontal="center" vertical="center" wrapText="1"/>
    </xf>
    <xf numFmtId="177" fontId="4" fillId="9" borderId="4" xfId="0" applyNumberFormat="1" applyFont="1" applyFill="1" applyBorder="1" applyAlignment="1">
      <alignment horizontal="center" vertical="center" wrapText="1"/>
    </xf>
    <xf numFmtId="0" fontId="3" fillId="4" borderId="28" xfId="7" applyFont="1" applyFill="1" applyBorder="1" applyAlignment="1">
      <alignment horizontal="center" vertical="center" wrapText="1"/>
    </xf>
    <xf numFmtId="0" fontId="3" fillId="4" borderId="18" xfId="7" quotePrefix="1" applyFont="1" applyFill="1" applyBorder="1" applyAlignment="1">
      <alignment horizontal="center" vertical="center" wrapText="1"/>
    </xf>
    <xf numFmtId="0" fontId="3" fillId="4" borderId="18" xfId="7" applyFont="1" applyFill="1" applyBorder="1" applyAlignment="1">
      <alignment horizontal="center" vertical="center" wrapText="1"/>
    </xf>
    <xf numFmtId="3" fontId="3" fillId="4" borderId="18" xfId="8" applyFont="1" applyFill="1" applyBorder="1" applyAlignment="1">
      <alignment horizontal="center" vertical="center" wrapText="1"/>
    </xf>
    <xf numFmtId="3" fontId="3" fillId="4" borderId="19" xfId="8"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10" borderId="76" xfId="0" applyNumberFormat="1" applyFont="1" applyFill="1" applyBorder="1" applyAlignment="1">
      <alignment horizontal="center" vertical="center" wrapText="1"/>
    </xf>
    <xf numFmtId="0" fontId="6" fillId="14" borderId="0" xfId="0" applyFont="1" applyFill="1" applyBorder="1" applyAlignment="1">
      <alignment vertical="center" wrapText="1"/>
    </xf>
    <xf numFmtId="2" fontId="6" fillId="12" borderId="111"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3" fontId="7" fillId="3" borderId="50"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3" fillId="4" borderId="58" xfId="0" applyFont="1" applyFill="1" applyBorder="1" applyAlignment="1" applyProtection="1">
      <alignment horizontal="center" vertical="center" wrapText="1"/>
    </xf>
    <xf numFmtId="0" fontId="3" fillId="4" borderId="32" xfId="0" applyFont="1" applyFill="1" applyBorder="1" applyAlignment="1" applyProtection="1">
      <alignment horizontal="center" vertical="center" wrapText="1"/>
    </xf>
    <xf numFmtId="0" fontId="3" fillId="4" borderId="20" xfId="0" applyFont="1" applyFill="1" applyBorder="1" applyAlignment="1" applyProtection="1">
      <alignment horizontal="center" vertical="center" wrapText="1"/>
    </xf>
    <xf numFmtId="0" fontId="3" fillId="4" borderId="54" xfId="0" applyFont="1" applyFill="1" applyBorder="1" applyAlignment="1" applyProtection="1">
      <alignment horizontal="center" vertical="center" wrapText="1"/>
    </xf>
    <xf numFmtId="0" fontId="6" fillId="13" borderId="33" xfId="0" applyFont="1" applyFill="1" applyBorder="1" applyAlignment="1" applyProtection="1">
      <alignment horizontal="center" vertical="center" wrapText="1"/>
    </xf>
    <xf numFmtId="0" fontId="6" fillId="13" borderId="21" xfId="0" applyFont="1" applyFill="1" applyBorder="1" applyAlignment="1" applyProtection="1">
      <alignment horizontal="center" vertical="center" wrapText="1"/>
    </xf>
    <xf numFmtId="3" fontId="6" fillId="10" borderId="34" xfId="0" applyNumberFormat="1" applyFont="1" applyFill="1" applyBorder="1" applyAlignment="1" applyProtection="1">
      <alignment horizontal="center" vertical="center" wrapText="1"/>
    </xf>
    <xf numFmtId="0" fontId="6" fillId="13" borderId="68" xfId="0" applyFont="1" applyFill="1" applyBorder="1" applyAlignment="1" applyProtection="1">
      <alignment horizontal="center" vertical="center" wrapText="1"/>
    </xf>
    <xf numFmtId="0" fontId="6" fillId="13" borderId="41" xfId="0" applyFont="1" applyFill="1" applyBorder="1" applyAlignment="1" applyProtection="1">
      <alignment horizontal="center" vertical="center" wrapText="1"/>
    </xf>
    <xf numFmtId="0" fontId="3" fillId="4" borderId="1" xfId="0" quotePrefix="1" applyFont="1" applyFill="1" applyBorder="1" applyAlignment="1" applyProtection="1">
      <alignment horizontal="center" vertical="center" wrapText="1"/>
    </xf>
    <xf numFmtId="0" fontId="7" fillId="11" borderId="3" xfId="0" applyFont="1" applyFill="1" applyBorder="1" applyAlignment="1" applyProtection="1">
      <alignment horizontal="center" vertical="center" wrapText="1"/>
    </xf>
    <xf numFmtId="167" fontId="6" fillId="12" borderId="43" xfId="0" applyNumberFormat="1"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29" xfId="0" applyFont="1" applyFill="1" applyBorder="1" applyAlignment="1" applyProtection="1">
      <alignment horizontal="center" vertical="center" wrapText="1"/>
    </xf>
    <xf numFmtId="0" fontId="0" fillId="14" borderId="0" xfId="0" applyFill="1" applyAlignment="1" applyProtection="1">
      <alignment vertical="center" wrapText="1"/>
    </xf>
    <xf numFmtId="166" fontId="6" fillId="13" borderId="69" xfId="0" applyNumberFormat="1" applyFont="1" applyFill="1" applyBorder="1" applyAlignment="1" applyProtection="1">
      <alignment horizontal="center" vertical="center" wrapText="1"/>
    </xf>
    <xf numFmtId="0" fontId="6" fillId="11" borderId="50" xfId="0" applyFont="1" applyFill="1" applyBorder="1" applyAlignment="1" applyProtection="1">
      <alignment horizontal="center" vertical="center" wrapText="1"/>
    </xf>
    <xf numFmtId="0" fontId="6" fillId="11" borderId="40" xfId="0" applyFont="1" applyFill="1" applyBorder="1" applyAlignment="1" applyProtection="1">
      <alignment horizontal="center" vertical="center" wrapText="1"/>
    </xf>
    <xf numFmtId="3" fontId="6" fillId="10" borderId="36" xfId="0" applyNumberFormat="1" applyFont="1" applyFill="1" applyBorder="1" applyAlignment="1" applyProtection="1">
      <alignment horizontal="center" vertical="center" wrapText="1"/>
    </xf>
    <xf numFmtId="0" fontId="3" fillId="4" borderId="2" xfId="0" quotePrefix="1" applyFont="1" applyFill="1" applyBorder="1" applyAlignment="1" applyProtection="1">
      <alignment horizontal="center" vertical="center" wrapText="1"/>
    </xf>
    <xf numFmtId="0" fontId="3" fillId="4" borderId="3" xfId="0" quotePrefix="1"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167" fontId="13" fillId="12" borderId="57" xfId="0" applyNumberFormat="1" applyFont="1" applyFill="1" applyBorder="1" applyAlignment="1" applyProtection="1">
      <alignment horizontal="center" vertical="center" wrapText="1"/>
    </xf>
    <xf numFmtId="0" fontId="7" fillId="4" borderId="24" xfId="0" applyFont="1" applyFill="1" applyBorder="1" applyAlignment="1">
      <alignment horizontal="center" vertical="center" wrapText="1"/>
    </xf>
    <xf numFmtId="2" fontId="6" fillId="12" borderId="52" xfId="0" applyNumberFormat="1" applyFont="1" applyFill="1" applyBorder="1" applyAlignment="1">
      <alignment horizontal="center" vertical="center" wrapText="1"/>
    </xf>
    <xf numFmtId="3" fontId="6" fillId="10" borderId="45" xfId="0" applyNumberFormat="1" applyFont="1" applyFill="1" applyBorder="1" applyAlignment="1">
      <alignment horizontal="center" vertical="center" wrapText="1"/>
    </xf>
    <xf numFmtId="0" fontId="7" fillId="4" borderId="35"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3" fontId="6" fillId="10" borderId="112" xfId="0" applyNumberFormat="1" applyFont="1" applyFill="1" applyBorder="1" applyAlignment="1">
      <alignment horizontal="center" vertical="center" wrapText="1"/>
    </xf>
    <xf numFmtId="2" fontId="6" fillId="12" borderId="113" xfId="0" applyNumberFormat="1" applyFont="1" applyFill="1" applyBorder="1" applyAlignment="1">
      <alignment horizontal="center" vertical="center" wrapText="1"/>
    </xf>
    <xf numFmtId="11" fontId="6" fillId="9" borderId="34" xfId="0" applyNumberFormat="1" applyFont="1" applyFill="1" applyBorder="1" applyAlignment="1">
      <alignment horizontal="left" vertical="center" wrapText="1"/>
    </xf>
    <xf numFmtId="165" fontId="4" fillId="8" borderId="34" xfId="0" applyNumberFormat="1" applyFont="1" applyFill="1" applyBorder="1" applyAlignment="1">
      <alignment horizontal="center" vertical="center" wrapText="1"/>
    </xf>
    <xf numFmtId="165" fontId="4" fillId="6" borderId="34" xfId="0" applyNumberFormat="1"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3" fillId="4" borderId="37" xfId="0" applyFont="1" applyFill="1" applyBorder="1" applyAlignment="1">
      <alignment horizontal="center" vertical="center" wrapText="1"/>
    </xf>
    <xf numFmtId="0" fontId="3" fillId="4" borderId="43" xfId="0" applyFont="1" applyFill="1" applyBorder="1" applyAlignment="1">
      <alignment horizontal="center" vertical="center" wrapText="1"/>
    </xf>
    <xf numFmtId="0" fontId="3" fillId="4" borderId="52" xfId="0" applyFont="1" applyFill="1" applyBorder="1" applyAlignment="1">
      <alignment horizontal="center" vertical="center" wrapText="1"/>
    </xf>
    <xf numFmtId="0" fontId="4" fillId="14" borderId="0" xfId="0" applyFont="1" applyFill="1" applyBorder="1" applyAlignment="1">
      <alignment vertical="center" wrapText="1"/>
    </xf>
    <xf numFmtId="3" fontId="6" fillId="24" borderId="34" xfId="0" applyNumberFormat="1" applyFont="1" applyFill="1" applyBorder="1" applyAlignment="1">
      <alignment horizontal="center" vertical="center" wrapText="1"/>
    </xf>
    <xf numFmtId="0" fontId="3" fillId="4" borderId="38"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6" fillId="15" borderId="114" xfId="0" applyFont="1" applyFill="1" applyBorder="1" applyAlignment="1" applyProtection="1">
      <alignment horizontal="center" vertical="center" wrapText="1"/>
      <protection locked="0"/>
    </xf>
    <xf numFmtId="0" fontId="6" fillId="15" borderId="115" xfId="0" applyFont="1" applyFill="1" applyBorder="1" applyAlignment="1" applyProtection="1">
      <alignment horizontal="center" vertical="center" wrapText="1"/>
      <protection locked="0"/>
    </xf>
    <xf numFmtId="0" fontId="6" fillId="15" borderId="116" xfId="0" applyFont="1" applyFill="1" applyBorder="1" applyAlignment="1" applyProtection="1">
      <alignment horizontal="center" vertical="center" wrapText="1"/>
      <protection locked="0"/>
    </xf>
    <xf numFmtId="0" fontId="6" fillId="21" borderId="79" xfId="0" applyFont="1" applyFill="1" applyBorder="1" applyAlignment="1">
      <alignment horizontal="center" vertical="center"/>
    </xf>
    <xf numFmtId="0" fontId="6" fillId="21" borderId="27" xfId="0" applyFont="1" applyFill="1" applyBorder="1" applyAlignment="1">
      <alignment horizontal="center" vertical="center"/>
    </xf>
    <xf numFmtId="0" fontId="3" fillId="4" borderId="25" xfId="0" applyFont="1" applyFill="1" applyBorder="1" applyAlignment="1">
      <alignment horizontal="center" vertical="center"/>
    </xf>
    <xf numFmtId="0" fontId="3" fillId="4" borderId="26" xfId="0" applyFont="1" applyFill="1" applyBorder="1" applyAlignment="1">
      <alignment horizontal="center" vertical="center"/>
    </xf>
    <xf numFmtId="0" fontId="3" fillId="4" borderId="78" xfId="0" applyFont="1" applyFill="1" applyBorder="1" applyAlignment="1">
      <alignment horizontal="center" vertical="center"/>
    </xf>
    <xf numFmtId="0" fontId="13" fillId="4" borderId="12" xfId="0" applyFont="1" applyFill="1" applyBorder="1" applyAlignment="1">
      <alignment horizontal="center" vertical="center"/>
    </xf>
    <xf numFmtId="46" fontId="6" fillId="12" borderId="37" xfId="0" applyNumberFormat="1" applyFont="1" applyFill="1" applyBorder="1" applyAlignment="1" applyProtection="1">
      <alignment horizontal="center" vertical="center" wrapText="1"/>
    </xf>
    <xf numFmtId="11" fontId="3" fillId="9" borderId="34" xfId="0" applyNumberFormat="1" applyFont="1" applyFill="1" applyBorder="1" applyAlignment="1">
      <alignment horizontal="left" vertical="center" wrapText="1"/>
    </xf>
    <xf numFmtId="0" fontId="7" fillId="11" borderId="18" xfId="0" applyFont="1" applyFill="1" applyBorder="1" applyAlignment="1" applyProtection="1">
      <alignment horizontal="center" vertical="center" wrapText="1"/>
    </xf>
    <xf numFmtId="177" fontId="6" fillId="15" borderId="117" xfId="0" applyNumberFormat="1" applyFont="1" applyFill="1" applyBorder="1" applyAlignment="1" applyProtection="1">
      <alignment horizontal="center" vertical="center" wrapText="1"/>
      <protection locked="0"/>
    </xf>
    <xf numFmtId="178" fontId="6" fillId="15" borderId="117" xfId="0" applyNumberFormat="1" applyFont="1" applyFill="1" applyBorder="1" applyAlignment="1" applyProtection="1">
      <alignment horizontal="center" vertical="center" wrapText="1"/>
      <protection locked="0"/>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166" fontId="6" fillId="9" borderId="54" xfId="0" applyNumberFormat="1" applyFont="1" applyFill="1" applyBorder="1" applyAlignment="1" applyProtection="1">
      <alignment horizontal="center" vertical="center" wrapText="1"/>
    </xf>
    <xf numFmtId="166" fontId="6" fillId="9" borderId="34" xfId="0" applyNumberFormat="1" applyFont="1" applyFill="1" applyBorder="1" applyAlignment="1" applyProtection="1">
      <alignment horizontal="center" vertical="center" wrapText="1"/>
    </xf>
    <xf numFmtId="166" fontId="6" fillId="9" borderId="44" xfId="0" applyNumberFormat="1" applyFont="1" applyFill="1" applyBorder="1" applyAlignment="1" applyProtection="1">
      <alignment horizontal="center" vertical="center" wrapText="1"/>
    </xf>
    <xf numFmtId="0" fontId="4" fillId="11" borderId="50" xfId="0" applyFont="1" applyFill="1" applyBorder="1" applyAlignment="1" applyProtection="1">
      <alignment horizontal="center" vertical="center" wrapText="1"/>
    </xf>
    <xf numFmtId="0" fontId="3" fillId="4" borderId="53" xfId="0" applyFont="1" applyFill="1" applyBorder="1" applyAlignment="1" applyProtection="1">
      <alignment horizontal="center" vertical="center" wrapText="1"/>
    </xf>
    <xf numFmtId="0" fontId="3" fillId="4" borderId="52" xfId="0" applyFont="1" applyFill="1" applyBorder="1" applyAlignment="1" applyProtection="1">
      <alignment horizontal="center" vertical="center" wrapText="1"/>
    </xf>
    <xf numFmtId="0" fontId="6" fillId="11" borderId="35" xfId="0" applyFont="1" applyFill="1" applyBorder="1" applyAlignment="1" applyProtection="1">
      <alignment horizontal="center" vertical="center" wrapText="1"/>
    </xf>
    <xf numFmtId="0" fontId="3" fillId="4" borderId="36" xfId="0" applyFont="1" applyFill="1" applyBorder="1" applyAlignment="1" applyProtection="1">
      <alignment horizontal="center" vertical="center" wrapText="1"/>
    </xf>
    <xf numFmtId="0" fontId="7" fillId="11" borderId="77" xfId="0" applyFont="1" applyFill="1" applyBorder="1" applyAlignment="1" applyProtection="1">
      <alignment horizontal="center" vertical="center" wrapText="1"/>
    </xf>
    <xf numFmtId="0" fontId="6" fillId="14" borderId="14" xfId="0" applyFont="1" applyFill="1" applyBorder="1" applyAlignment="1" applyProtection="1">
      <alignment horizontal="center" vertical="center" wrapText="1"/>
    </xf>
    <xf numFmtId="167" fontId="6" fillId="12" borderId="41" xfId="0" applyNumberFormat="1" applyFont="1" applyFill="1" applyBorder="1" applyAlignment="1" applyProtection="1">
      <alignment horizontal="center" vertical="center" wrapText="1"/>
    </xf>
    <xf numFmtId="167" fontId="6" fillId="12" borderId="69" xfId="0" applyNumberFormat="1" applyFont="1" applyFill="1" applyBorder="1" applyAlignment="1" applyProtection="1">
      <alignment horizontal="center" vertical="center" wrapText="1"/>
    </xf>
    <xf numFmtId="167" fontId="13" fillId="12" borderId="4" xfId="0" applyNumberFormat="1" applyFont="1" applyFill="1" applyBorder="1" applyAlignment="1" applyProtection="1">
      <alignment horizontal="center" vertical="center" wrapText="1"/>
    </xf>
    <xf numFmtId="0" fontId="4" fillId="11" borderId="54" xfId="0" applyFont="1" applyFill="1" applyBorder="1" applyAlignment="1" applyProtection="1">
      <alignment horizontal="center" vertical="center" wrapText="1"/>
    </xf>
    <xf numFmtId="3" fontId="6" fillId="13" borderId="41" xfId="0" applyNumberFormat="1" applyFont="1" applyFill="1" applyBorder="1" applyAlignment="1" applyProtection="1">
      <alignment horizontal="center" vertical="center" wrapText="1"/>
    </xf>
    <xf numFmtId="0" fontId="3" fillId="4" borderId="51" xfId="0" applyFont="1" applyFill="1" applyBorder="1" applyAlignment="1" applyProtection="1">
      <alignment horizontal="left" vertical="center" wrapText="1"/>
    </xf>
    <xf numFmtId="46" fontId="6" fillId="12" borderId="43" xfId="0" applyNumberFormat="1" applyFont="1" applyFill="1" applyBorder="1" applyAlignment="1" applyProtection="1">
      <alignment horizontal="center" vertical="center" wrapText="1"/>
    </xf>
    <xf numFmtId="0" fontId="3" fillId="4" borderId="68" xfId="0" applyFont="1" applyFill="1" applyBorder="1" applyAlignment="1" applyProtection="1">
      <alignment horizontal="left" vertical="center" wrapText="1"/>
    </xf>
    <xf numFmtId="46" fontId="6" fillId="12" borderId="69" xfId="0" applyNumberFormat="1" applyFont="1" applyFill="1" applyBorder="1" applyAlignment="1" applyProtection="1">
      <alignment horizontal="center" vertical="center" wrapText="1"/>
    </xf>
    <xf numFmtId="0" fontId="6" fillId="11" borderId="33" xfId="0" applyFont="1" applyFill="1" applyBorder="1" applyAlignment="1" applyProtection="1">
      <alignment horizontal="center" vertical="center" wrapText="1"/>
    </xf>
    <xf numFmtId="0" fontId="12" fillId="4" borderId="63" xfId="0" applyNumberFormat="1" applyFont="1" applyFill="1" applyBorder="1" applyAlignment="1" applyProtection="1">
      <alignment horizontal="center" vertical="center" wrapText="1"/>
    </xf>
    <xf numFmtId="3" fontId="6" fillId="10" borderId="4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0" fontId="3" fillId="4" borderId="32" xfId="0" applyFont="1" applyFill="1" applyBorder="1" applyAlignment="1">
      <alignment horizontal="center" vertical="center" wrapText="1"/>
    </xf>
    <xf numFmtId="3" fontId="6" fillId="32" borderId="36" xfId="0" applyNumberFormat="1" applyFont="1" applyFill="1" applyBorder="1" applyAlignment="1" applyProtection="1">
      <alignment horizontal="center" vertical="center" wrapText="1"/>
    </xf>
    <xf numFmtId="3" fontId="6" fillId="32" borderId="34" xfId="0" applyNumberFormat="1" applyFont="1" applyFill="1" applyBorder="1" applyAlignment="1" applyProtection="1">
      <alignment horizontal="center" vertical="center" wrapText="1"/>
    </xf>
    <xf numFmtId="3" fontId="6" fillId="32" borderId="44" xfId="0" applyNumberFormat="1" applyFont="1" applyFill="1" applyBorder="1" applyAlignment="1" applyProtection="1">
      <alignment horizontal="center" vertical="center" wrapText="1"/>
    </xf>
    <xf numFmtId="0" fontId="7" fillId="4" borderId="2" xfId="0" applyFont="1" applyFill="1" applyBorder="1" applyAlignment="1">
      <alignment horizontal="center" vertical="center" wrapText="1"/>
    </xf>
    <xf numFmtId="3" fontId="6" fillId="24" borderId="53" xfId="0" applyNumberFormat="1" applyFont="1" applyFill="1" applyBorder="1" applyAlignment="1">
      <alignment horizontal="center" vertical="center" wrapText="1"/>
    </xf>
    <xf numFmtId="3" fontId="6" fillId="24" borderId="51" xfId="0" applyNumberFormat="1" applyFont="1" applyFill="1" applyBorder="1" applyAlignment="1">
      <alignment horizontal="center" vertical="center" wrapText="1"/>
    </xf>
    <xf numFmtId="3" fontId="4" fillId="24" borderId="51" xfId="0" applyNumberFormat="1" applyFont="1" applyFill="1" applyBorder="1" applyAlignment="1">
      <alignment horizontal="center" vertical="center" wrapText="1"/>
    </xf>
    <xf numFmtId="3" fontId="4" fillId="24" borderId="33" xfId="0" applyNumberFormat="1" applyFont="1" applyFill="1" applyBorder="1" applyAlignment="1">
      <alignment horizontal="center" vertical="center" wrapText="1"/>
    </xf>
    <xf numFmtId="3" fontId="6" fillId="10" borderId="53" xfId="0" applyNumberFormat="1" applyFont="1" applyFill="1" applyBorder="1" applyAlignment="1">
      <alignment horizontal="center" vertical="center" wrapText="1"/>
    </xf>
    <xf numFmtId="3" fontId="6" fillId="10" borderId="51" xfId="0" applyNumberFormat="1" applyFont="1" applyFill="1" applyBorder="1" applyAlignment="1">
      <alignment horizontal="center" vertical="center" wrapText="1"/>
    </xf>
    <xf numFmtId="3" fontId="4" fillId="10" borderId="51" xfId="0" applyNumberFormat="1" applyFont="1" applyFill="1" applyBorder="1" applyAlignment="1">
      <alignment horizontal="center" vertical="center" wrapText="1"/>
    </xf>
    <xf numFmtId="3" fontId="4" fillId="10" borderId="33" xfId="0" applyNumberFormat="1" applyFont="1" applyFill="1" applyBorder="1" applyAlignment="1">
      <alignment horizontal="center" vertical="center" wrapText="1"/>
    </xf>
    <xf numFmtId="3" fontId="6" fillId="24" borderId="45" xfId="0" applyNumberFormat="1" applyFont="1" applyFill="1" applyBorder="1" applyAlignment="1">
      <alignment horizontal="center" vertical="center" wrapText="1"/>
    </xf>
    <xf numFmtId="0" fontId="3" fillId="4" borderId="32" xfId="0" applyFont="1" applyFill="1" applyBorder="1" applyAlignment="1">
      <alignment horizontal="center" vertical="center"/>
    </xf>
    <xf numFmtId="0" fontId="6" fillId="21" borderId="20" xfId="0" applyFont="1" applyFill="1" applyBorder="1" applyAlignment="1">
      <alignment horizontal="center" vertical="center"/>
    </xf>
    <xf numFmtId="0" fontId="3" fillId="4" borderId="51" xfId="0" applyFont="1" applyFill="1" applyBorder="1" applyAlignment="1">
      <alignment horizontal="center" vertical="center"/>
    </xf>
    <xf numFmtId="0" fontId="6" fillId="21" borderId="43" xfId="0" applyFont="1" applyFill="1" applyBorder="1" applyAlignment="1">
      <alignment horizontal="center" vertical="center"/>
    </xf>
    <xf numFmtId="0" fontId="3" fillId="4" borderId="33" xfId="0" applyFont="1" applyFill="1" applyBorder="1" applyAlignment="1">
      <alignment horizontal="center" vertical="center"/>
    </xf>
    <xf numFmtId="0" fontId="6" fillId="21" borderId="21" xfId="0" applyFont="1" applyFill="1" applyBorder="1" applyAlignment="1">
      <alignment horizontal="center" vertical="center"/>
    </xf>
    <xf numFmtId="0" fontId="4" fillId="20" borderId="34" xfId="0" applyFont="1" applyFill="1" applyBorder="1" applyAlignment="1">
      <alignment horizontal="center" vertical="center" wrapText="1"/>
    </xf>
    <xf numFmtId="0" fontId="4" fillId="20" borderId="54" xfId="0" applyFont="1" applyFill="1" applyBorder="1" applyAlignment="1">
      <alignment horizontal="center" vertical="center" wrapText="1"/>
    </xf>
    <xf numFmtId="0" fontId="4" fillId="20" borderId="44" xfId="0" applyFont="1" applyFill="1" applyBorder="1" applyAlignment="1">
      <alignment horizontal="center" vertical="center" wrapText="1"/>
    </xf>
    <xf numFmtId="2" fontId="6" fillId="12" borderId="56" xfId="0" applyNumberFormat="1" applyFont="1" applyFill="1" applyBorder="1" applyAlignment="1">
      <alignment horizontal="center" vertical="center" wrapText="1"/>
    </xf>
    <xf numFmtId="2" fontId="6" fillId="12" borderId="55" xfId="0" applyNumberFormat="1" applyFont="1" applyFill="1" applyBorder="1" applyAlignment="1">
      <alignment horizontal="center" vertical="center" wrapText="1"/>
    </xf>
    <xf numFmtId="3" fontId="7" fillId="3" borderId="54" xfId="0" applyNumberFormat="1" applyFont="1" applyFill="1" applyBorder="1" applyAlignment="1">
      <alignment horizontal="center" vertical="center" wrapText="1"/>
    </xf>
    <xf numFmtId="0" fontId="4" fillId="20" borderId="80" xfId="0" applyFont="1" applyFill="1" applyBorder="1" applyAlignment="1">
      <alignment horizontal="center" vertical="center" wrapText="1"/>
    </xf>
    <xf numFmtId="3" fontId="7" fillId="3" borderId="80" xfId="0" applyNumberFormat="1" applyFont="1" applyFill="1" applyBorder="1" applyAlignment="1">
      <alignment horizontal="center" vertical="center" wrapText="1"/>
    </xf>
    <xf numFmtId="2" fontId="6" fillId="12" borderId="80" xfId="0" applyNumberFormat="1" applyFont="1" applyFill="1" applyBorder="1" applyAlignment="1">
      <alignment horizontal="center" vertical="center" wrapText="1"/>
    </xf>
    <xf numFmtId="3" fontId="4" fillId="32" borderId="38" xfId="0" applyNumberFormat="1" applyFont="1" applyFill="1" applyBorder="1" applyAlignment="1">
      <alignment horizontal="center" vertical="center" wrapText="1"/>
    </xf>
    <xf numFmtId="3" fontId="4" fillId="32" borderId="40" xfId="0" applyNumberFormat="1" applyFont="1" applyFill="1" applyBorder="1" applyAlignment="1">
      <alignment horizontal="center" vertical="center" wrapText="1"/>
    </xf>
    <xf numFmtId="0" fontId="15" fillId="13" borderId="28" xfId="0" applyFont="1" applyFill="1" applyBorder="1" applyAlignment="1">
      <alignment horizontal="center" vertical="center" wrapText="1"/>
    </xf>
    <xf numFmtId="0" fontId="15" fillId="13" borderId="12" xfId="0" applyFont="1" applyFill="1" applyBorder="1" applyAlignment="1">
      <alignment horizontal="center" vertical="center" wrapText="1"/>
    </xf>
    <xf numFmtId="0" fontId="6" fillId="15" borderId="32" xfId="0" applyFont="1" applyFill="1" applyBorder="1" applyAlignment="1">
      <alignment horizontal="center" vertical="center" wrapText="1"/>
    </xf>
    <xf numFmtId="0" fontId="6" fillId="15" borderId="51" xfId="0" applyFont="1" applyFill="1" applyBorder="1" applyAlignment="1">
      <alignment horizontal="center" vertical="center" wrapText="1"/>
    </xf>
    <xf numFmtId="0" fontId="5" fillId="6" borderId="38" xfId="0" applyFont="1" applyFill="1" applyBorder="1" applyAlignment="1">
      <alignment horizontal="center" vertical="center" wrapText="1"/>
    </xf>
    <xf numFmtId="0" fontId="5" fillId="5" borderId="38" xfId="0" applyFont="1" applyFill="1" applyBorder="1" applyAlignment="1">
      <alignment horizontal="center" vertical="center" wrapText="1"/>
    </xf>
    <xf numFmtId="0" fontId="5" fillId="6" borderId="40" xfId="0" applyFont="1" applyFill="1" applyBorder="1" applyAlignment="1">
      <alignment horizontal="center" vertical="center" wrapText="1"/>
    </xf>
    <xf numFmtId="165" fontId="4" fillId="5" borderId="32" xfId="0" applyNumberFormat="1" applyFont="1" applyFill="1" applyBorder="1" applyAlignment="1">
      <alignment horizontal="center" vertical="center" wrapText="1"/>
    </xf>
    <xf numFmtId="165" fontId="5" fillId="5" borderId="54" xfId="0" applyNumberFormat="1" applyFont="1" applyFill="1" applyBorder="1" applyAlignment="1">
      <alignment horizontal="center" vertical="center" wrapText="1"/>
    </xf>
    <xf numFmtId="165" fontId="4" fillId="7" borderId="54" xfId="0" applyNumberFormat="1" applyFont="1" applyFill="1" applyBorder="1" applyAlignment="1">
      <alignment horizontal="center" vertical="center" wrapText="1"/>
    </xf>
    <xf numFmtId="165" fontId="5" fillId="7" borderId="54" xfId="0" applyNumberFormat="1" applyFont="1" applyFill="1" applyBorder="1" applyAlignment="1">
      <alignment horizontal="center" vertical="center" wrapText="1"/>
    </xf>
    <xf numFmtId="165" fontId="4" fillId="5" borderId="54" xfId="0" applyNumberFormat="1" applyFont="1" applyFill="1" applyBorder="1" applyAlignment="1">
      <alignment horizontal="center" vertical="center" wrapText="1"/>
    </xf>
    <xf numFmtId="165" fontId="5" fillId="7" borderId="20" xfId="0" applyNumberFormat="1" applyFont="1" applyFill="1" applyBorder="1" applyAlignment="1">
      <alignment horizontal="center" vertical="center" wrapText="1"/>
    </xf>
    <xf numFmtId="0" fontId="14" fillId="14" borderId="0" xfId="0" applyFont="1" applyFill="1" applyAlignment="1" applyProtection="1">
      <alignment horizontal="center" vertical="center" wrapText="1"/>
    </xf>
    <xf numFmtId="0" fontId="3" fillId="4" borderId="58" xfId="0" applyFont="1" applyFill="1" applyBorder="1" applyAlignment="1">
      <alignment horizontal="center" vertical="center" wrapText="1"/>
    </xf>
    <xf numFmtId="165" fontId="4" fillId="6" borderId="51" xfId="0" applyNumberFormat="1" applyFont="1" applyFill="1" applyBorder="1" applyAlignment="1">
      <alignment horizontal="center" vertical="center" wrapText="1"/>
    </xf>
    <xf numFmtId="165" fontId="5" fillId="6" borderId="43" xfId="0" applyNumberFormat="1" applyFont="1" applyFill="1" applyBorder="1" applyAlignment="1">
      <alignment horizontal="center" vertical="center" wrapText="1"/>
    </xf>
    <xf numFmtId="165" fontId="4" fillId="5" borderId="53" xfId="0" applyNumberFormat="1" applyFont="1" applyFill="1" applyBorder="1" applyAlignment="1">
      <alignment horizontal="center" vertical="center" wrapText="1"/>
    </xf>
    <xf numFmtId="165" fontId="5" fillId="5" borderId="52" xfId="0" applyNumberFormat="1" applyFont="1" applyFill="1" applyBorder="1" applyAlignment="1">
      <alignment horizontal="center" vertical="center" wrapText="1"/>
    </xf>
    <xf numFmtId="165" fontId="4" fillId="5" borderId="58" xfId="0" applyNumberFormat="1" applyFont="1" applyFill="1" applyBorder="1" applyAlignment="1">
      <alignment horizontal="center" vertical="center" wrapText="1"/>
    </xf>
    <xf numFmtId="165" fontId="5" fillId="5" borderId="47" xfId="0" applyNumberFormat="1" applyFont="1" applyFill="1" applyBorder="1" applyAlignment="1">
      <alignment horizontal="center" vertical="center" wrapText="1"/>
    </xf>
    <xf numFmtId="165" fontId="4" fillId="7" borderId="46" xfId="0" applyNumberFormat="1" applyFont="1" applyFill="1" applyBorder="1" applyAlignment="1">
      <alignment horizontal="center" vertical="center" wrapText="1"/>
    </xf>
    <xf numFmtId="0" fontId="5" fillId="8" borderId="56" xfId="0" applyFont="1" applyFill="1" applyBorder="1" applyAlignment="1">
      <alignment horizontal="center" vertical="center" wrapText="1"/>
    </xf>
    <xf numFmtId="0" fontId="4" fillId="6" borderId="32"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5" fillId="7" borderId="43" xfId="0" applyFont="1" applyFill="1" applyBorder="1" applyAlignment="1">
      <alignment horizontal="center" vertical="center" wrapText="1"/>
    </xf>
    <xf numFmtId="0" fontId="5" fillId="8" borderId="43" xfId="0" applyFont="1" applyFill="1" applyBorder="1" applyAlignment="1">
      <alignment horizontal="center" vertical="center" wrapText="1"/>
    </xf>
    <xf numFmtId="0" fontId="5" fillId="8" borderId="21" xfId="0" applyFont="1" applyFill="1" applyBorder="1" applyAlignment="1">
      <alignment horizontal="center" vertical="center" wrapText="1"/>
    </xf>
    <xf numFmtId="165" fontId="5" fillId="8" borderId="43" xfId="0" applyNumberFormat="1" applyFont="1" applyFill="1" applyBorder="1" applyAlignment="1">
      <alignment horizontal="center" vertical="center" wrapText="1"/>
    </xf>
    <xf numFmtId="165" fontId="5" fillId="7" borderId="52" xfId="0" applyNumberFormat="1" applyFont="1" applyFill="1" applyBorder="1" applyAlignment="1">
      <alignment horizontal="center" vertical="center" wrapText="1"/>
    </xf>
    <xf numFmtId="165" fontId="5" fillId="7" borderId="57" xfId="0" applyNumberFormat="1" applyFont="1" applyFill="1" applyBorder="1" applyAlignment="1">
      <alignment horizontal="center" vertical="center" wrapText="1"/>
    </xf>
    <xf numFmtId="0" fontId="5" fillId="7" borderId="52" xfId="0" applyFont="1" applyFill="1" applyBorder="1" applyAlignment="1">
      <alignment horizontal="center" vertical="center" wrapText="1"/>
    </xf>
    <xf numFmtId="0" fontId="3" fillId="4" borderId="3" xfId="0"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1" fontId="4" fillId="15" borderId="82" xfId="0" applyNumberFormat="1" applyFont="1" applyFill="1" applyBorder="1" applyAlignment="1" applyProtection="1">
      <alignment horizontal="center" vertical="center" wrapText="1"/>
      <protection locked="0"/>
    </xf>
    <xf numFmtId="3" fontId="4" fillId="15" borderId="82" xfId="0" applyNumberFormat="1" applyFont="1" applyFill="1" applyBorder="1" applyAlignment="1" applyProtection="1">
      <alignment horizontal="center" vertical="center" wrapText="1"/>
      <protection locked="0"/>
    </xf>
    <xf numFmtId="0" fontId="4" fillId="13" borderId="65" xfId="0" applyFont="1" applyFill="1" applyBorder="1" applyAlignment="1" applyProtection="1">
      <alignment horizontal="center" vertical="center" wrapText="1"/>
    </xf>
    <xf numFmtId="0" fontId="13" fillId="13" borderId="19" xfId="0" applyFont="1" applyFill="1" applyBorder="1" applyAlignment="1" applyProtection="1">
      <alignment horizontal="center" vertical="center" wrapText="1"/>
    </xf>
    <xf numFmtId="0" fontId="39" fillId="18" borderId="43" xfId="9" applyFill="1" applyBorder="1" applyAlignment="1" applyProtection="1">
      <alignment horizontal="center" vertical="center" wrapText="1"/>
    </xf>
    <xf numFmtId="0" fontId="38" fillId="4" borderId="124" xfId="0" applyFont="1" applyFill="1" applyBorder="1" applyAlignment="1" applyProtection="1">
      <alignment horizontal="center" vertical="center" textRotation="90" wrapText="1"/>
    </xf>
    <xf numFmtId="0" fontId="38" fillId="4" borderId="41" xfId="0" applyFont="1" applyFill="1" applyBorder="1" applyAlignment="1" applyProtection="1">
      <alignment horizontal="center" vertical="center" textRotation="90" wrapText="1"/>
    </xf>
    <xf numFmtId="0" fontId="38" fillId="4" borderId="125" xfId="0" applyFont="1" applyFill="1" applyBorder="1" applyAlignment="1" applyProtection="1">
      <alignment horizontal="center" vertical="center" textRotation="90" wrapText="1"/>
    </xf>
    <xf numFmtId="0" fontId="7" fillId="4" borderId="34" xfId="0" applyFont="1" applyFill="1" applyBorder="1" applyAlignment="1" applyProtection="1">
      <alignment horizontal="center" vertical="center" wrapText="1"/>
    </xf>
    <xf numFmtId="0" fontId="4" fillId="13" borderId="34" xfId="0" applyFont="1" applyFill="1" applyBorder="1" applyAlignment="1" applyProtection="1">
      <alignment horizontal="center" vertical="center" wrapText="1"/>
    </xf>
    <xf numFmtId="0" fontId="4" fillId="13" borderId="41" xfId="0" applyFont="1" applyFill="1" applyBorder="1" applyAlignment="1" applyProtection="1">
      <alignment horizontal="center" vertical="center" wrapText="1"/>
    </xf>
    <xf numFmtId="0" fontId="3" fillId="4" borderId="127" xfId="0" applyFont="1" applyFill="1" applyBorder="1" applyAlignment="1" applyProtection="1">
      <alignment horizontal="center" vertical="center" wrapText="1"/>
    </xf>
    <xf numFmtId="0" fontId="3" fillId="4" borderId="123" xfId="0" applyFont="1" applyFill="1" applyBorder="1" applyAlignment="1" applyProtection="1">
      <alignment horizontal="center" vertical="center" wrapText="1"/>
    </xf>
    <xf numFmtId="0" fontId="7" fillId="4" borderId="128" xfId="0" applyFont="1" applyFill="1" applyBorder="1" applyAlignment="1" applyProtection="1">
      <alignment horizontal="center" vertical="center" wrapText="1"/>
    </xf>
    <xf numFmtId="0" fontId="7" fillId="4" borderId="129" xfId="0" applyFont="1" applyFill="1" applyBorder="1" applyAlignment="1" applyProtection="1">
      <alignment horizontal="center" vertical="center" wrapText="1"/>
    </xf>
    <xf numFmtId="0" fontId="4" fillId="13" borderId="128" xfId="0" applyFont="1" applyFill="1" applyBorder="1" applyAlignment="1" applyProtection="1">
      <alignment horizontal="center" vertical="center" wrapText="1"/>
    </xf>
    <xf numFmtId="0" fontId="4" fillId="13" borderId="129" xfId="0" applyFont="1" applyFill="1" applyBorder="1" applyAlignment="1" applyProtection="1">
      <alignment horizontal="center" vertical="center" wrapText="1"/>
    </xf>
    <xf numFmtId="0" fontId="4" fillId="13" borderId="124" xfId="0" applyFont="1" applyFill="1" applyBorder="1" applyAlignment="1" applyProtection="1">
      <alignment horizontal="center" vertical="center" wrapText="1"/>
    </xf>
    <xf numFmtId="0" fontId="4" fillId="13" borderId="125" xfId="0" applyFont="1" applyFill="1" applyBorder="1" applyAlignment="1" applyProtection="1">
      <alignment horizontal="center" vertical="center" wrapText="1"/>
    </xf>
    <xf numFmtId="165" fontId="3" fillId="4" borderId="130" xfId="0" applyNumberFormat="1" applyFont="1" applyFill="1" applyBorder="1" applyAlignment="1" applyProtection="1">
      <alignment horizontal="center" vertical="center" wrapText="1"/>
    </xf>
    <xf numFmtId="165" fontId="3" fillId="4" borderId="131" xfId="0" applyNumberFormat="1" applyFont="1" applyFill="1" applyBorder="1" applyAlignment="1" applyProtection="1">
      <alignment horizontal="center" vertical="center" wrapText="1"/>
    </xf>
    <xf numFmtId="0" fontId="13" fillId="13" borderId="132" xfId="0" applyFont="1" applyFill="1" applyBorder="1" applyAlignment="1" applyProtection="1">
      <alignment horizontal="center" vertical="center" wrapText="1"/>
    </xf>
    <xf numFmtId="0" fontId="13" fillId="13" borderId="133" xfId="0" applyFont="1" applyFill="1" applyBorder="1" applyAlignment="1" applyProtection="1">
      <alignment horizontal="center" vertical="center" wrapText="1"/>
    </xf>
    <xf numFmtId="0" fontId="13" fillId="13" borderId="134" xfId="0" applyFont="1" applyFill="1" applyBorder="1" applyAlignment="1" applyProtection="1">
      <alignment horizontal="center" vertical="center" wrapText="1"/>
    </xf>
    <xf numFmtId="0" fontId="6" fillId="11" borderId="0" xfId="0" applyFont="1" applyFill="1" applyBorder="1" applyAlignment="1" applyProtection="1">
      <alignment vertical="center" wrapText="1"/>
    </xf>
    <xf numFmtId="0" fontId="6" fillId="11" borderId="60" xfId="0" applyFont="1" applyFill="1" applyBorder="1" applyAlignment="1" applyProtection="1">
      <alignment vertical="center" wrapText="1"/>
    </xf>
    <xf numFmtId="0" fontId="6" fillId="11" borderId="79" xfId="0" applyFont="1" applyFill="1" applyBorder="1" applyAlignment="1" applyProtection="1">
      <alignment vertical="center" wrapText="1"/>
    </xf>
    <xf numFmtId="0" fontId="6" fillId="11" borderId="73" xfId="0" applyFont="1" applyFill="1" applyBorder="1" applyAlignment="1" applyProtection="1">
      <alignment vertical="center" wrapText="1"/>
    </xf>
    <xf numFmtId="0" fontId="30" fillId="0" borderId="0" xfId="0" applyFont="1" applyFill="1" applyBorder="1" applyAlignment="1" applyProtection="1">
      <alignment horizontal="right" vertical="center" wrapText="1"/>
    </xf>
    <xf numFmtId="0" fontId="6" fillId="0" borderId="0" xfId="0" applyFont="1" applyFill="1" applyBorder="1" applyAlignment="1" applyProtection="1">
      <alignment horizontal="left" vertical="center" wrapText="1"/>
    </xf>
    <xf numFmtId="0" fontId="12" fillId="13" borderId="1" xfId="0" applyNumberFormat="1" applyFont="1" applyFill="1" applyBorder="1" applyAlignment="1" applyProtection="1">
      <alignment horizontal="center" vertical="center" wrapText="1"/>
    </xf>
    <xf numFmtId="0" fontId="40" fillId="13" borderId="65" xfId="0" applyFont="1" applyFill="1" applyBorder="1" applyAlignment="1" applyProtection="1">
      <alignment horizontal="center" vertical="center" wrapText="1"/>
    </xf>
    <xf numFmtId="0" fontId="3" fillId="4" borderId="10" xfId="0" applyNumberFormat="1" applyFont="1" applyFill="1" applyBorder="1" applyAlignment="1" applyProtection="1">
      <alignment vertical="center" wrapText="1"/>
    </xf>
    <xf numFmtId="0" fontId="41" fillId="14" borderId="0" xfId="0" applyFont="1" applyFill="1" applyAlignment="1" applyProtection="1">
      <alignment vertical="center" wrapText="1"/>
    </xf>
    <xf numFmtId="3" fontId="41" fillId="14" borderId="0" xfId="0" applyNumberFormat="1" applyFont="1" applyFill="1" applyAlignment="1" applyProtection="1">
      <alignment vertical="center" wrapText="1"/>
    </xf>
    <xf numFmtId="0" fontId="42" fillId="14" borderId="0" xfId="0" applyFont="1" applyFill="1" applyAlignment="1" applyProtection="1">
      <alignment vertical="center" wrapText="1"/>
    </xf>
    <xf numFmtId="0" fontId="3" fillId="4" borderId="78" xfId="0" applyNumberFormat="1" applyFont="1" applyFill="1" applyBorder="1" applyAlignment="1" applyProtection="1">
      <alignment horizontal="center" vertical="center" wrapText="1"/>
    </xf>
    <xf numFmtId="3" fontId="4" fillId="15" borderId="141" xfId="0" applyNumberFormat="1" applyFont="1" applyFill="1" applyBorder="1" applyAlignment="1" applyProtection="1">
      <alignment horizontal="center" vertical="center" wrapText="1"/>
      <protection locked="0"/>
    </xf>
    <xf numFmtId="3" fontId="4" fillId="15" borderId="142" xfId="0" applyNumberFormat="1" applyFont="1" applyFill="1" applyBorder="1" applyAlignment="1" applyProtection="1">
      <alignment horizontal="center" vertical="center" wrapText="1"/>
      <protection locked="0"/>
    </xf>
    <xf numFmtId="0" fontId="41" fillId="14" borderId="0" xfId="0" applyFont="1" applyFill="1" applyAlignment="1" applyProtection="1">
      <alignment horizontal="center" vertical="center" wrapText="1"/>
    </xf>
    <xf numFmtId="3" fontId="6" fillId="32" borderId="3" xfId="0" applyNumberFormat="1" applyFont="1" applyFill="1" applyBorder="1" applyAlignment="1" applyProtection="1">
      <alignment horizontal="center" vertical="center" wrapText="1"/>
    </xf>
    <xf numFmtId="0" fontId="6" fillId="15" borderId="68" xfId="0" applyFont="1" applyFill="1" applyBorder="1" applyAlignment="1">
      <alignment horizontal="center" vertical="center" wrapText="1"/>
    </xf>
    <xf numFmtId="0" fontId="6" fillId="15" borderId="41" xfId="0" applyFont="1" applyFill="1" applyBorder="1" applyAlignment="1">
      <alignment horizontal="center" vertical="center" wrapText="1"/>
    </xf>
    <xf numFmtId="0" fontId="6" fillId="15" borderId="69" xfId="0" applyFont="1" applyFill="1" applyBorder="1" applyAlignment="1">
      <alignment horizontal="center" vertical="center" wrapText="1"/>
    </xf>
    <xf numFmtId="0" fontId="15" fillId="12" borderId="46" xfId="0" applyFont="1" applyFill="1" applyBorder="1" applyAlignment="1">
      <alignment horizontal="center" vertical="center" wrapText="1"/>
    </xf>
    <xf numFmtId="0" fontId="15" fillId="12" borderId="16" xfId="0" applyFont="1" applyFill="1" applyBorder="1" applyAlignment="1">
      <alignment horizontal="center" vertical="center" wrapText="1"/>
    </xf>
    <xf numFmtId="3" fontId="13" fillId="10" borderId="32" xfId="0" applyNumberFormat="1" applyFont="1" applyFill="1" applyBorder="1" applyAlignment="1">
      <alignment horizontal="center" vertical="center" wrapText="1"/>
    </xf>
    <xf numFmtId="3" fontId="13" fillId="24" borderId="54" xfId="0" applyNumberFormat="1" applyFont="1" applyFill="1" applyBorder="1" applyAlignment="1">
      <alignment horizontal="center" vertical="center" wrapText="1"/>
    </xf>
    <xf numFmtId="3" fontId="3" fillId="3" borderId="20" xfId="0" applyNumberFormat="1" applyFont="1" applyFill="1" applyBorder="1" applyAlignment="1">
      <alignment horizontal="center" vertical="center" wrapText="1"/>
    </xf>
    <xf numFmtId="3" fontId="13" fillId="10" borderId="33" xfId="0" applyNumberFormat="1" applyFont="1" applyFill="1" applyBorder="1" applyAlignment="1" applyProtection="1">
      <alignment horizontal="center" vertical="center" wrapText="1"/>
    </xf>
    <xf numFmtId="3" fontId="13" fillId="24" borderId="44" xfId="0" applyNumberFormat="1" applyFont="1" applyFill="1" applyBorder="1" applyAlignment="1">
      <alignment horizontal="center" vertical="center" wrapText="1"/>
    </xf>
    <xf numFmtId="3" fontId="3" fillId="3" borderId="21" xfId="0" applyNumberFormat="1" applyFont="1" applyFill="1" applyBorder="1" applyAlignment="1">
      <alignment horizontal="center" vertical="center" wrapText="1"/>
    </xf>
    <xf numFmtId="0" fontId="0" fillId="4" borderId="0" xfId="0" applyFill="1" applyAlignment="1" applyProtection="1">
      <alignment vertical="center" wrapText="1"/>
    </xf>
    <xf numFmtId="0" fontId="14" fillId="14" borderId="0" xfId="0" applyFont="1" applyFill="1" applyAlignment="1">
      <alignment horizontal="center" vertical="center" wrapText="1"/>
    </xf>
    <xf numFmtId="0" fontId="37" fillId="14" borderId="0" xfId="2" applyFont="1" applyFill="1" applyBorder="1" applyAlignment="1">
      <alignment horizontal="center" vertical="center" wrapText="1"/>
    </xf>
    <xf numFmtId="0" fontId="37" fillId="23" borderId="11" xfId="2" applyFont="1" applyFill="1" applyBorder="1" applyAlignment="1">
      <alignment horizontal="center" vertical="center" wrapText="1"/>
    </xf>
    <xf numFmtId="0" fontId="37" fillId="23" borderId="0" xfId="2" applyFont="1" applyFill="1" applyBorder="1" applyAlignment="1">
      <alignment horizontal="center" vertical="center" wrapText="1"/>
    </xf>
    <xf numFmtId="0" fontId="4" fillId="0" borderId="0" xfId="0" applyFont="1" applyFill="1" applyAlignment="1">
      <alignment horizontal="center" vertical="center" wrapText="1"/>
    </xf>
    <xf numFmtId="0" fontId="3" fillId="4" borderId="32" xfId="0" applyFont="1" applyFill="1" applyBorder="1" applyAlignment="1">
      <alignment horizontal="center" vertical="center" wrapText="1"/>
    </xf>
    <xf numFmtId="0" fontId="3" fillId="4" borderId="20" xfId="0" applyFont="1" applyFill="1" applyBorder="1" applyAlignment="1">
      <alignment horizontal="center" vertical="center" wrapText="1"/>
    </xf>
    <xf numFmtId="3" fontId="6" fillId="10" borderId="74" xfId="0" applyNumberFormat="1"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3" fillId="4" borderId="50" xfId="0" applyFont="1" applyFill="1" applyBorder="1" applyAlignment="1">
      <alignment horizontal="center" vertical="center" wrapText="1"/>
    </xf>
    <xf numFmtId="0" fontId="3" fillId="4" borderId="45" xfId="0" applyFont="1" applyFill="1" applyBorder="1" applyAlignment="1">
      <alignment horizontal="center" vertical="center" wrapText="1"/>
    </xf>
    <xf numFmtId="0" fontId="7" fillId="4" borderId="147" xfId="0" applyFont="1" applyFill="1" applyBorder="1" applyAlignment="1">
      <alignment horizontal="center" vertical="center" wrapText="1"/>
    </xf>
    <xf numFmtId="0" fontId="0" fillId="14" borderId="0" xfId="0" applyFill="1"/>
    <xf numFmtId="0" fontId="6" fillId="12" borderId="34" xfId="10" applyNumberFormat="1" applyFont="1" applyFill="1" applyBorder="1" applyAlignment="1">
      <alignment horizontal="center" vertical="center" wrapText="1"/>
    </xf>
    <xf numFmtId="0" fontId="6" fillId="12" borderId="54" xfId="10" applyNumberFormat="1" applyFont="1" applyFill="1" applyBorder="1" applyAlignment="1">
      <alignment horizontal="center" vertical="center" wrapText="1"/>
    </xf>
    <xf numFmtId="0" fontId="6" fillId="12" borderId="44" xfId="10" applyNumberFormat="1" applyFont="1" applyFill="1" applyBorder="1" applyAlignment="1">
      <alignment horizontal="center" vertical="center" wrapText="1"/>
    </xf>
    <xf numFmtId="0" fontId="4" fillId="20" borderId="54" xfId="0" applyNumberFormat="1" applyFont="1" applyFill="1" applyBorder="1" applyAlignment="1">
      <alignment horizontal="center" vertical="center" wrapText="1"/>
    </xf>
    <xf numFmtId="0" fontId="4" fillId="20" borderId="34" xfId="0" applyNumberFormat="1" applyFont="1" applyFill="1" applyBorder="1" applyAlignment="1">
      <alignment horizontal="center" vertical="center" wrapText="1"/>
    </xf>
    <xf numFmtId="0" fontId="4" fillId="20" borderId="44"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0" fontId="7" fillId="4" borderId="67" xfId="0" applyFont="1" applyFill="1" applyBorder="1" applyAlignment="1">
      <alignment horizontal="center" vertical="center" wrapText="1"/>
    </xf>
    <xf numFmtId="0" fontId="0" fillId="0" borderId="0" xfId="0" applyFill="1" applyBorder="1"/>
    <xf numFmtId="0" fontId="3" fillId="4" borderId="3"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27" fillId="10" borderId="78" xfId="0" applyFont="1" applyFill="1" applyBorder="1" applyAlignment="1" applyProtection="1">
      <alignment horizontal="center" vertical="center" wrapText="1"/>
    </xf>
    <xf numFmtId="0" fontId="27" fillId="24" borderId="78"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3" fillId="4" borderId="17" xfId="0" applyFont="1" applyFill="1" applyBorder="1" applyAlignment="1" applyProtection="1">
      <alignment horizontal="center" vertical="center" wrapText="1"/>
    </xf>
    <xf numFmtId="0" fontId="3" fillId="4" borderId="22"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24" xfId="0" applyFont="1" applyFill="1" applyBorder="1" applyAlignment="1">
      <alignment horizontal="center" vertical="center"/>
    </xf>
    <xf numFmtId="0" fontId="6" fillId="12" borderId="56" xfId="10" applyNumberFormat="1" applyFont="1" applyFill="1" applyBorder="1" applyAlignment="1">
      <alignment horizontal="center" vertical="center" wrapText="1"/>
    </xf>
    <xf numFmtId="0" fontId="6" fillId="12" borderId="39" xfId="10" applyNumberFormat="1" applyFont="1" applyFill="1" applyBorder="1" applyAlignment="1">
      <alignment horizontal="center" vertical="center" wrapText="1"/>
    </xf>
    <xf numFmtId="0" fontId="6" fillId="12" borderId="55" xfId="10" applyNumberFormat="1" applyFont="1" applyFill="1" applyBorder="1" applyAlignment="1">
      <alignment horizontal="center" vertical="center" wrapText="1"/>
    </xf>
    <xf numFmtId="2" fontId="6" fillId="12" borderId="32" xfId="0" applyNumberFormat="1" applyFont="1" applyFill="1" applyBorder="1" applyAlignment="1">
      <alignment horizontal="center" vertical="center" wrapText="1"/>
    </xf>
    <xf numFmtId="2" fontId="6" fillId="12" borderId="51" xfId="0" applyNumberFormat="1" applyFont="1" applyFill="1" applyBorder="1" applyAlignment="1">
      <alignment horizontal="center" vertical="center" wrapText="1"/>
    </xf>
    <xf numFmtId="0" fontId="3" fillId="4" borderId="34" xfId="0" applyFont="1" applyFill="1" applyBorder="1" applyAlignment="1">
      <alignment horizontal="center" vertical="center" wrapText="1"/>
    </xf>
    <xf numFmtId="2" fontId="6" fillId="12" borderId="33" xfId="0" applyNumberFormat="1" applyFont="1" applyFill="1" applyBorder="1" applyAlignment="1">
      <alignment horizontal="center" vertical="center" wrapText="1"/>
    </xf>
    <xf numFmtId="0" fontId="3" fillId="4" borderId="44" xfId="0" applyFont="1" applyFill="1" applyBorder="1" applyAlignment="1">
      <alignment horizontal="center" vertical="center" wrapText="1"/>
    </xf>
    <xf numFmtId="0" fontId="0" fillId="14" borderId="0" xfId="0" applyFill="1" applyBorder="1"/>
    <xf numFmtId="0" fontId="0" fillId="0" borderId="0" xfId="0" applyBorder="1"/>
    <xf numFmtId="0" fontId="3" fillId="4" borderId="1" xfId="0" applyFont="1" applyFill="1" applyBorder="1" applyAlignment="1">
      <alignment horizontal="center" vertical="center" wrapText="1"/>
    </xf>
    <xf numFmtId="0" fontId="4" fillId="20" borderId="3" xfId="0" applyNumberFormat="1" applyFont="1" applyFill="1" applyBorder="1" applyAlignment="1">
      <alignment horizontal="center" vertical="center" wrapText="1"/>
    </xf>
    <xf numFmtId="0" fontId="6" fillId="12" borderId="3" xfId="10" applyNumberFormat="1" applyFont="1" applyFill="1" applyBorder="1" applyAlignment="1">
      <alignment horizontal="center" vertical="center" wrapText="1"/>
    </xf>
    <xf numFmtId="2" fontId="6" fillId="12" borderId="4" xfId="0" applyNumberFormat="1" applyFont="1" applyFill="1" applyBorder="1" applyAlignment="1">
      <alignment horizontal="center" vertical="center" wrapText="1"/>
    </xf>
    <xf numFmtId="0" fontId="4" fillId="20" borderId="36" xfId="0" applyNumberFormat="1" applyFont="1" applyFill="1" applyBorder="1" applyAlignment="1">
      <alignment horizontal="center" vertical="center" wrapText="1"/>
    </xf>
    <xf numFmtId="0" fontId="6" fillId="12" borderId="36" xfId="10" applyNumberFormat="1" applyFont="1" applyFill="1" applyBorder="1" applyAlignment="1">
      <alignment horizontal="center" vertical="center" wrapText="1"/>
    </xf>
    <xf numFmtId="0" fontId="7" fillId="4" borderId="30" xfId="0" applyFont="1" applyFill="1" applyBorder="1" applyAlignment="1">
      <alignment horizontal="center" vertical="center" wrapText="1"/>
    </xf>
    <xf numFmtId="0" fontId="0" fillId="14" borderId="0" xfId="0" applyFill="1" applyAlignment="1">
      <alignment vertical="center"/>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6" fillId="14" borderId="23" xfId="0" applyFont="1" applyFill="1" applyBorder="1" applyAlignment="1" applyProtection="1">
      <alignment horizontal="center" vertical="center" wrapText="1"/>
    </xf>
    <xf numFmtId="0" fontId="6" fillId="14" borderId="24" xfId="0" applyFont="1" applyFill="1" applyBorder="1" applyAlignment="1" applyProtection="1">
      <alignment horizontal="center" vertical="center" wrapText="1"/>
    </xf>
    <xf numFmtId="0" fontId="6" fillId="14" borderId="22" xfId="0" applyFont="1" applyFill="1" applyBorder="1" applyAlignment="1" applyProtection="1">
      <alignment horizontal="center" vertical="center" wrapText="1"/>
    </xf>
    <xf numFmtId="0" fontId="3" fillId="4" borderId="32" xfId="0" applyFont="1" applyFill="1" applyBorder="1" applyAlignment="1">
      <alignment horizontal="center" vertical="center" wrapText="1"/>
    </xf>
    <xf numFmtId="0" fontId="3" fillId="4" borderId="24" xfId="0" applyFont="1" applyFill="1" applyBorder="1" applyAlignment="1">
      <alignment horizontal="center" vertical="center"/>
    </xf>
    <xf numFmtId="0" fontId="3" fillId="4" borderId="1" xfId="0" applyFont="1" applyFill="1" applyBorder="1" applyAlignment="1">
      <alignment horizontal="center" vertical="center" wrapText="1"/>
    </xf>
    <xf numFmtId="3" fontId="15" fillId="10" borderId="51" xfId="0" applyNumberFormat="1" applyFont="1" applyFill="1" applyBorder="1" applyAlignment="1">
      <alignment horizontal="center" vertical="center" wrapText="1"/>
    </xf>
    <xf numFmtId="3" fontId="15" fillId="33" borderId="51" xfId="0" applyNumberFormat="1" applyFont="1" applyFill="1" applyBorder="1" applyAlignment="1">
      <alignment horizontal="center" vertical="center" wrapText="1"/>
    </xf>
    <xf numFmtId="3" fontId="15" fillId="19" borderId="51" xfId="0" applyNumberFormat="1" applyFont="1" applyFill="1" applyBorder="1" applyAlignment="1">
      <alignment horizontal="center" vertical="center" wrapText="1"/>
    </xf>
    <xf numFmtId="3" fontId="15" fillId="24" borderId="51" xfId="0" applyNumberFormat="1" applyFont="1" applyFill="1" applyBorder="1" applyAlignment="1">
      <alignment horizontal="center" vertical="center" wrapText="1"/>
    </xf>
    <xf numFmtId="3" fontId="15" fillId="34" borderId="51" xfId="0" applyNumberFormat="1" applyFont="1" applyFill="1" applyBorder="1" applyAlignment="1">
      <alignment horizontal="center" vertical="center" wrapText="1"/>
    </xf>
    <xf numFmtId="3" fontId="3" fillId="3" borderId="51" xfId="0" applyNumberFormat="1" applyFont="1" applyFill="1" applyBorder="1" applyAlignment="1">
      <alignment horizontal="center" vertical="center" wrapText="1"/>
    </xf>
    <xf numFmtId="0" fontId="4" fillId="6" borderId="36" xfId="0" applyNumberFormat="1" applyFont="1" applyFill="1" applyBorder="1" applyAlignment="1">
      <alignment horizontal="center" vertical="center" wrapText="1"/>
    </xf>
    <xf numFmtId="0" fontId="5" fillId="5" borderId="36" xfId="0" applyNumberFormat="1" applyFont="1" applyFill="1" applyBorder="1" applyAlignment="1">
      <alignment horizontal="center" vertical="center" wrapText="1"/>
    </xf>
    <xf numFmtId="0" fontId="4" fillId="8" borderId="36" xfId="0" applyNumberFormat="1" applyFont="1" applyFill="1" applyBorder="1" applyAlignment="1">
      <alignment horizontal="center" vertical="center" wrapText="1"/>
    </xf>
    <xf numFmtId="0" fontId="5" fillId="7" borderId="36" xfId="0" applyNumberFormat="1" applyFont="1" applyFill="1" applyBorder="1" applyAlignment="1">
      <alignment horizontal="center" vertical="center" wrapText="1"/>
    </xf>
    <xf numFmtId="0" fontId="4" fillId="11" borderId="77" xfId="0" applyFont="1" applyFill="1" applyBorder="1" applyAlignment="1" applyProtection="1">
      <alignment horizontal="center" vertical="center" wrapText="1"/>
    </xf>
    <xf numFmtId="0" fontId="4" fillId="11" borderId="34" xfId="0" applyFont="1" applyFill="1" applyBorder="1" applyAlignment="1" applyProtection="1">
      <alignment horizontal="center" vertical="center" wrapText="1"/>
    </xf>
    <xf numFmtId="0" fontId="4" fillId="11" borderId="44" xfId="0" applyFont="1" applyFill="1" applyBorder="1" applyAlignment="1" applyProtection="1">
      <alignment horizontal="center" vertical="center" wrapText="1"/>
    </xf>
    <xf numFmtId="166" fontId="13" fillId="13" borderId="47" xfId="0" applyNumberFormat="1" applyFont="1" applyFill="1" applyBorder="1" applyAlignment="1" applyProtection="1">
      <alignment horizontal="center" vertical="center" wrapText="1"/>
    </xf>
    <xf numFmtId="2" fontId="13" fillId="12" borderId="47" xfId="0" applyNumberFormat="1" applyFont="1" applyFill="1" applyBorder="1" applyAlignment="1" applyProtection="1">
      <alignment horizontal="center" vertical="center" wrapText="1"/>
    </xf>
    <xf numFmtId="46" fontId="6" fillId="12" borderId="57" xfId="0" applyNumberFormat="1" applyFont="1" applyFill="1" applyBorder="1" applyAlignment="1" applyProtection="1">
      <alignment horizontal="center" vertical="center" wrapText="1"/>
    </xf>
    <xf numFmtId="166" fontId="6" fillId="13" borderId="54" xfId="0" applyNumberFormat="1" applyFont="1" applyFill="1" applyBorder="1" applyAlignment="1" applyProtection="1">
      <alignment horizontal="center" vertical="center" wrapText="1"/>
    </xf>
    <xf numFmtId="2" fontId="6" fillId="12" borderId="54" xfId="0" applyNumberFormat="1" applyFont="1" applyFill="1" applyBorder="1" applyAlignment="1" applyProtection="1">
      <alignment horizontal="center" vertical="center" wrapText="1"/>
    </xf>
    <xf numFmtId="46" fontId="6" fillId="12" borderId="20" xfId="0" applyNumberFormat="1" applyFont="1" applyFill="1" applyBorder="1" applyAlignment="1" applyProtection="1">
      <alignment horizontal="center" vertical="center" wrapText="1"/>
    </xf>
    <xf numFmtId="2" fontId="6" fillId="12" borderId="44" xfId="0" applyNumberFormat="1" applyFont="1" applyFill="1" applyBorder="1" applyAlignment="1" applyProtection="1">
      <alignment horizontal="center" vertical="center" wrapText="1"/>
    </xf>
    <xf numFmtId="46" fontId="6" fillId="12" borderId="21" xfId="0" applyNumberFormat="1" applyFont="1" applyFill="1" applyBorder="1" applyAlignment="1" applyProtection="1">
      <alignment horizontal="center" vertical="center" wrapText="1"/>
    </xf>
    <xf numFmtId="0" fontId="13" fillId="13" borderId="46"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166" fontId="6" fillId="13" borderId="44" xfId="0" applyNumberFormat="1" applyFont="1" applyFill="1" applyBorder="1" applyAlignment="1" applyProtection="1">
      <alignment horizontal="center" vertical="center" wrapText="1"/>
    </xf>
    <xf numFmtId="2" fontId="41" fillId="14" borderId="0" xfId="0" applyNumberFormat="1" applyFont="1" applyFill="1" applyAlignment="1" applyProtection="1">
      <alignment horizontal="center" vertical="center" wrapText="1"/>
    </xf>
    <xf numFmtId="3" fontId="6" fillId="20" borderId="54" xfId="0" applyNumberFormat="1" applyFont="1" applyFill="1" applyBorder="1" applyAlignment="1" applyProtection="1">
      <alignment horizontal="center" vertical="center" wrapText="1"/>
    </xf>
    <xf numFmtId="2" fontId="6" fillId="12" borderId="56" xfId="0" applyNumberFormat="1" applyFont="1" applyFill="1" applyBorder="1" applyAlignment="1" applyProtection="1">
      <alignment horizontal="center" vertical="center" wrapText="1"/>
    </xf>
    <xf numFmtId="3" fontId="13" fillId="3" borderId="54" xfId="0" applyNumberFormat="1" applyFont="1" applyFill="1" applyBorder="1" applyAlignment="1" applyProtection="1">
      <alignment horizontal="center" vertical="center" wrapText="1"/>
    </xf>
    <xf numFmtId="3" fontId="13" fillId="3" borderId="34" xfId="0" applyNumberFormat="1" applyFont="1" applyFill="1" applyBorder="1" applyAlignment="1" applyProtection="1">
      <alignment horizontal="center" vertical="center" wrapText="1"/>
    </xf>
    <xf numFmtId="3" fontId="13" fillId="3" borderId="44" xfId="0" applyNumberFormat="1" applyFont="1" applyFill="1" applyBorder="1" applyAlignment="1" applyProtection="1">
      <alignment horizontal="center" vertical="center" wrapText="1"/>
    </xf>
    <xf numFmtId="3" fontId="4" fillId="24" borderId="34" xfId="0" applyNumberFormat="1" applyFont="1" applyFill="1" applyBorder="1" applyAlignment="1" applyProtection="1">
      <alignment horizontal="center" vertical="center" wrapText="1"/>
    </xf>
    <xf numFmtId="0" fontId="6" fillId="14" borderId="15" xfId="0" applyFont="1" applyFill="1" applyBorder="1" applyAlignment="1" applyProtection="1">
      <alignment horizontal="center" vertical="center" wrapText="1"/>
    </xf>
    <xf numFmtId="0" fontId="6" fillId="14" borderId="16"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3" fontId="6" fillId="10" borderId="54"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7" fillId="3" borderId="20" xfId="0" applyNumberFormat="1" applyFont="1" applyFill="1" applyBorder="1" applyAlignment="1">
      <alignment horizontal="center" vertical="center" wrapText="1"/>
    </xf>
    <xf numFmtId="3" fontId="7" fillId="3" borderId="43" xfId="0" applyNumberFormat="1" applyFont="1" applyFill="1" applyBorder="1" applyAlignment="1">
      <alignment horizontal="center" vertical="center" wrapText="1"/>
    </xf>
    <xf numFmtId="0" fontId="3" fillId="4" borderId="32" xfId="0" applyFont="1" applyFill="1" applyBorder="1" applyAlignment="1">
      <alignment horizontal="center" vertical="center" wrapText="1"/>
    </xf>
    <xf numFmtId="0" fontId="6" fillId="15" borderId="149" xfId="0" applyFont="1" applyFill="1" applyBorder="1" applyAlignment="1" applyProtection="1">
      <alignment horizontal="center" vertical="center" wrapText="1"/>
      <protection locked="0"/>
    </xf>
    <xf numFmtId="0" fontId="6" fillId="15" borderId="150" xfId="0" applyFont="1" applyFill="1" applyBorder="1" applyAlignment="1" applyProtection="1">
      <alignment horizontal="center" vertical="center" wrapText="1"/>
      <protection locked="0"/>
    </xf>
    <xf numFmtId="0" fontId="6" fillId="15" borderId="151" xfId="0" applyFont="1" applyFill="1" applyBorder="1" applyAlignment="1" applyProtection="1">
      <alignment horizontal="center" vertical="center" wrapText="1"/>
      <protection locked="0"/>
    </xf>
    <xf numFmtId="0" fontId="6" fillId="15" borderId="152" xfId="0" applyFont="1" applyFill="1" applyBorder="1" applyAlignment="1" applyProtection="1">
      <alignment horizontal="center" vertical="center" wrapText="1"/>
      <protection locked="0"/>
    </xf>
    <xf numFmtId="0" fontId="6" fillId="15" borderId="153" xfId="0" applyFont="1" applyFill="1" applyBorder="1" applyAlignment="1" applyProtection="1">
      <alignment horizontal="center" vertical="center" wrapText="1"/>
      <protection locked="0"/>
    </xf>
    <xf numFmtId="0" fontId="6" fillId="15" borderId="154" xfId="0" applyFont="1" applyFill="1" applyBorder="1" applyAlignment="1" applyProtection="1">
      <alignment horizontal="center" vertical="center" wrapText="1"/>
      <protection locked="0"/>
    </xf>
    <xf numFmtId="0" fontId="6" fillId="15" borderId="155" xfId="0" applyFont="1" applyFill="1" applyBorder="1" applyAlignment="1" applyProtection="1">
      <alignment horizontal="center" vertical="center" wrapText="1"/>
      <protection locked="0"/>
    </xf>
    <xf numFmtId="0" fontId="6" fillId="15" borderId="156" xfId="0" applyFont="1" applyFill="1" applyBorder="1" applyAlignment="1" applyProtection="1">
      <alignment horizontal="center" vertical="center" wrapText="1"/>
      <protection locked="0"/>
    </xf>
    <xf numFmtId="0" fontId="6" fillId="15" borderId="157" xfId="0" applyFont="1" applyFill="1" applyBorder="1" applyAlignment="1" applyProtection="1">
      <alignment horizontal="center" vertical="center" wrapText="1"/>
      <protection locked="0"/>
    </xf>
    <xf numFmtId="0" fontId="6" fillId="15" borderId="158" xfId="0" applyFont="1" applyFill="1" applyBorder="1" applyAlignment="1" applyProtection="1">
      <alignment horizontal="center" vertical="center" wrapText="1"/>
      <protection locked="0"/>
    </xf>
    <xf numFmtId="0" fontId="6" fillId="15" borderId="151" xfId="0" applyFont="1" applyFill="1" applyBorder="1" applyAlignment="1" applyProtection="1">
      <alignment horizontal="center" vertical="center" wrapText="1"/>
    </xf>
    <xf numFmtId="0" fontId="6" fillId="15" borderId="155" xfId="0" applyFont="1" applyFill="1" applyBorder="1" applyAlignment="1" applyProtection="1">
      <alignment horizontal="center" vertical="center" wrapText="1"/>
    </xf>
    <xf numFmtId="0" fontId="6" fillId="15" borderId="159" xfId="0" applyFont="1" applyFill="1" applyBorder="1" applyAlignment="1" applyProtection="1">
      <alignment horizontal="center" vertical="center" wrapText="1"/>
      <protection locked="0"/>
    </xf>
    <xf numFmtId="0" fontId="6" fillId="15" borderId="160" xfId="0" applyFont="1" applyFill="1" applyBorder="1" applyAlignment="1" applyProtection="1">
      <alignment horizontal="center" vertical="center" wrapText="1"/>
      <protection locked="0"/>
    </xf>
    <xf numFmtId="0" fontId="6" fillId="15" borderId="161" xfId="0" applyFont="1" applyFill="1" applyBorder="1" applyAlignment="1" applyProtection="1">
      <alignment horizontal="center" vertical="center" wrapText="1"/>
      <protection locked="0"/>
    </xf>
    <xf numFmtId="0" fontId="6" fillId="15" borderId="162" xfId="0" applyFont="1" applyFill="1" applyBorder="1" applyAlignment="1" applyProtection="1">
      <alignment horizontal="center" vertical="center" wrapText="1"/>
      <protection locked="0"/>
    </xf>
    <xf numFmtId="0" fontId="6" fillId="15" borderId="161" xfId="0" applyFont="1" applyFill="1" applyBorder="1" applyAlignment="1" applyProtection="1">
      <alignment horizontal="center" vertical="center" wrapText="1"/>
    </xf>
    <xf numFmtId="0" fontId="6" fillId="15" borderId="163" xfId="0" applyFont="1" applyFill="1" applyBorder="1" applyAlignment="1" applyProtection="1">
      <alignment horizontal="center" vertical="center" wrapText="1"/>
      <protection locked="0"/>
    </xf>
    <xf numFmtId="3" fontId="15" fillId="35" borderId="51" xfId="0" applyNumberFormat="1" applyFont="1" applyFill="1" applyBorder="1" applyAlignment="1">
      <alignment horizontal="center" vertical="center" wrapText="1"/>
    </xf>
    <xf numFmtId="3" fontId="3" fillId="4" borderId="34" xfId="0" applyNumberFormat="1" applyFont="1" applyFill="1" applyBorder="1" applyAlignment="1">
      <alignment horizontal="center" vertical="center" wrapText="1"/>
    </xf>
    <xf numFmtId="3" fontId="6" fillId="10" borderId="34" xfId="0" quotePrefix="1" applyNumberFormat="1" applyFont="1" applyFill="1" applyBorder="1" applyAlignment="1">
      <alignment horizontal="center" vertical="center" wrapText="1"/>
    </xf>
    <xf numFmtId="0" fontId="6" fillId="4" borderId="164" xfId="0" applyFont="1" applyFill="1" applyBorder="1" applyAlignment="1">
      <alignment horizontal="center" vertical="center" wrapText="1"/>
    </xf>
    <xf numFmtId="0" fontId="6" fillId="4" borderId="64" xfId="0" applyFont="1" applyFill="1" applyBorder="1" applyAlignment="1">
      <alignment horizontal="center" vertical="center" wrapText="1"/>
    </xf>
    <xf numFmtId="0" fontId="6" fillId="4" borderId="60" xfId="0" applyFont="1" applyFill="1" applyBorder="1" applyAlignment="1">
      <alignment horizontal="center" vertical="center" wrapText="1"/>
    </xf>
    <xf numFmtId="0" fontId="6" fillId="4" borderId="61" xfId="0" applyFont="1" applyFill="1" applyBorder="1" applyAlignment="1">
      <alignment horizontal="center" vertical="center" wrapText="1"/>
    </xf>
    <xf numFmtId="0" fontId="6" fillId="4" borderId="59" xfId="0" applyFont="1" applyFill="1" applyBorder="1" applyAlignment="1">
      <alignment horizontal="center" vertical="center" wrapText="1"/>
    </xf>
    <xf numFmtId="3" fontId="15" fillId="13" borderId="32" xfId="0" applyNumberFormat="1" applyFont="1" applyFill="1" applyBorder="1" applyAlignment="1">
      <alignment horizontal="center" vertical="center" wrapText="1"/>
    </xf>
    <xf numFmtId="3" fontId="3" fillId="4" borderId="54" xfId="0" applyNumberFormat="1" applyFont="1" applyFill="1" applyBorder="1" applyAlignment="1">
      <alignment horizontal="center" vertical="center" wrapText="1"/>
    </xf>
    <xf numFmtId="3" fontId="7" fillId="3" borderId="43" xfId="0" quotePrefix="1" applyNumberFormat="1" applyFont="1" applyFill="1" applyBorder="1" applyAlignment="1">
      <alignment horizontal="center" vertical="center" wrapText="1"/>
    </xf>
    <xf numFmtId="3" fontId="15" fillId="2" borderId="33" xfId="0" applyNumberFormat="1" applyFont="1" applyFill="1" applyBorder="1" applyAlignment="1">
      <alignment horizontal="center" vertical="center" wrapText="1"/>
    </xf>
    <xf numFmtId="3" fontId="3" fillId="4" borderId="44" xfId="0" applyNumberFormat="1" applyFont="1" applyFill="1" applyBorder="1" applyAlignment="1">
      <alignment horizontal="center" vertical="center" wrapText="1"/>
    </xf>
    <xf numFmtId="3" fontId="6" fillId="10" borderId="44" xfId="0" quotePrefix="1" applyNumberFormat="1" applyFont="1" applyFill="1" applyBorder="1" applyAlignment="1">
      <alignment horizontal="center" vertical="center" wrapText="1"/>
    </xf>
    <xf numFmtId="3" fontId="7" fillId="3" borderId="21" xfId="0" quotePrefix="1" applyNumberFormat="1" applyFont="1" applyFill="1" applyBorder="1" applyAlignment="1">
      <alignment horizontal="center" vertical="center" wrapText="1"/>
    </xf>
    <xf numFmtId="0" fontId="4" fillId="20" borderId="41" xfId="0" applyFont="1" applyFill="1" applyBorder="1" applyAlignment="1">
      <alignment horizontal="center" vertical="center" wrapText="1"/>
    </xf>
    <xf numFmtId="0" fontId="6" fillId="12" borderId="41" xfId="10" applyNumberFormat="1"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60" xfId="0" applyFont="1" applyFill="1" applyBorder="1" applyAlignment="1">
      <alignment horizontal="center" vertical="center" wrapText="1"/>
    </xf>
    <xf numFmtId="0" fontId="7" fillId="4" borderId="61" xfId="0" applyFont="1" applyFill="1" applyBorder="1" applyAlignment="1">
      <alignment horizontal="center" vertical="center" wrapText="1"/>
    </xf>
    <xf numFmtId="0" fontId="7" fillId="4" borderId="59" xfId="0" applyFont="1" applyFill="1" applyBorder="1" applyAlignment="1">
      <alignment horizontal="center" vertical="center" wrapText="1"/>
    </xf>
    <xf numFmtId="3" fontId="6" fillId="10" borderId="54"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0" fontId="3" fillId="4" borderId="17" xfId="0" applyFont="1" applyFill="1" applyBorder="1" applyAlignment="1" applyProtection="1">
      <alignment horizontal="center" vertical="center" wrapText="1"/>
    </xf>
    <xf numFmtId="0" fontId="3" fillId="4" borderId="1" xfId="0" applyFont="1" applyFill="1" applyBorder="1" applyAlignment="1">
      <alignment horizontal="center" vertical="center" wrapText="1"/>
    </xf>
    <xf numFmtId="3" fontId="6" fillId="24" borderId="61" xfId="0" applyNumberFormat="1" applyFont="1" applyFill="1" applyBorder="1" applyAlignment="1">
      <alignment horizontal="center" vertical="center" wrapText="1"/>
    </xf>
    <xf numFmtId="2" fontId="6" fillId="12" borderId="59" xfId="0" applyNumberFormat="1" applyFont="1" applyFill="1" applyBorder="1" applyAlignment="1">
      <alignment horizontal="center" vertical="center" wrapText="1"/>
    </xf>
    <xf numFmtId="0" fontId="3" fillId="4" borderId="77" xfId="0" applyFont="1" applyFill="1" applyBorder="1" applyAlignment="1">
      <alignment horizontal="center" vertical="center" wrapText="1"/>
    </xf>
    <xf numFmtId="0" fontId="3" fillId="4" borderId="73" xfId="0" applyFont="1" applyFill="1" applyBorder="1" applyAlignment="1">
      <alignment vertical="center" wrapText="1"/>
    </xf>
    <xf numFmtId="10" fontId="6" fillId="10" borderId="32" xfId="0" applyNumberFormat="1" applyFont="1" applyFill="1" applyBorder="1" applyAlignment="1">
      <alignment horizontal="center" vertical="center" wrapText="1"/>
    </xf>
    <xf numFmtId="0" fontId="3" fillId="4" borderId="17" xfId="0" applyFont="1" applyFill="1" applyBorder="1" applyAlignment="1">
      <alignment vertical="center" wrapText="1"/>
    </xf>
    <xf numFmtId="10" fontId="6" fillId="24" borderId="51" xfId="0" applyNumberFormat="1" applyFont="1" applyFill="1" applyBorder="1" applyAlignment="1">
      <alignment horizontal="center" vertical="center" wrapText="1"/>
    </xf>
    <xf numFmtId="10" fontId="7" fillId="3" borderId="51" xfId="0" applyNumberFormat="1" applyFont="1" applyFill="1" applyBorder="1" applyAlignment="1">
      <alignment horizontal="center" vertical="center" wrapText="1"/>
    </xf>
    <xf numFmtId="10" fontId="6" fillId="10" borderId="51" xfId="0" applyNumberFormat="1" applyFont="1" applyFill="1" applyBorder="1" applyAlignment="1">
      <alignment horizontal="center" vertical="center" wrapText="1"/>
    </xf>
    <xf numFmtId="3" fontId="6" fillId="24" borderId="34" xfId="0" quotePrefix="1" applyNumberFormat="1" applyFont="1" applyFill="1" applyBorder="1" applyAlignment="1">
      <alignment horizontal="center" vertical="center" wrapText="1"/>
    </xf>
    <xf numFmtId="3" fontId="7" fillId="3" borderId="34" xfId="0" quotePrefix="1" applyNumberFormat="1" applyFont="1" applyFill="1" applyBorder="1" applyAlignment="1">
      <alignment horizontal="center" vertical="center" wrapText="1"/>
    </xf>
    <xf numFmtId="0" fontId="3" fillId="4" borderId="17" xfId="0" applyFont="1" applyFill="1" applyBorder="1" applyAlignment="1">
      <alignment horizontal="left" vertical="center" wrapText="1"/>
    </xf>
    <xf numFmtId="0" fontId="3" fillId="4" borderId="66" xfId="0" applyFont="1" applyFill="1" applyBorder="1" applyAlignment="1">
      <alignment horizontal="left" vertical="center" wrapText="1"/>
    </xf>
    <xf numFmtId="10" fontId="6" fillId="24" borderId="33" xfId="0" applyNumberFormat="1" applyFont="1" applyFill="1" applyBorder="1" applyAlignment="1">
      <alignment horizontal="center" vertical="center" wrapText="1"/>
    </xf>
    <xf numFmtId="0" fontId="6" fillId="11" borderId="22" xfId="0" applyFont="1" applyFill="1" applyBorder="1" applyAlignment="1" applyProtection="1">
      <alignment vertical="center" wrapText="1"/>
    </xf>
    <xf numFmtId="0" fontId="3" fillId="4" borderId="31" xfId="0" applyFont="1" applyFill="1" applyBorder="1" applyAlignment="1" applyProtection="1">
      <alignment vertical="center" wrapText="1"/>
    </xf>
    <xf numFmtId="0" fontId="3" fillId="4" borderId="72" xfId="0" applyFont="1" applyFill="1" applyBorder="1" applyAlignment="1" applyProtection="1">
      <alignment vertical="center" wrapText="1"/>
    </xf>
    <xf numFmtId="0" fontId="3" fillId="4" borderId="32"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6" fillId="21" borderId="39" xfId="0" applyFont="1" applyFill="1" applyBorder="1" applyAlignment="1">
      <alignment horizontal="center" vertical="center"/>
    </xf>
    <xf numFmtId="3" fontId="6" fillId="10" borderId="3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5" fillId="8" borderId="69" xfId="0" applyFont="1" applyFill="1" applyBorder="1" applyAlignment="1">
      <alignment horizontal="center" vertical="center" wrapText="1"/>
    </xf>
    <xf numFmtId="165" fontId="4" fillId="5" borderId="164" xfId="0" applyNumberFormat="1" applyFont="1" applyFill="1" applyBorder="1" applyAlignment="1">
      <alignment horizontal="center" vertical="center" wrapText="1"/>
    </xf>
    <xf numFmtId="165" fontId="5" fillId="7" borderId="61" xfId="0" applyNumberFormat="1" applyFont="1" applyFill="1" applyBorder="1" applyAlignment="1">
      <alignment horizontal="center" vertical="center" wrapText="1"/>
    </xf>
    <xf numFmtId="165" fontId="5" fillId="7" borderId="64" xfId="0" applyNumberFormat="1" applyFont="1" applyFill="1" applyBorder="1" applyAlignment="1">
      <alignment horizontal="center" vertical="center" wrapText="1"/>
    </xf>
    <xf numFmtId="165" fontId="4" fillId="7" borderId="112" xfId="0" applyNumberFormat="1" applyFont="1" applyFill="1" applyBorder="1" applyAlignment="1">
      <alignment horizontal="center" vertical="center" wrapText="1"/>
    </xf>
    <xf numFmtId="165" fontId="5" fillId="7" borderId="165" xfId="0" applyNumberFormat="1" applyFont="1" applyFill="1" applyBorder="1" applyAlignment="1">
      <alignment horizontal="center" vertical="center" wrapText="1"/>
    </xf>
    <xf numFmtId="165" fontId="5" fillId="5" borderId="64" xfId="0" applyNumberFormat="1" applyFont="1" applyFill="1" applyBorder="1" applyAlignment="1">
      <alignment horizontal="center" vertical="center" wrapText="1"/>
    </xf>
    <xf numFmtId="0" fontId="4" fillId="6" borderId="40" xfId="0" applyFont="1" applyFill="1" applyBorder="1" applyAlignment="1">
      <alignment horizontal="center" vertical="center" wrapText="1"/>
    </xf>
    <xf numFmtId="165" fontId="4" fillId="5" borderId="68" xfId="0" applyNumberFormat="1" applyFont="1" applyFill="1" applyBorder="1" applyAlignment="1">
      <alignment horizontal="center" vertical="center" wrapText="1"/>
    </xf>
    <xf numFmtId="165" fontId="5" fillId="5" borderId="41" xfId="0" applyNumberFormat="1" applyFont="1" applyFill="1" applyBorder="1" applyAlignment="1">
      <alignment horizontal="center" vertical="center" wrapText="1"/>
    </xf>
    <xf numFmtId="165" fontId="4" fillId="7" borderId="41" xfId="0" applyNumberFormat="1" applyFont="1" applyFill="1" applyBorder="1" applyAlignment="1">
      <alignment horizontal="center" vertical="center" wrapText="1"/>
    </xf>
    <xf numFmtId="165" fontId="5" fillId="7" borderId="41" xfId="0" applyNumberFormat="1" applyFont="1" applyFill="1" applyBorder="1" applyAlignment="1">
      <alignment horizontal="center" vertical="center" wrapText="1"/>
    </xf>
    <xf numFmtId="165" fontId="4" fillId="5" borderId="41" xfId="0" applyNumberFormat="1" applyFont="1" applyFill="1" applyBorder="1" applyAlignment="1">
      <alignment horizontal="center" vertical="center" wrapText="1"/>
    </xf>
    <xf numFmtId="0" fontId="48" fillId="14" borderId="0" xfId="0" applyFont="1" applyFill="1" applyBorder="1" applyAlignment="1">
      <alignment horizontal="center" vertical="center" wrapText="1"/>
    </xf>
    <xf numFmtId="0" fontId="4" fillId="6" borderId="61" xfId="0" applyNumberFormat="1" applyFont="1" applyFill="1" applyBorder="1" applyAlignment="1">
      <alignment horizontal="center" vertical="center" wrapText="1"/>
    </xf>
    <xf numFmtId="0" fontId="5" fillId="5" borderId="61" xfId="0" applyNumberFormat="1" applyFont="1" applyFill="1" applyBorder="1" applyAlignment="1">
      <alignment horizontal="center" vertical="center" wrapText="1"/>
    </xf>
    <xf numFmtId="0" fontId="4" fillId="8" borderId="61" xfId="0" applyNumberFormat="1" applyFont="1" applyFill="1" applyBorder="1" applyAlignment="1">
      <alignment horizontal="center" vertical="center" wrapText="1"/>
    </xf>
    <xf numFmtId="0" fontId="5" fillId="7" borderId="61" xfId="0" applyNumberFormat="1" applyFont="1" applyFill="1" applyBorder="1" applyAlignment="1">
      <alignment horizontal="center" vertical="center" wrapText="1"/>
    </xf>
    <xf numFmtId="165" fontId="4" fillId="6" borderId="54" xfId="0" applyNumberFormat="1" applyFont="1" applyFill="1" applyBorder="1" applyAlignment="1">
      <alignment horizontal="center" vertical="center" wrapText="1"/>
    </xf>
    <xf numFmtId="165" fontId="5" fillId="6" borderId="54" xfId="0" applyNumberFormat="1" applyFont="1" applyFill="1" applyBorder="1" applyAlignment="1">
      <alignment horizontal="center" vertical="center" wrapText="1"/>
    </xf>
    <xf numFmtId="165" fontId="4" fillId="8" borderId="54" xfId="0" applyNumberFormat="1" applyFont="1" applyFill="1" applyBorder="1" applyAlignment="1">
      <alignment horizontal="center" vertical="center" wrapText="1"/>
    </xf>
    <xf numFmtId="165" fontId="5" fillId="8" borderId="54" xfId="0" applyNumberFormat="1" applyFont="1" applyFill="1" applyBorder="1" applyAlignment="1">
      <alignment horizontal="center" vertical="center" wrapText="1"/>
    </xf>
    <xf numFmtId="3" fontId="6" fillId="21" borderId="55" xfId="0" applyNumberFormat="1" applyFont="1" applyFill="1" applyBorder="1" applyAlignment="1">
      <alignment horizontal="center" vertical="center" wrapText="1"/>
    </xf>
    <xf numFmtId="0" fontId="3" fillId="4" borderId="80" xfId="0" applyFont="1" applyFill="1" applyBorder="1" applyAlignment="1">
      <alignment horizontal="center" vertical="center" wrapText="1"/>
    </xf>
    <xf numFmtId="3" fontId="6" fillId="21" borderId="34" xfId="0" applyNumberFormat="1" applyFont="1" applyFill="1" applyBorder="1" applyAlignment="1">
      <alignment horizontal="center" vertical="center" wrapText="1"/>
    </xf>
    <xf numFmtId="3" fontId="4" fillId="21" borderId="34" xfId="0" applyNumberFormat="1" applyFont="1" applyFill="1" applyBorder="1" applyAlignment="1">
      <alignment horizontal="center" vertical="center" wrapText="1"/>
    </xf>
    <xf numFmtId="3" fontId="7" fillId="3" borderId="39" xfId="0" applyNumberFormat="1" applyFont="1" applyFill="1" applyBorder="1" applyAlignment="1">
      <alignment horizontal="center" vertical="center" wrapText="1"/>
    </xf>
    <xf numFmtId="3" fontId="4" fillId="10" borderId="34" xfId="0" applyNumberFormat="1" applyFont="1" applyFill="1" applyBorder="1" applyAlignment="1">
      <alignment horizontal="center" vertical="center" wrapText="1"/>
    </xf>
    <xf numFmtId="3" fontId="4" fillId="24" borderId="34" xfId="0" applyNumberFormat="1" applyFont="1" applyFill="1" applyBorder="1" applyAlignment="1">
      <alignment horizontal="center" vertical="center" wrapText="1"/>
    </xf>
    <xf numFmtId="3" fontId="4" fillId="10" borderId="41" xfId="0" applyNumberFormat="1" applyFont="1" applyFill="1" applyBorder="1" applyAlignment="1">
      <alignment horizontal="center" vertical="center" wrapText="1"/>
    </xf>
    <xf numFmtId="3" fontId="4" fillId="24" borderId="41" xfId="0" applyNumberFormat="1" applyFont="1" applyFill="1" applyBorder="1" applyAlignment="1">
      <alignment horizontal="center" vertical="center" wrapText="1"/>
    </xf>
    <xf numFmtId="3" fontId="7" fillId="3" borderId="42" xfId="0" applyNumberFormat="1" applyFont="1" applyFill="1" applyBorder="1" applyAlignment="1">
      <alignment horizontal="center" vertical="center" wrapText="1"/>
    </xf>
    <xf numFmtId="0" fontId="5" fillId="5" borderId="61" xfId="0" applyFont="1" applyFill="1" applyBorder="1" applyAlignment="1">
      <alignment horizontal="center" vertical="center" wrapText="1"/>
    </xf>
    <xf numFmtId="0" fontId="5" fillId="7" borderId="41" xfId="0" applyFont="1" applyFill="1" applyBorder="1" applyAlignment="1">
      <alignment horizontal="center" vertical="center" wrapText="1"/>
    </xf>
    <xf numFmtId="0" fontId="4" fillId="8" borderId="61" xfId="0" applyFont="1" applyFill="1" applyBorder="1" applyAlignment="1">
      <alignment horizontal="center" vertical="center" wrapText="1"/>
    </xf>
    <xf numFmtId="165" fontId="4" fillId="6" borderId="164" xfId="0" applyNumberFormat="1" applyFont="1" applyFill="1" applyBorder="1" applyAlignment="1">
      <alignment horizontal="center" vertical="center" wrapText="1"/>
    </xf>
    <xf numFmtId="165" fontId="5" fillId="6" borderId="61" xfId="0" applyNumberFormat="1" applyFont="1" applyFill="1" applyBorder="1" applyAlignment="1">
      <alignment horizontal="center" vertical="center" wrapText="1"/>
    </xf>
    <xf numFmtId="165" fontId="4" fillId="8" borderId="61" xfId="0" applyNumberFormat="1" applyFont="1" applyFill="1" applyBorder="1" applyAlignment="1">
      <alignment horizontal="center" vertical="center" wrapText="1"/>
    </xf>
    <xf numFmtId="165" fontId="5" fillId="8" borderId="61" xfId="0" applyNumberFormat="1" applyFont="1" applyFill="1" applyBorder="1" applyAlignment="1">
      <alignment horizontal="center" vertical="center" wrapText="1"/>
    </xf>
    <xf numFmtId="165" fontId="4" fillId="6" borderId="61" xfId="0" applyNumberFormat="1" applyFont="1" applyFill="1" applyBorder="1" applyAlignment="1">
      <alignment horizontal="center" vertical="center" wrapText="1"/>
    </xf>
    <xf numFmtId="165" fontId="5" fillId="8" borderId="64"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0" fontId="3" fillId="4" borderId="15" xfId="0" applyFont="1" applyFill="1" applyBorder="1" applyAlignment="1">
      <alignment horizontal="center" vertical="center" wrapText="1"/>
    </xf>
    <xf numFmtId="3" fontId="6" fillId="10" borderId="54"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10" borderId="4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0" fontId="6" fillId="14" borderId="15" xfId="0" applyFont="1" applyFill="1" applyBorder="1" applyAlignment="1" applyProtection="1">
      <alignment horizontal="center" vertical="center" wrapText="1"/>
    </xf>
    <xf numFmtId="0" fontId="6" fillId="14" borderId="14"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7" fillId="14" borderId="0" xfId="0" applyFont="1" applyFill="1" applyAlignment="1" applyProtection="1">
      <alignment horizontal="center" vertical="center" wrapText="1"/>
    </xf>
    <xf numFmtId="0" fontId="6" fillId="14" borderId="22" xfId="0" applyFont="1" applyFill="1" applyBorder="1" applyAlignment="1" applyProtection="1">
      <alignment vertical="center" wrapText="1"/>
    </xf>
    <xf numFmtId="0" fontId="6" fillId="14" borderId="23" xfId="0" applyFont="1" applyFill="1" applyBorder="1" applyAlignment="1" applyProtection="1">
      <alignment vertical="center" wrapText="1"/>
    </xf>
    <xf numFmtId="0" fontId="6" fillId="14" borderId="24" xfId="0" applyFont="1" applyFill="1" applyBorder="1" applyAlignment="1" applyProtection="1">
      <alignment vertical="center" wrapText="1"/>
    </xf>
    <xf numFmtId="0" fontId="6" fillId="14" borderId="14" xfId="0" applyFont="1" applyFill="1" applyBorder="1" applyAlignment="1" applyProtection="1">
      <alignment vertical="center" wrapText="1"/>
    </xf>
    <xf numFmtId="0" fontId="6" fillId="14" borderId="15" xfId="0" applyFont="1" applyFill="1" applyBorder="1" applyAlignment="1" applyProtection="1">
      <alignment vertical="center" wrapText="1"/>
    </xf>
    <xf numFmtId="0" fontId="6" fillId="14" borderId="16" xfId="0" applyFont="1" applyFill="1" applyBorder="1" applyAlignment="1" applyProtection="1">
      <alignment vertical="center" wrapText="1"/>
    </xf>
    <xf numFmtId="46" fontId="6" fillId="12" borderId="59" xfId="0" applyNumberFormat="1" applyFont="1" applyFill="1" applyBorder="1" applyAlignment="1" applyProtection="1">
      <alignment horizontal="center" vertical="center" wrapText="1"/>
    </xf>
    <xf numFmtId="0" fontId="3" fillId="4" borderId="15" xfId="0" applyFont="1" applyFill="1" applyBorder="1" applyAlignment="1" applyProtection="1">
      <alignment horizontal="center" vertical="center" wrapText="1"/>
    </xf>
    <xf numFmtId="0" fontId="13" fillId="13" borderId="58" xfId="0" applyFont="1" applyFill="1" applyBorder="1" applyAlignment="1" applyProtection="1">
      <alignment horizontal="center" vertical="center" wrapText="1"/>
    </xf>
    <xf numFmtId="0" fontId="3" fillId="4" borderId="34" xfId="0" applyFont="1" applyFill="1" applyBorder="1" applyAlignment="1" applyProtection="1">
      <alignment horizontal="left" vertical="center" wrapText="1"/>
    </xf>
    <xf numFmtId="46" fontId="6" fillId="12" borderId="34" xfId="0" applyNumberFormat="1" applyFont="1" applyFill="1" applyBorder="1" applyAlignment="1" applyProtection="1">
      <alignment horizontal="center" vertical="center" wrapText="1"/>
    </xf>
    <xf numFmtId="3" fontId="4" fillId="24" borderId="44" xfId="0" applyNumberFormat="1" applyFont="1" applyFill="1" applyBorder="1" applyAlignment="1" applyProtection="1">
      <alignment horizontal="center" vertical="center" wrapText="1"/>
    </xf>
    <xf numFmtId="3" fontId="15" fillId="24" borderId="47" xfId="0" applyNumberFormat="1" applyFont="1" applyFill="1" applyBorder="1" applyAlignment="1" applyProtection="1">
      <alignment horizontal="center" vertical="center" wrapText="1"/>
    </xf>
    <xf numFmtId="3" fontId="7" fillId="24" borderId="44" xfId="0" applyNumberFormat="1" applyFont="1" applyFill="1" applyBorder="1" applyAlignment="1">
      <alignment horizontal="center" vertical="center" wrapText="1"/>
    </xf>
    <xf numFmtId="9" fontId="6" fillId="12" borderId="167" xfId="0" applyNumberFormat="1" applyFont="1" applyFill="1" applyBorder="1" applyAlignment="1" applyProtection="1">
      <alignment horizontal="center" vertical="center" wrapText="1"/>
    </xf>
    <xf numFmtId="9" fontId="6" fillId="12" borderId="168" xfId="0" applyNumberFormat="1" applyFont="1" applyFill="1" applyBorder="1" applyAlignment="1" applyProtection="1">
      <alignment horizontal="center" vertical="center" wrapText="1"/>
    </xf>
    <xf numFmtId="9" fontId="6" fillId="12" borderId="169" xfId="0" applyNumberFormat="1" applyFont="1" applyFill="1" applyBorder="1" applyAlignment="1" applyProtection="1">
      <alignment horizontal="center" vertical="center" wrapText="1"/>
    </xf>
    <xf numFmtId="0" fontId="6" fillId="12" borderId="170" xfId="0" applyFont="1" applyFill="1" applyBorder="1" applyAlignment="1" applyProtection="1">
      <alignment horizontal="center" vertical="center" wrapText="1"/>
    </xf>
    <xf numFmtId="0" fontId="6" fillId="12" borderId="171" xfId="0" applyFont="1" applyFill="1" applyBorder="1" applyAlignment="1" applyProtection="1">
      <alignment horizontal="center" vertical="center" wrapText="1"/>
    </xf>
    <xf numFmtId="0" fontId="6" fillId="12" borderId="172" xfId="0" applyFont="1" applyFill="1" applyBorder="1" applyAlignment="1" applyProtection="1">
      <alignment horizontal="center" vertical="center" wrapText="1"/>
    </xf>
    <xf numFmtId="3" fontId="3" fillId="4" borderId="32" xfId="0" applyNumberFormat="1" applyFont="1" applyFill="1" applyBorder="1" applyAlignment="1">
      <alignment horizontal="center" vertical="center" wrapText="1"/>
    </xf>
    <xf numFmtId="165" fontId="6" fillId="13" borderId="54" xfId="0" applyNumberFormat="1" applyFont="1" applyFill="1" applyBorder="1" applyAlignment="1">
      <alignment horizontal="center" vertical="center" wrapText="1"/>
    </xf>
    <xf numFmtId="3" fontId="4" fillId="12" borderId="173" xfId="0" applyNumberFormat="1" applyFont="1" applyFill="1" applyBorder="1" applyAlignment="1">
      <alignment horizontal="center" vertical="center" wrapText="1"/>
    </xf>
    <xf numFmtId="3" fontId="4" fillId="12" borderId="174" xfId="0" applyNumberFormat="1" applyFont="1" applyFill="1" applyBorder="1" applyAlignment="1">
      <alignment horizontal="center" vertical="center" wrapText="1"/>
    </xf>
    <xf numFmtId="3" fontId="4" fillId="12" borderId="175" xfId="0" applyNumberFormat="1" applyFont="1" applyFill="1" applyBorder="1" applyAlignment="1">
      <alignment horizontal="center" vertical="center" wrapText="1"/>
    </xf>
    <xf numFmtId="177" fontId="6" fillId="15" borderId="170" xfId="0" applyNumberFormat="1" applyFont="1" applyFill="1" applyBorder="1" applyAlignment="1" applyProtection="1">
      <alignment horizontal="center" vertical="center" wrapText="1"/>
      <protection locked="0"/>
    </xf>
    <xf numFmtId="177" fontId="6" fillId="15" borderId="173" xfId="0" applyNumberFormat="1" applyFont="1" applyFill="1" applyBorder="1" applyAlignment="1" applyProtection="1">
      <alignment horizontal="center" vertical="center" wrapText="1"/>
      <protection locked="0"/>
    </xf>
    <xf numFmtId="177" fontId="6" fillId="15" borderId="171" xfId="0" applyNumberFormat="1" applyFont="1" applyFill="1" applyBorder="1" applyAlignment="1" applyProtection="1">
      <alignment horizontal="center" vertical="center" wrapText="1"/>
      <protection locked="0"/>
    </xf>
    <xf numFmtId="177" fontId="6" fillId="15" borderId="174" xfId="0" applyNumberFormat="1" applyFont="1" applyFill="1" applyBorder="1" applyAlignment="1" applyProtection="1">
      <alignment horizontal="center" vertical="center" wrapText="1"/>
      <protection locked="0"/>
    </xf>
    <xf numFmtId="177" fontId="6" fillId="15" borderId="172" xfId="0" applyNumberFormat="1" applyFont="1" applyFill="1" applyBorder="1" applyAlignment="1" applyProtection="1">
      <alignment horizontal="center" vertical="center" wrapText="1"/>
      <protection locked="0"/>
    </xf>
    <xf numFmtId="177" fontId="6" fillId="15" borderId="175" xfId="0" applyNumberFormat="1" applyFont="1" applyFill="1" applyBorder="1" applyAlignment="1" applyProtection="1">
      <alignment horizontal="center" vertical="center" wrapText="1"/>
      <protection locked="0"/>
    </xf>
    <xf numFmtId="0" fontId="6" fillId="15" borderId="54" xfId="0" applyFont="1" applyFill="1" applyBorder="1" applyAlignment="1" applyProtection="1">
      <alignment horizontal="center" vertical="center" wrapText="1"/>
    </xf>
    <xf numFmtId="0" fontId="3" fillId="4" borderId="51" xfId="0" applyFont="1" applyFill="1" applyBorder="1" applyAlignment="1" applyProtection="1">
      <alignment horizontal="center" vertical="center" wrapText="1"/>
    </xf>
    <xf numFmtId="0" fontId="6" fillId="15" borderId="34" xfId="0" applyFont="1" applyFill="1" applyBorder="1" applyAlignment="1" applyProtection="1">
      <alignment horizontal="center" vertical="center" wrapText="1"/>
    </xf>
    <xf numFmtId="0" fontId="3" fillId="4" borderId="33" xfId="0" applyFont="1" applyFill="1" applyBorder="1" applyAlignment="1" applyProtection="1">
      <alignment horizontal="center" vertical="center" wrapText="1"/>
    </xf>
    <xf numFmtId="0" fontId="6" fillId="15" borderId="44" xfId="0" applyFont="1" applyFill="1" applyBorder="1" applyAlignment="1" applyProtection="1">
      <alignment horizontal="center" vertical="center" wrapText="1"/>
    </xf>
    <xf numFmtId="0" fontId="3" fillId="4" borderId="78" xfId="0" quotePrefix="1" applyFont="1" applyFill="1" applyBorder="1" applyAlignment="1" applyProtection="1">
      <alignment horizontal="center" vertical="center" wrapText="1"/>
    </xf>
    <xf numFmtId="0" fontId="6" fillId="15" borderId="3" xfId="0" applyFont="1" applyFill="1" applyBorder="1" applyAlignment="1" applyProtection="1">
      <alignment horizontal="center" vertical="center" wrapText="1"/>
    </xf>
    <xf numFmtId="0" fontId="4" fillId="11" borderId="3" xfId="0" applyFont="1" applyFill="1" applyBorder="1" applyAlignment="1" applyProtection="1">
      <alignment horizontal="center" vertical="center" wrapText="1"/>
    </xf>
    <xf numFmtId="166" fontId="6" fillId="9" borderId="3" xfId="0" applyNumberFormat="1" applyFont="1" applyFill="1" applyBorder="1" applyAlignment="1" applyProtection="1">
      <alignment horizontal="center" vertical="center" wrapText="1"/>
    </xf>
    <xf numFmtId="165" fontId="6" fillId="9" borderId="3" xfId="0" applyNumberFormat="1" applyFont="1" applyFill="1" applyBorder="1" applyAlignment="1" applyProtection="1">
      <alignment horizontal="center" vertical="center" wrapText="1"/>
    </xf>
    <xf numFmtId="3" fontId="6" fillId="10" borderId="3" xfId="0" applyNumberFormat="1" applyFont="1" applyFill="1" applyBorder="1" applyAlignment="1" applyProtection="1">
      <alignment horizontal="center" vertical="center" wrapText="1"/>
    </xf>
    <xf numFmtId="167" fontId="6" fillId="12" borderId="3" xfId="0" applyNumberFormat="1" applyFont="1" applyFill="1" applyBorder="1" applyAlignment="1" applyProtection="1">
      <alignment horizontal="center" vertical="center" wrapText="1"/>
    </xf>
    <xf numFmtId="167" fontId="6" fillId="12" borderId="4" xfId="0" applyNumberFormat="1" applyFont="1" applyFill="1" applyBorder="1" applyAlignment="1" applyProtection="1">
      <alignment horizontal="center" vertical="center" wrapText="1"/>
    </xf>
    <xf numFmtId="3" fontId="4" fillId="24" borderId="54" xfId="0" applyNumberFormat="1" applyFont="1" applyFill="1" applyBorder="1" applyAlignment="1" applyProtection="1">
      <alignment horizontal="center" vertical="center" wrapText="1"/>
    </xf>
    <xf numFmtId="0" fontId="0" fillId="14" borderId="176" xfId="0" applyFill="1" applyBorder="1" applyAlignment="1">
      <alignment horizontal="center" vertical="center" wrapText="1"/>
    </xf>
    <xf numFmtId="177" fontId="3" fillId="4" borderId="19" xfId="0" applyNumberFormat="1" applyFont="1" applyFill="1" applyBorder="1" applyAlignment="1">
      <alignment horizontal="center" vertical="center" wrapText="1"/>
    </xf>
    <xf numFmtId="177" fontId="7" fillId="14" borderId="0" xfId="0" applyNumberFormat="1" applyFont="1" applyFill="1" applyAlignment="1">
      <alignment horizontal="center" vertical="center" wrapText="1"/>
    </xf>
    <xf numFmtId="177" fontId="33" fillId="14" borderId="0" xfId="0" applyNumberFormat="1" applyFont="1" applyFill="1" applyAlignment="1">
      <alignment horizontal="center" vertical="center" wrapText="1"/>
    </xf>
    <xf numFmtId="177" fontId="3" fillId="4" borderId="18" xfId="8" applyNumberFormat="1" applyFont="1" applyFill="1" applyBorder="1" applyAlignment="1">
      <alignment horizontal="center" vertical="center" wrapText="1"/>
    </xf>
    <xf numFmtId="177" fontId="0" fillId="14" borderId="0" xfId="0" applyNumberFormat="1" applyFill="1" applyAlignment="1">
      <alignment horizontal="center" vertical="center" wrapText="1"/>
    </xf>
    <xf numFmtId="3" fontId="12" fillId="4" borderId="2" xfId="0" applyNumberFormat="1"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3" fillId="4" borderId="5" xfId="2" applyFont="1" applyFill="1" applyBorder="1" applyAlignment="1">
      <alignment horizontal="center" vertical="center" wrapText="1"/>
    </xf>
    <xf numFmtId="0" fontId="3" fillId="4" borderId="3" xfId="0" applyFont="1" applyFill="1" applyBorder="1" applyAlignment="1">
      <alignment horizontal="center" vertical="center" wrapText="1"/>
    </xf>
    <xf numFmtId="179" fontId="3" fillId="4" borderId="32" xfId="0" applyNumberFormat="1" applyFont="1" applyFill="1" applyBorder="1" applyAlignment="1">
      <alignment horizontal="center" vertical="center" wrapText="1"/>
    </xf>
    <xf numFmtId="179" fontId="3" fillId="4" borderId="56" xfId="0" applyNumberFormat="1" applyFont="1" applyFill="1" applyBorder="1" applyAlignment="1">
      <alignment horizontal="center" vertical="center" wrapText="1"/>
    </xf>
    <xf numFmtId="179" fontId="3" fillId="4" borderId="51" xfId="0" applyNumberFormat="1" applyFont="1" applyFill="1" applyBorder="1" applyAlignment="1">
      <alignment horizontal="center" vertical="center" wrapText="1"/>
    </xf>
    <xf numFmtId="179" fontId="3" fillId="4" borderId="39" xfId="0" applyNumberFormat="1"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63"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 fillId="4" borderId="3" xfId="2" applyFont="1" applyFill="1" applyBorder="1" applyAlignment="1">
      <alignment horizontal="center" vertical="center" wrapText="1"/>
    </xf>
    <xf numFmtId="3" fontId="6" fillId="10" borderId="54" xfId="0" applyNumberFormat="1" applyFont="1" applyFill="1" applyBorder="1" applyAlignment="1">
      <alignment horizontal="center" vertical="center" wrapText="1"/>
    </xf>
    <xf numFmtId="3" fontId="6" fillId="10" borderId="34" xfId="0" applyNumberFormat="1" applyFont="1" applyFill="1" applyBorder="1" applyAlignment="1">
      <alignment horizontal="center" vertical="center" wrapText="1"/>
    </xf>
    <xf numFmtId="3" fontId="6" fillId="24" borderId="54" xfId="0" applyNumberFormat="1" applyFont="1" applyFill="1" applyBorder="1" applyAlignment="1">
      <alignment horizontal="center" vertical="center" wrapText="1"/>
    </xf>
    <xf numFmtId="3" fontId="6" fillId="24" borderId="20" xfId="0" applyNumberFormat="1" applyFont="1" applyFill="1" applyBorder="1" applyAlignment="1">
      <alignment horizontal="center" vertical="center" wrapText="1"/>
    </xf>
    <xf numFmtId="3" fontId="6" fillId="24" borderId="34" xfId="0" applyNumberFormat="1" applyFont="1" applyFill="1" applyBorder="1" applyAlignment="1">
      <alignment horizontal="center" vertical="center" wrapText="1"/>
    </xf>
    <xf numFmtId="3" fontId="6" fillId="24" borderId="43" xfId="0" applyNumberFormat="1"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0" fillId="0" borderId="12" xfId="0" applyBorder="1" applyAlignment="1">
      <alignment horizontal="center" vertical="center" wrapText="1"/>
    </xf>
    <xf numFmtId="0" fontId="12" fillId="4" borderId="63" xfId="0" applyFont="1" applyFill="1" applyBorder="1" applyAlignment="1">
      <alignment horizontal="center" vertical="center" wrapText="1"/>
    </xf>
    <xf numFmtId="0" fontId="0" fillId="0" borderId="0" xfId="0" applyBorder="1" applyAlignment="1">
      <alignment horizontal="center" vertical="center" wrapText="1"/>
    </xf>
    <xf numFmtId="179" fontId="3" fillId="4" borderId="33" xfId="0" applyNumberFormat="1" applyFont="1" applyFill="1" applyBorder="1" applyAlignment="1">
      <alignment horizontal="center" vertical="center" wrapText="1"/>
    </xf>
    <xf numFmtId="179" fontId="3" fillId="4" borderId="55" xfId="0" applyNumberFormat="1" applyFont="1" applyFill="1" applyBorder="1" applyAlignment="1">
      <alignment horizontal="center" vertical="center" wrapText="1"/>
    </xf>
    <xf numFmtId="3" fontId="6" fillId="10" borderId="44" xfId="0" applyNumberFormat="1" applyFont="1" applyFill="1" applyBorder="1" applyAlignment="1">
      <alignment horizontal="center" vertical="center" wrapText="1"/>
    </xf>
    <xf numFmtId="3" fontId="6" fillId="24" borderId="44" xfId="0" applyNumberFormat="1" applyFont="1" applyFill="1" applyBorder="1" applyAlignment="1">
      <alignment horizontal="center" vertical="center" wrapText="1"/>
    </xf>
    <xf numFmtId="3" fontId="6" fillId="24" borderId="21" xfId="0" applyNumberFormat="1" applyFont="1" applyFill="1" applyBorder="1" applyAlignment="1">
      <alignment horizontal="center" vertical="center" wrapText="1"/>
    </xf>
    <xf numFmtId="0" fontId="3" fillId="4" borderId="30" xfId="0" applyFont="1" applyFill="1" applyBorder="1" applyAlignment="1">
      <alignment horizontal="center" vertical="center" wrapText="1"/>
    </xf>
    <xf numFmtId="3" fontId="7" fillId="3" borderId="50" xfId="0" applyNumberFormat="1" applyFont="1" applyFill="1" applyBorder="1" applyAlignment="1">
      <alignment horizontal="center" vertical="center" wrapText="1"/>
    </xf>
    <xf numFmtId="3" fontId="7" fillId="3" borderId="20" xfId="0" applyNumberFormat="1" applyFont="1" applyFill="1" applyBorder="1" applyAlignment="1">
      <alignment horizontal="center" vertical="center" wrapText="1"/>
    </xf>
    <xf numFmtId="3" fontId="7" fillId="3" borderId="38" xfId="0" applyNumberFormat="1" applyFont="1" applyFill="1" applyBorder="1" applyAlignment="1">
      <alignment horizontal="center" vertical="center" wrapText="1"/>
    </xf>
    <xf numFmtId="3" fontId="7" fillId="3" borderId="43" xfId="0" applyNumberFormat="1"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14" borderId="11" xfId="4" applyFont="1" applyFill="1" applyBorder="1" applyAlignment="1">
      <alignment horizontal="left" vertical="center" wrapText="1"/>
    </xf>
    <xf numFmtId="0" fontId="0" fillId="0" borderId="11" xfId="0" applyBorder="1" applyAlignment="1">
      <alignment vertical="center" wrapText="1"/>
    </xf>
    <xf numFmtId="0" fontId="0" fillId="0" borderId="12" xfId="0" applyBorder="1" applyAlignment="1">
      <alignment vertical="center" wrapText="1"/>
    </xf>
    <xf numFmtId="0" fontId="34" fillId="14" borderId="0" xfId="4" applyFont="1" applyFill="1" applyBorder="1" applyAlignment="1">
      <alignment horizontal="left" vertical="center" wrapText="1"/>
    </xf>
    <xf numFmtId="0" fontId="35" fillId="0" borderId="0" xfId="0" applyFont="1" applyBorder="1" applyAlignment="1">
      <alignment vertical="center" wrapText="1"/>
    </xf>
    <xf numFmtId="0" fontId="35" fillId="0" borderId="13" xfId="0" applyFont="1" applyBorder="1" applyAlignment="1">
      <alignment vertical="center" wrapText="1"/>
    </xf>
    <xf numFmtId="0" fontId="34" fillId="14" borderId="15" xfId="2" applyFont="1" applyFill="1" applyBorder="1" applyAlignment="1">
      <alignment horizontal="left" vertical="center" wrapText="1"/>
    </xf>
    <xf numFmtId="0" fontId="35" fillId="0" borderId="15" xfId="0" applyFont="1" applyBorder="1" applyAlignment="1">
      <alignment vertical="center" wrapText="1"/>
    </xf>
    <xf numFmtId="0" fontId="4" fillId="14" borderId="0" xfId="4" applyFont="1" applyFill="1" applyBorder="1" applyAlignment="1">
      <alignment horizontal="left" vertical="center" wrapText="1"/>
    </xf>
    <xf numFmtId="0" fontId="0" fillId="0" borderId="0" xfId="0" applyBorder="1" applyAlignment="1">
      <alignment vertical="center" wrapText="1"/>
    </xf>
    <xf numFmtId="0" fontId="6" fillId="0" borderId="0" xfId="0" applyFont="1" applyBorder="1" applyAlignment="1">
      <alignment vertical="center" wrapText="1"/>
    </xf>
    <xf numFmtId="0" fontId="35" fillId="0" borderId="16" xfId="0" applyFont="1" applyBorder="1" applyAlignment="1">
      <alignment vertical="center" wrapText="1"/>
    </xf>
    <xf numFmtId="3" fontId="7" fillId="3" borderId="45" xfId="0" applyNumberFormat="1"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0" fontId="0" fillId="15" borderId="101" xfId="0" applyNumberFormat="1" applyFill="1" applyBorder="1" applyAlignment="1" applyProtection="1">
      <alignment horizontal="center" vertical="center" wrapText="1"/>
      <protection locked="0"/>
    </xf>
    <xf numFmtId="0" fontId="0" fillId="15" borderId="143" xfId="0" applyNumberFormat="1" applyFill="1" applyBorder="1" applyAlignment="1" applyProtection="1">
      <alignment horizontal="center" vertical="center" wrapText="1"/>
      <protection locked="0"/>
    </xf>
    <xf numFmtId="0" fontId="3" fillId="4" borderId="98" xfId="0" applyFont="1" applyFill="1" applyBorder="1" applyAlignment="1" applyProtection="1">
      <alignment horizontal="center" vertical="center" wrapText="1"/>
    </xf>
    <xf numFmtId="0" fontId="3" fillId="4" borderId="99" xfId="0" applyFont="1" applyFill="1" applyBorder="1" applyAlignment="1" applyProtection="1">
      <alignment horizontal="center" vertical="center" wrapText="1"/>
    </xf>
    <xf numFmtId="0" fontId="27" fillId="24" borderId="78" xfId="0" applyFont="1" applyFill="1" applyBorder="1" applyAlignment="1" applyProtection="1">
      <alignment horizontal="center" vertical="center" wrapText="1"/>
    </xf>
    <xf numFmtId="169" fontId="27" fillId="24" borderId="6" xfId="0" applyNumberFormat="1" applyFont="1" applyFill="1" applyBorder="1" applyAlignment="1" applyProtection="1">
      <alignment horizontal="center" vertical="center" wrapText="1"/>
    </xf>
    <xf numFmtId="170" fontId="1" fillId="3" borderId="78" xfId="0" applyNumberFormat="1" applyFont="1" applyFill="1" applyBorder="1" applyAlignment="1" applyProtection="1">
      <alignment horizontal="center" vertical="center" wrapText="1"/>
    </xf>
    <xf numFmtId="0" fontId="7" fillId="14" borderId="0" xfId="0" applyFont="1" applyFill="1" applyAlignment="1" applyProtection="1">
      <alignment horizontal="center" vertical="center" wrapText="1"/>
    </xf>
    <xf numFmtId="171" fontId="16" fillId="12" borderId="6" xfId="0" applyNumberFormat="1" applyFont="1" applyFill="1" applyBorder="1" applyAlignment="1" applyProtection="1">
      <alignment horizontal="center" vertical="center" wrapText="1"/>
    </xf>
    <xf numFmtId="171" fontId="16" fillId="12" borderId="78" xfId="0" applyNumberFormat="1" applyFont="1" applyFill="1" applyBorder="1" applyAlignment="1" applyProtection="1">
      <alignment horizontal="center" vertical="center" wrapText="1"/>
    </xf>
    <xf numFmtId="0" fontId="2" fillId="4" borderId="22" xfId="0" applyFont="1" applyFill="1" applyBorder="1" applyAlignment="1" applyProtection="1">
      <alignment horizontal="center" vertical="center" wrapText="1"/>
    </xf>
    <xf numFmtId="0" fontId="2" fillId="4" borderId="23" xfId="0" applyFont="1" applyFill="1" applyBorder="1" applyAlignment="1" applyProtection="1">
      <alignment horizontal="center" vertical="center" wrapText="1"/>
    </xf>
    <xf numFmtId="0" fontId="2" fillId="4" borderId="24" xfId="0" applyFont="1" applyFill="1" applyBorder="1" applyAlignment="1" applyProtection="1">
      <alignment horizontal="center" vertical="center" wrapText="1"/>
    </xf>
    <xf numFmtId="0" fontId="27" fillId="10" borderId="78" xfId="0" applyFont="1" applyFill="1" applyBorder="1" applyAlignment="1" applyProtection="1">
      <alignment horizontal="center" vertical="center" wrapText="1"/>
    </xf>
    <xf numFmtId="168" fontId="27" fillId="10" borderId="6" xfId="0" applyNumberFormat="1" applyFont="1" applyFill="1" applyBorder="1" applyAlignment="1" applyProtection="1">
      <alignment horizontal="center" vertical="center" wrapText="1"/>
    </xf>
    <xf numFmtId="0" fontId="2" fillId="4" borderId="63" xfId="0" applyFont="1" applyFill="1" applyBorder="1" applyAlignment="1" applyProtection="1">
      <alignment horizontal="center" vertical="center" wrapText="1"/>
    </xf>
    <xf numFmtId="0" fontId="2" fillId="4" borderId="0" xfId="0" applyFont="1" applyFill="1" applyBorder="1" applyAlignment="1" applyProtection="1">
      <alignment horizontal="center" vertical="center" wrapText="1"/>
    </xf>
    <xf numFmtId="0" fontId="2" fillId="4" borderId="14" xfId="0" applyFont="1" applyFill="1" applyBorder="1" applyAlignment="1" applyProtection="1">
      <alignment horizontal="center" vertical="center" wrapText="1"/>
    </xf>
    <xf numFmtId="0" fontId="2" fillId="4" borderId="15" xfId="0" applyFont="1" applyFill="1" applyBorder="1" applyAlignment="1" applyProtection="1">
      <alignment horizontal="center" vertical="center" wrapText="1"/>
    </xf>
    <xf numFmtId="170" fontId="8" fillId="3" borderId="6" xfId="0" applyNumberFormat="1" applyFont="1" applyFill="1" applyBorder="1" applyAlignment="1" applyProtection="1">
      <alignment horizontal="center" vertical="center" wrapText="1"/>
    </xf>
    <xf numFmtId="173" fontId="32" fillId="12" borderId="78" xfId="0" applyNumberFormat="1" applyFont="1" applyFill="1" applyBorder="1" applyAlignment="1" applyProtection="1">
      <alignment horizontal="center" vertical="center" wrapText="1"/>
    </xf>
    <xf numFmtId="173" fontId="16" fillId="12" borderId="6" xfId="0" applyNumberFormat="1" applyFont="1" applyFill="1" applyBorder="1" applyAlignment="1" applyProtection="1">
      <alignment horizontal="center" vertical="center" wrapText="1"/>
    </xf>
    <xf numFmtId="172" fontId="16" fillId="12" borderId="78" xfId="0" applyNumberFormat="1" applyFont="1" applyFill="1" applyBorder="1" applyAlignment="1" applyProtection="1">
      <alignment horizontal="center" vertical="center" wrapText="1"/>
    </xf>
    <xf numFmtId="174" fontId="16" fillId="12" borderId="6" xfId="0" applyNumberFormat="1" applyFont="1" applyFill="1" applyBorder="1" applyAlignment="1" applyProtection="1">
      <alignment horizontal="center" vertical="center" wrapText="1"/>
    </xf>
    <xf numFmtId="164" fontId="2" fillId="4" borderId="22" xfId="0" applyNumberFormat="1" applyFont="1" applyFill="1" applyBorder="1" applyAlignment="1" applyProtection="1">
      <alignment horizontal="center" vertical="center" wrapText="1"/>
    </xf>
    <xf numFmtId="164" fontId="2" fillId="4" borderId="23" xfId="0" applyNumberFormat="1" applyFont="1" applyFill="1" applyBorder="1" applyAlignment="1" applyProtection="1">
      <alignment horizontal="center" vertical="center" wrapText="1"/>
    </xf>
    <xf numFmtId="0" fontId="12" fillId="4" borderId="63" xfId="0" applyFont="1" applyFill="1" applyBorder="1" applyAlignment="1" applyProtection="1">
      <alignment horizontal="center" vertical="center" wrapText="1"/>
    </xf>
    <xf numFmtId="0" fontId="12" fillId="4" borderId="0" xfId="0" applyFont="1" applyFill="1" applyBorder="1" applyAlignment="1" applyProtection="1">
      <alignment horizontal="center" vertical="center" wrapText="1"/>
    </xf>
    <xf numFmtId="0" fontId="12" fillId="4" borderId="13" xfId="0" applyFont="1" applyFill="1" applyBorder="1" applyAlignment="1" applyProtection="1">
      <alignment horizontal="center" vertical="center" wrapText="1"/>
    </xf>
    <xf numFmtId="0" fontId="12" fillId="4" borderId="14" xfId="0" applyFont="1" applyFill="1" applyBorder="1" applyAlignment="1" applyProtection="1">
      <alignment horizontal="center" vertical="center" wrapText="1"/>
    </xf>
    <xf numFmtId="0" fontId="12" fillId="4" borderId="15" xfId="0" applyFont="1" applyFill="1" applyBorder="1" applyAlignment="1" applyProtection="1">
      <alignment horizontal="center" vertical="center" wrapText="1"/>
    </xf>
    <xf numFmtId="0" fontId="12" fillId="4" borderId="16" xfId="0" applyFont="1" applyFill="1" applyBorder="1" applyAlignment="1" applyProtection="1">
      <alignment horizontal="center" vertical="center" wrapText="1"/>
    </xf>
    <xf numFmtId="0" fontId="12" fillId="4" borderId="10" xfId="0" applyFont="1" applyFill="1" applyBorder="1" applyAlignment="1" applyProtection="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12" fillId="4" borderId="11" xfId="0" applyFont="1" applyFill="1" applyBorder="1" applyAlignment="1" applyProtection="1">
      <alignment horizontal="center" vertical="center" wrapText="1"/>
    </xf>
    <xf numFmtId="0" fontId="12" fillId="4" borderId="12" xfId="0" applyFont="1" applyFill="1" applyBorder="1" applyAlignment="1" applyProtection="1">
      <alignment horizontal="center" vertical="center" wrapText="1"/>
    </xf>
    <xf numFmtId="164" fontId="2" fillId="4" borderId="14" xfId="0" applyNumberFormat="1" applyFont="1" applyFill="1" applyBorder="1" applyAlignment="1" applyProtection="1">
      <alignment horizontal="center" vertical="center" wrapText="1"/>
    </xf>
    <xf numFmtId="164" fontId="2" fillId="4" borderId="15" xfId="0" applyNumberFormat="1" applyFont="1" applyFill="1" applyBorder="1" applyAlignment="1" applyProtection="1">
      <alignment horizontal="center" vertical="center" wrapText="1"/>
    </xf>
    <xf numFmtId="0" fontId="12" fillId="4" borderId="14" xfId="0" applyNumberFormat="1" applyFont="1" applyFill="1" applyBorder="1" applyAlignment="1" applyProtection="1">
      <alignment horizontal="center" vertical="center" wrapText="1"/>
    </xf>
    <xf numFmtId="0" fontId="12" fillId="4" borderId="16" xfId="0" applyNumberFormat="1" applyFont="1" applyFill="1" applyBorder="1" applyAlignment="1" applyProtection="1">
      <alignment horizontal="center" vertical="center" wrapText="1"/>
    </xf>
    <xf numFmtId="0" fontId="12" fillId="4" borderId="10" xfId="0" applyNumberFormat="1" applyFont="1" applyFill="1" applyBorder="1" applyAlignment="1" applyProtection="1">
      <alignment horizontal="center" vertical="center" wrapText="1"/>
    </xf>
    <xf numFmtId="0" fontId="12" fillId="4" borderId="12" xfId="0" applyNumberFormat="1" applyFont="1" applyFill="1" applyBorder="1" applyAlignment="1" applyProtection="1">
      <alignment horizontal="center" vertical="center" wrapText="1"/>
    </xf>
    <xf numFmtId="168" fontId="27" fillId="10" borderId="14" xfId="0" applyNumberFormat="1" applyFont="1" applyFill="1" applyBorder="1" applyAlignment="1" applyProtection="1">
      <alignment horizontal="center" vertical="center" wrapText="1"/>
    </xf>
    <xf numFmtId="168" fontId="27" fillId="10" borderId="15" xfId="0" applyNumberFormat="1" applyFont="1" applyFill="1" applyBorder="1" applyAlignment="1" applyProtection="1">
      <alignment horizontal="center" vertical="center" wrapText="1"/>
    </xf>
    <xf numFmtId="168" fontId="27" fillId="10" borderId="16" xfId="0" applyNumberFormat="1" applyFont="1" applyFill="1" applyBorder="1" applyAlignment="1" applyProtection="1">
      <alignment horizontal="center" vertical="center" wrapText="1"/>
    </xf>
    <xf numFmtId="169" fontId="8" fillId="24" borderId="14" xfId="0" applyNumberFormat="1" applyFont="1" applyFill="1" applyBorder="1" applyAlignment="1" applyProtection="1">
      <alignment horizontal="center" vertical="center" wrapText="1"/>
    </xf>
    <xf numFmtId="169" fontId="8" fillId="24" borderId="15" xfId="0" applyNumberFormat="1" applyFont="1" applyFill="1" applyBorder="1" applyAlignment="1" applyProtection="1">
      <alignment horizontal="center" vertical="center" wrapText="1"/>
    </xf>
    <xf numFmtId="169" fontId="8" fillId="24" borderId="16" xfId="0" applyNumberFormat="1" applyFont="1" applyFill="1" applyBorder="1" applyAlignment="1" applyProtection="1">
      <alignment horizontal="center" vertical="center" wrapText="1"/>
    </xf>
    <xf numFmtId="170" fontId="8" fillId="3" borderId="14" xfId="0" applyNumberFormat="1" applyFont="1" applyFill="1" applyBorder="1" applyAlignment="1" applyProtection="1">
      <alignment horizontal="center" vertical="center" wrapText="1"/>
    </xf>
    <xf numFmtId="170" fontId="8" fillId="3" borderId="16" xfId="0" applyNumberFormat="1" applyFont="1" applyFill="1" applyBorder="1" applyAlignment="1" applyProtection="1">
      <alignment horizontal="center" vertical="center" wrapText="1"/>
    </xf>
    <xf numFmtId="171" fontId="16" fillId="12" borderId="14" xfId="0" applyNumberFormat="1" applyFont="1" applyFill="1" applyBorder="1" applyAlignment="1" applyProtection="1">
      <alignment horizontal="center" vertical="center" wrapText="1"/>
    </xf>
    <xf numFmtId="171" fontId="16" fillId="12" borderId="15" xfId="0" applyNumberFormat="1" applyFont="1" applyFill="1" applyBorder="1" applyAlignment="1" applyProtection="1">
      <alignment horizontal="center" vertical="center" wrapText="1"/>
    </xf>
    <xf numFmtId="171" fontId="16" fillId="12" borderId="16" xfId="0" applyNumberFormat="1" applyFont="1" applyFill="1" applyBorder="1" applyAlignment="1" applyProtection="1">
      <alignment horizontal="center" vertical="center" wrapText="1"/>
    </xf>
    <xf numFmtId="171" fontId="16" fillId="12" borderId="63" xfId="0" applyNumberFormat="1" applyFont="1" applyFill="1" applyBorder="1" applyAlignment="1" applyProtection="1">
      <alignment horizontal="center" vertical="center" wrapText="1"/>
    </xf>
    <xf numFmtId="171" fontId="16" fillId="12" borderId="0" xfId="0" applyNumberFormat="1" applyFont="1" applyFill="1" applyBorder="1" applyAlignment="1" applyProtection="1">
      <alignment horizontal="center" vertical="center" wrapText="1"/>
    </xf>
    <xf numFmtId="171" fontId="16" fillId="12" borderId="13" xfId="0" applyNumberFormat="1" applyFont="1" applyFill="1" applyBorder="1" applyAlignment="1" applyProtection="1">
      <alignment horizontal="center" vertical="center" wrapText="1"/>
    </xf>
    <xf numFmtId="173" fontId="16" fillId="12" borderId="63" xfId="0" applyNumberFormat="1" applyFont="1" applyFill="1" applyBorder="1" applyAlignment="1" applyProtection="1">
      <alignment horizontal="center" vertical="center" wrapText="1"/>
    </xf>
    <xf numFmtId="173" fontId="16" fillId="12" borderId="13" xfId="0" applyNumberFormat="1" applyFont="1" applyFill="1" applyBorder="1" applyAlignment="1" applyProtection="1">
      <alignment horizontal="center" vertical="center" wrapText="1"/>
    </xf>
    <xf numFmtId="0" fontId="27" fillId="10" borderId="10" xfId="0" applyFont="1" applyFill="1" applyBorder="1" applyAlignment="1" applyProtection="1">
      <alignment horizontal="center" vertical="center" wrapText="1"/>
    </xf>
    <xf numFmtId="0" fontId="27" fillId="10" borderId="11" xfId="0" applyFont="1" applyFill="1" applyBorder="1" applyAlignment="1" applyProtection="1">
      <alignment horizontal="center" vertical="center" wrapText="1"/>
    </xf>
    <xf numFmtId="0" fontId="27" fillId="10" borderId="12" xfId="0" applyFont="1" applyFill="1" applyBorder="1" applyAlignment="1" applyProtection="1">
      <alignment horizontal="center" vertical="center" wrapText="1"/>
    </xf>
    <xf numFmtId="0" fontId="8" fillId="24" borderId="10" xfId="0" applyFont="1" applyFill="1" applyBorder="1" applyAlignment="1" applyProtection="1">
      <alignment horizontal="center" vertical="center" wrapText="1"/>
    </xf>
    <xf numFmtId="0" fontId="8" fillId="24" borderId="11" xfId="0" applyFont="1" applyFill="1" applyBorder="1" applyAlignment="1" applyProtection="1">
      <alignment horizontal="center" vertical="center" wrapText="1"/>
    </xf>
    <xf numFmtId="0" fontId="8" fillId="24" borderId="12" xfId="0" applyFont="1" applyFill="1" applyBorder="1" applyAlignment="1" applyProtection="1">
      <alignment horizontal="center" vertical="center" wrapText="1"/>
    </xf>
    <xf numFmtId="171" fontId="16" fillId="12" borderId="10" xfId="0" applyNumberFormat="1" applyFont="1" applyFill="1" applyBorder="1" applyAlignment="1" applyProtection="1">
      <alignment horizontal="center" vertical="center" wrapText="1"/>
    </xf>
    <xf numFmtId="171" fontId="16" fillId="12" borderId="11" xfId="0" quotePrefix="1" applyNumberFormat="1" applyFont="1" applyFill="1" applyBorder="1" applyAlignment="1" applyProtection="1">
      <alignment horizontal="center" vertical="center" wrapText="1"/>
    </xf>
    <xf numFmtId="171" fontId="16" fillId="12" borderId="12" xfId="0" quotePrefix="1" applyNumberFormat="1" applyFont="1" applyFill="1" applyBorder="1" applyAlignment="1" applyProtection="1">
      <alignment horizontal="center" vertical="center" wrapText="1"/>
    </xf>
    <xf numFmtId="170" fontId="8" fillId="3" borderId="10" xfId="0" applyNumberFormat="1" applyFont="1" applyFill="1" applyBorder="1" applyAlignment="1" applyProtection="1">
      <alignment horizontal="center" vertical="center" wrapText="1"/>
    </xf>
    <xf numFmtId="170" fontId="8" fillId="3" borderId="12" xfId="0" applyNumberFormat="1" applyFont="1" applyFill="1" applyBorder="1" applyAlignment="1" applyProtection="1">
      <alignment horizontal="center" vertical="center" wrapText="1"/>
    </xf>
    <xf numFmtId="171" fontId="16" fillId="12" borderId="11" xfId="0" applyNumberFormat="1" applyFont="1" applyFill="1" applyBorder="1" applyAlignment="1" applyProtection="1">
      <alignment horizontal="center" vertical="center" wrapText="1"/>
    </xf>
    <xf numFmtId="171" fontId="16" fillId="12" borderId="12" xfId="0" applyNumberFormat="1" applyFont="1" applyFill="1" applyBorder="1" applyAlignment="1" applyProtection="1">
      <alignment horizontal="center" vertical="center" wrapText="1"/>
    </xf>
    <xf numFmtId="173" fontId="15" fillId="12" borderId="10" xfId="0" applyNumberFormat="1" applyFont="1" applyFill="1" applyBorder="1" applyAlignment="1" applyProtection="1">
      <alignment horizontal="center" vertical="center" wrapText="1"/>
    </xf>
    <xf numFmtId="173" fontId="15" fillId="12" borderId="12" xfId="0" applyNumberFormat="1" applyFont="1" applyFill="1" applyBorder="1" applyAlignment="1" applyProtection="1">
      <alignment horizontal="center" vertical="center" wrapText="1"/>
    </xf>
    <xf numFmtId="172" fontId="16" fillId="12" borderId="31" xfId="0" applyNumberFormat="1" applyFont="1" applyFill="1" applyBorder="1" applyAlignment="1" applyProtection="1">
      <alignment horizontal="center" vertical="center" wrapText="1"/>
    </xf>
    <xf numFmtId="172" fontId="16" fillId="12" borderId="62" xfId="0" applyNumberFormat="1" applyFont="1" applyFill="1" applyBorder="1" applyAlignment="1" applyProtection="1">
      <alignment horizontal="center" vertical="center" wrapText="1"/>
    </xf>
    <xf numFmtId="172" fontId="16" fillId="12" borderId="100" xfId="0" applyNumberFormat="1" applyFont="1" applyFill="1" applyBorder="1" applyAlignment="1" applyProtection="1">
      <alignment horizontal="center" vertical="center" wrapText="1"/>
    </xf>
    <xf numFmtId="174" fontId="16" fillId="12" borderId="72" xfId="0" applyNumberFormat="1" applyFont="1" applyFill="1" applyBorder="1" applyAlignment="1" applyProtection="1">
      <alignment horizontal="center" vertical="center" wrapText="1"/>
    </xf>
    <xf numFmtId="174" fontId="16" fillId="12" borderId="80" xfId="0" applyNumberFormat="1" applyFont="1" applyFill="1" applyBorder="1" applyAlignment="1" applyProtection="1">
      <alignment horizontal="center" vertical="center" wrapText="1"/>
    </xf>
    <xf numFmtId="174" fontId="16" fillId="12" borderId="49" xfId="0" applyNumberFormat="1" applyFont="1" applyFill="1" applyBorder="1" applyAlignment="1" applyProtection="1">
      <alignment horizontal="center" vertical="center" wrapText="1"/>
    </xf>
    <xf numFmtId="0" fontId="3" fillId="4" borderId="10"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wrapText="1"/>
    </xf>
    <xf numFmtId="0" fontId="12" fillId="13" borderId="23" xfId="0" applyNumberFormat="1" applyFont="1" applyFill="1" applyBorder="1" applyAlignment="1" applyProtection="1">
      <alignment horizontal="center" vertical="center" wrapText="1"/>
    </xf>
    <xf numFmtId="0" fontId="12" fillId="13" borderId="24" xfId="0" applyNumberFormat="1" applyFont="1" applyFill="1" applyBorder="1" applyAlignment="1" applyProtection="1">
      <alignment horizontal="center" vertical="center" wrapText="1"/>
    </xf>
    <xf numFmtId="0" fontId="3" fillId="4" borderId="98" xfId="0" applyNumberFormat="1" applyFont="1" applyFill="1" applyBorder="1" applyAlignment="1" applyProtection="1">
      <alignment horizontal="center" vertical="center" wrapText="1"/>
    </xf>
    <xf numFmtId="0" fontId="3" fillId="4" borderId="99" xfId="0" applyNumberFormat="1" applyFont="1" applyFill="1" applyBorder="1" applyAlignment="1" applyProtection="1">
      <alignment horizontal="center" vertical="center" wrapText="1"/>
    </xf>
    <xf numFmtId="0" fontId="30" fillId="23" borderId="22" xfId="0" applyFont="1" applyFill="1" applyBorder="1" applyAlignment="1" applyProtection="1">
      <alignment horizontal="right" vertical="center" wrapText="1"/>
    </xf>
    <xf numFmtId="0" fontId="30" fillId="23" borderId="23" xfId="0" applyFont="1" applyFill="1" applyBorder="1" applyAlignment="1" applyProtection="1">
      <alignment horizontal="right" vertical="center" wrapText="1"/>
    </xf>
    <xf numFmtId="0" fontId="6" fillId="23" borderId="23" xfId="0" applyFont="1" applyFill="1" applyBorder="1" applyAlignment="1" applyProtection="1">
      <alignment horizontal="left" vertical="center" wrapText="1"/>
    </xf>
    <xf numFmtId="0" fontId="6" fillId="23" borderId="24" xfId="0" applyFont="1" applyFill="1" applyBorder="1" applyAlignment="1" applyProtection="1">
      <alignment horizontal="left" vertical="center" wrapText="1"/>
    </xf>
    <xf numFmtId="0" fontId="3" fillId="4" borderId="22" xfId="0" applyNumberFormat="1" applyFont="1" applyFill="1" applyBorder="1" applyAlignment="1" applyProtection="1">
      <alignment horizontal="center" vertical="center" wrapText="1"/>
    </xf>
    <xf numFmtId="0" fontId="3" fillId="4" borderId="24" xfId="0" applyNumberFormat="1" applyFont="1" applyFill="1" applyBorder="1" applyAlignment="1" applyProtection="1">
      <alignment horizontal="center" vertical="center" wrapText="1"/>
    </xf>
    <xf numFmtId="3" fontId="6" fillId="10" borderId="31" xfId="0" applyNumberFormat="1" applyFont="1" applyFill="1" applyBorder="1" applyAlignment="1" applyProtection="1">
      <alignment horizontal="center" vertical="center" wrapText="1"/>
    </xf>
    <xf numFmtId="3" fontId="6" fillId="10" borderId="100" xfId="0" applyNumberFormat="1" applyFont="1" applyFill="1" applyBorder="1" applyAlignment="1" applyProtection="1">
      <alignment horizontal="center" vertical="center" wrapText="1"/>
    </xf>
    <xf numFmtId="3" fontId="4" fillId="15" borderId="103" xfId="0" applyNumberFormat="1" applyFont="1" applyFill="1" applyBorder="1" applyAlignment="1" applyProtection="1">
      <alignment horizontal="center" vertical="center" wrapText="1"/>
      <protection locked="0"/>
    </xf>
    <xf numFmtId="3" fontId="4" fillId="15" borderId="96" xfId="0" applyNumberFormat="1" applyFont="1" applyFill="1" applyBorder="1" applyAlignment="1" applyProtection="1">
      <alignment horizontal="center" vertical="center" wrapText="1"/>
      <protection locked="0"/>
    </xf>
    <xf numFmtId="3" fontId="6" fillId="10" borderId="137" xfId="0" applyNumberFormat="1" applyFont="1" applyFill="1" applyBorder="1" applyAlignment="1" applyProtection="1">
      <alignment horizontal="center" vertical="center" wrapText="1"/>
    </xf>
    <xf numFmtId="3" fontId="6" fillId="10" borderId="140" xfId="0" applyNumberFormat="1" applyFont="1" applyFill="1" applyBorder="1" applyAlignment="1" applyProtection="1">
      <alignment horizontal="center" vertical="center" wrapText="1"/>
    </xf>
    <xf numFmtId="3" fontId="4" fillId="15" borderId="104" xfId="0" applyNumberFormat="1" applyFont="1" applyFill="1" applyBorder="1" applyAlignment="1" applyProtection="1">
      <alignment horizontal="center" vertical="center" wrapText="1"/>
      <protection locked="0"/>
    </xf>
    <xf numFmtId="3" fontId="4" fillId="15" borderId="105" xfId="0" applyNumberFormat="1" applyFont="1" applyFill="1" applyBorder="1" applyAlignment="1" applyProtection="1">
      <alignment horizontal="center" vertical="center" wrapText="1"/>
      <protection locked="0"/>
    </xf>
    <xf numFmtId="3" fontId="6" fillId="24" borderId="104" xfId="0" applyNumberFormat="1" applyFont="1" applyFill="1" applyBorder="1" applyAlignment="1" applyProtection="1">
      <alignment horizontal="center" vertical="center" wrapText="1"/>
    </xf>
    <xf numFmtId="3" fontId="6" fillId="24" borderId="138" xfId="0" applyNumberFormat="1" applyFont="1" applyFill="1" applyBorder="1" applyAlignment="1" applyProtection="1">
      <alignment horizontal="center" vertical="center" wrapText="1"/>
    </xf>
    <xf numFmtId="3" fontId="4" fillId="15" borderId="135" xfId="0" applyNumberFormat="1" applyFont="1" applyFill="1" applyBorder="1" applyAlignment="1" applyProtection="1">
      <alignment horizontal="center" vertical="center" wrapText="1"/>
      <protection locked="0"/>
    </xf>
    <xf numFmtId="3" fontId="4" fillId="15" borderId="136" xfId="0" applyNumberFormat="1" applyFont="1" applyFill="1" applyBorder="1" applyAlignment="1" applyProtection="1">
      <alignment horizontal="center" vertical="center" wrapText="1"/>
      <protection locked="0"/>
    </xf>
    <xf numFmtId="0" fontId="3" fillId="4" borderId="17" xfId="0" applyFont="1" applyFill="1" applyBorder="1" applyAlignment="1" applyProtection="1">
      <alignment horizontal="right" vertical="center" wrapText="1"/>
    </xf>
    <xf numFmtId="0" fontId="3" fillId="4" borderId="26" xfId="0" applyFont="1" applyFill="1" applyBorder="1" applyAlignment="1" applyProtection="1">
      <alignment horizontal="right" vertical="center" wrapText="1"/>
    </xf>
    <xf numFmtId="0" fontId="3" fillId="4" borderId="31" xfId="0" applyFont="1" applyFill="1" applyBorder="1" applyAlignment="1" applyProtection="1">
      <alignment horizontal="right" vertical="center" wrapText="1"/>
    </xf>
    <xf numFmtId="0" fontId="3" fillId="4" borderId="100" xfId="0" applyFont="1" applyFill="1" applyBorder="1" applyAlignment="1" applyProtection="1">
      <alignment horizontal="right" vertical="center" wrapText="1"/>
    </xf>
    <xf numFmtId="3" fontId="7" fillId="3" borderId="121" xfId="0" applyNumberFormat="1" applyFont="1" applyFill="1" applyBorder="1" applyAlignment="1" applyProtection="1">
      <alignment horizontal="center" vertical="center" wrapText="1"/>
    </xf>
    <xf numFmtId="3" fontId="7" fillId="3" borderId="139" xfId="0" applyNumberFormat="1" applyFont="1" applyFill="1" applyBorder="1" applyAlignment="1" applyProtection="1">
      <alignment horizontal="center" vertical="center" wrapText="1"/>
    </xf>
    <xf numFmtId="0" fontId="3" fillId="4" borderId="27" xfId="0" applyFont="1" applyFill="1" applyBorder="1" applyAlignment="1" applyProtection="1">
      <alignment horizontal="right" vertical="center" wrapText="1"/>
    </xf>
    <xf numFmtId="0" fontId="30" fillId="17" borderId="22" xfId="0" applyFont="1" applyFill="1" applyBorder="1" applyAlignment="1" applyProtection="1">
      <alignment horizontal="right" vertical="center" wrapText="1"/>
    </xf>
    <xf numFmtId="0" fontId="30" fillId="17" borderId="23" xfId="0" applyFont="1" applyFill="1" applyBorder="1" applyAlignment="1" applyProtection="1">
      <alignment horizontal="right" vertical="center" wrapText="1"/>
    </xf>
    <xf numFmtId="3" fontId="6" fillId="24" borderId="17" xfId="0" applyNumberFormat="1" applyFont="1" applyFill="1" applyBorder="1" applyAlignment="1" applyProtection="1">
      <alignment horizontal="center" vertical="center" wrapText="1"/>
    </xf>
    <xf numFmtId="3" fontId="6" fillId="24" borderId="26" xfId="0" applyNumberFormat="1" applyFont="1" applyFill="1" applyBorder="1" applyAlignment="1" applyProtection="1">
      <alignment horizontal="center" vertical="center" wrapText="1"/>
    </xf>
    <xf numFmtId="3" fontId="7" fillId="3" borderId="72" xfId="0" applyNumberFormat="1" applyFont="1" applyFill="1" applyBorder="1" applyAlignment="1" applyProtection="1">
      <alignment horizontal="center" vertical="center" wrapText="1"/>
    </xf>
    <xf numFmtId="3" fontId="7" fillId="3" borderId="81" xfId="0" applyNumberFormat="1" applyFont="1" applyFill="1" applyBorder="1" applyAlignment="1" applyProtection="1">
      <alignment horizontal="center" vertical="center" wrapText="1"/>
    </xf>
    <xf numFmtId="0" fontId="6" fillId="17" borderId="23" xfId="0" applyFont="1" applyFill="1" applyBorder="1" applyAlignment="1" applyProtection="1">
      <alignment horizontal="left" vertical="center" wrapText="1"/>
    </xf>
    <xf numFmtId="0" fontId="6" fillId="17" borderId="24" xfId="0" applyFont="1" applyFill="1" applyBorder="1" applyAlignment="1" applyProtection="1">
      <alignment horizontal="left" vertical="center" wrapText="1"/>
    </xf>
    <xf numFmtId="0" fontId="2" fillId="4" borderId="16" xfId="0" applyFont="1" applyFill="1" applyBorder="1" applyAlignment="1" applyProtection="1">
      <alignment horizontal="center" vertical="center" wrapText="1"/>
    </xf>
    <xf numFmtId="0" fontId="28" fillId="17" borderId="10" xfId="0" applyFont="1" applyFill="1" applyBorder="1" applyAlignment="1" applyProtection="1">
      <alignment horizontal="right" vertical="center" wrapText="1"/>
    </xf>
    <xf numFmtId="0" fontId="28" fillId="17" borderId="14" xfId="0" applyFont="1" applyFill="1" applyBorder="1" applyAlignment="1" applyProtection="1">
      <alignment horizontal="right" vertical="center" wrapText="1"/>
    </xf>
    <xf numFmtId="0" fontId="29" fillId="17" borderId="11" xfId="0" applyFont="1" applyFill="1" applyBorder="1" applyAlignment="1" applyProtection="1">
      <alignment horizontal="left" vertical="center" wrapText="1"/>
    </xf>
    <xf numFmtId="0" fontId="29" fillId="17" borderId="12" xfId="0" applyFont="1" applyFill="1" applyBorder="1" applyAlignment="1" applyProtection="1">
      <alignment horizontal="left" vertical="center" wrapText="1"/>
    </xf>
    <xf numFmtId="0" fontId="29" fillId="17" borderId="15" xfId="0" applyFont="1" applyFill="1" applyBorder="1" applyAlignment="1" applyProtection="1">
      <alignment horizontal="left" vertical="center" wrapText="1"/>
    </xf>
    <xf numFmtId="0" fontId="29" fillId="17" borderId="16" xfId="0" applyFont="1" applyFill="1" applyBorder="1" applyAlignment="1" applyProtection="1">
      <alignment horizontal="left" vertical="center" wrapText="1"/>
    </xf>
    <xf numFmtId="0" fontId="28" fillId="19" borderId="10" xfId="0" applyFont="1" applyFill="1" applyBorder="1" applyAlignment="1" applyProtection="1">
      <alignment horizontal="right" vertical="center" wrapText="1"/>
    </xf>
    <xf numFmtId="0" fontId="28" fillId="19" borderId="14" xfId="0" applyFont="1" applyFill="1" applyBorder="1" applyAlignment="1" applyProtection="1">
      <alignment horizontal="right" vertical="center" wrapText="1"/>
    </xf>
    <xf numFmtId="0" fontId="29" fillId="19" borderId="11" xfId="0" applyFont="1" applyFill="1" applyBorder="1" applyAlignment="1" applyProtection="1">
      <alignment horizontal="left" vertical="center" wrapText="1"/>
    </xf>
    <xf numFmtId="0" fontId="29" fillId="19" borderId="12" xfId="0" applyFont="1" applyFill="1" applyBorder="1" applyAlignment="1" applyProtection="1">
      <alignment horizontal="left" vertical="center" wrapText="1"/>
    </xf>
    <xf numFmtId="0" fontId="29" fillId="19" borderId="15" xfId="0" applyFont="1" applyFill="1" applyBorder="1" applyAlignment="1" applyProtection="1">
      <alignment horizontal="left" vertical="center" wrapText="1"/>
    </xf>
    <xf numFmtId="0" fontId="29" fillId="19" borderId="16" xfId="0" applyFont="1" applyFill="1" applyBorder="1" applyAlignment="1" applyProtection="1">
      <alignment horizontal="left" vertical="center" wrapText="1"/>
    </xf>
    <xf numFmtId="0" fontId="3" fillId="4" borderId="63" xfId="0" applyFont="1" applyFill="1" applyBorder="1" applyAlignment="1" applyProtection="1">
      <alignment horizontal="center" vertical="center" wrapText="1"/>
    </xf>
    <xf numFmtId="0" fontId="3" fillId="4" borderId="13" xfId="0" applyFont="1" applyFill="1" applyBorder="1" applyAlignment="1" applyProtection="1">
      <alignment horizontal="center" vertical="center" wrapText="1"/>
    </xf>
    <xf numFmtId="0" fontId="4" fillId="13" borderId="148" xfId="0" applyFont="1" applyFill="1" applyBorder="1" applyAlignment="1" applyProtection="1">
      <alignment horizontal="center" vertical="center" wrapText="1"/>
    </xf>
    <xf numFmtId="0" fontId="4" fillId="13" borderId="16" xfId="0" applyFont="1" applyFill="1" applyBorder="1" applyAlignment="1" applyProtection="1">
      <alignment horizontal="center" vertical="center" wrapText="1"/>
    </xf>
    <xf numFmtId="0" fontId="3" fillId="4" borderId="122" xfId="0" applyFont="1" applyFill="1" applyBorder="1" applyAlignment="1" applyProtection="1">
      <alignment horizontal="center" vertical="center" wrapText="1"/>
    </xf>
    <xf numFmtId="0" fontId="0" fillId="15" borderId="102" xfId="0" applyNumberFormat="1" applyFill="1" applyBorder="1" applyAlignment="1" applyProtection="1">
      <alignment horizontal="center" vertical="center" wrapText="1"/>
      <protection locked="0"/>
    </xf>
    <xf numFmtId="0" fontId="3" fillId="4" borderId="22" xfId="0" applyFont="1" applyFill="1" applyBorder="1" applyAlignment="1" applyProtection="1">
      <alignment horizontal="right" vertical="center" wrapText="1"/>
    </xf>
    <xf numFmtId="0" fontId="3" fillId="4" borderId="24" xfId="0" applyFont="1" applyFill="1" applyBorder="1" applyAlignment="1" applyProtection="1">
      <alignment horizontal="right" vertical="center" wrapText="1"/>
    </xf>
    <xf numFmtId="0" fontId="3" fillId="4" borderId="72" xfId="0" applyFont="1" applyFill="1" applyBorder="1" applyAlignment="1" applyProtection="1">
      <alignment horizontal="right" vertical="center" wrapText="1"/>
    </xf>
    <xf numFmtId="0" fontId="3" fillId="4" borderId="81" xfId="0" applyFont="1" applyFill="1" applyBorder="1" applyAlignment="1" applyProtection="1">
      <alignment horizontal="right" vertical="center" wrapText="1"/>
    </xf>
    <xf numFmtId="0" fontId="3" fillId="4" borderId="0" xfId="0" applyFont="1" applyFill="1" applyBorder="1" applyAlignment="1" applyProtection="1">
      <alignment horizontal="center" vertical="center" wrapText="1"/>
    </xf>
    <xf numFmtId="0" fontId="4" fillId="13" borderId="14" xfId="0" applyFont="1" applyFill="1" applyBorder="1" applyAlignment="1" applyProtection="1">
      <alignment horizontal="center" vertical="center" wrapText="1"/>
    </xf>
    <xf numFmtId="0" fontId="4" fillId="13" borderId="15" xfId="0" applyFont="1" applyFill="1" applyBorder="1" applyAlignment="1" applyProtection="1">
      <alignment horizontal="center" vertical="center" wrapText="1"/>
    </xf>
    <xf numFmtId="0" fontId="3" fillId="4" borderId="28" xfId="0" applyFont="1" applyFill="1" applyBorder="1" applyAlignment="1" applyProtection="1">
      <alignment horizontal="right" vertical="center" wrapText="1"/>
    </xf>
    <xf numFmtId="0" fontId="3" fillId="4" borderId="58" xfId="0" applyFont="1" applyFill="1" applyBorder="1" applyAlignment="1" applyProtection="1">
      <alignment horizontal="right" vertical="center" wrapText="1"/>
    </xf>
    <xf numFmtId="0" fontId="13" fillId="13" borderId="19" xfId="0" applyFont="1" applyFill="1" applyBorder="1" applyAlignment="1" applyProtection="1">
      <alignment horizontal="center" vertical="center" wrapText="1"/>
    </xf>
    <xf numFmtId="0" fontId="13" fillId="13" borderId="57" xfId="0" applyFont="1" applyFill="1" applyBorder="1" applyAlignment="1" applyProtection="1">
      <alignment horizontal="center" vertical="center" wrapText="1"/>
    </xf>
    <xf numFmtId="0" fontId="29" fillId="17" borderId="10" xfId="0" applyFont="1" applyFill="1" applyBorder="1" applyAlignment="1" applyProtection="1">
      <alignment horizontal="center" vertical="center" wrapText="1"/>
    </xf>
    <xf numFmtId="0" fontId="29" fillId="17" borderId="11" xfId="0" applyFont="1" applyFill="1" applyBorder="1" applyAlignment="1" applyProtection="1">
      <alignment horizontal="center" vertical="center" wrapText="1"/>
    </xf>
    <xf numFmtId="0" fontId="29" fillId="17" borderId="12" xfId="0" applyFont="1" applyFill="1" applyBorder="1" applyAlignment="1" applyProtection="1">
      <alignment horizontal="center" vertical="center" wrapText="1"/>
    </xf>
    <xf numFmtId="0" fontId="29" fillId="17" borderId="14" xfId="0" applyFont="1" applyFill="1" applyBorder="1" applyAlignment="1" applyProtection="1">
      <alignment horizontal="center" vertical="center" wrapText="1"/>
    </xf>
    <xf numFmtId="0" fontId="29" fillId="17" borderId="15" xfId="0" applyFont="1" applyFill="1" applyBorder="1" applyAlignment="1" applyProtection="1">
      <alignment horizontal="center" vertical="center" wrapText="1"/>
    </xf>
    <xf numFmtId="0" fontId="29" fillId="17" borderId="16" xfId="0" applyFont="1" applyFill="1" applyBorder="1" applyAlignment="1" applyProtection="1">
      <alignment horizontal="center" vertical="center" wrapText="1"/>
    </xf>
    <xf numFmtId="0" fontId="29" fillId="19" borderId="10" xfId="0" applyFont="1" applyFill="1" applyBorder="1" applyAlignment="1" applyProtection="1">
      <alignment horizontal="center" vertical="center" wrapText="1"/>
    </xf>
    <xf numFmtId="0" fontId="29" fillId="19" borderId="11" xfId="0" applyFont="1" applyFill="1" applyBorder="1" applyAlignment="1" applyProtection="1">
      <alignment horizontal="center" vertical="center" wrapText="1"/>
    </xf>
    <xf numFmtId="0" fontId="29" fillId="19" borderId="12" xfId="0" applyFont="1" applyFill="1" applyBorder="1" applyAlignment="1" applyProtection="1">
      <alignment horizontal="center" vertical="center" wrapText="1"/>
    </xf>
    <xf numFmtId="0" fontId="29" fillId="19" borderId="14" xfId="0" applyFont="1" applyFill="1" applyBorder="1" applyAlignment="1" applyProtection="1">
      <alignment horizontal="center" vertical="center" wrapText="1"/>
    </xf>
    <xf numFmtId="0" fontId="29" fillId="19" borderId="15" xfId="0" applyFont="1" applyFill="1" applyBorder="1" applyAlignment="1" applyProtection="1">
      <alignment horizontal="center" vertical="center" wrapText="1"/>
    </xf>
    <xf numFmtId="0" fontId="29" fillId="19" borderId="16" xfId="0" applyFont="1" applyFill="1" applyBorder="1" applyAlignment="1" applyProtection="1">
      <alignment horizontal="center" vertical="center" wrapText="1"/>
    </xf>
    <xf numFmtId="0" fontId="29" fillId="22" borderId="10" xfId="0" applyFont="1" applyFill="1" applyBorder="1" applyAlignment="1" applyProtection="1">
      <alignment horizontal="center" vertical="center" wrapText="1"/>
    </xf>
    <xf numFmtId="0" fontId="29" fillId="22" borderId="11" xfId="0" applyFont="1" applyFill="1" applyBorder="1" applyAlignment="1" applyProtection="1">
      <alignment horizontal="center" vertical="center" wrapText="1"/>
    </xf>
    <xf numFmtId="0" fontId="29" fillId="22" borderId="12" xfId="0" applyFont="1" applyFill="1" applyBorder="1" applyAlignment="1" applyProtection="1">
      <alignment horizontal="center" vertical="center" wrapText="1"/>
    </xf>
    <xf numFmtId="0" fontId="29" fillId="22" borderId="14" xfId="0" applyFont="1" applyFill="1" applyBorder="1" applyAlignment="1" applyProtection="1">
      <alignment horizontal="center" vertical="center" wrapText="1"/>
    </xf>
    <xf numFmtId="0" fontId="29" fillId="22" borderId="15" xfId="0" applyFont="1" applyFill="1" applyBorder="1" applyAlignment="1" applyProtection="1">
      <alignment horizontal="center" vertical="center" wrapText="1"/>
    </xf>
    <xf numFmtId="0" fontId="29" fillId="22" borderId="16" xfId="0" applyFont="1" applyFill="1" applyBorder="1" applyAlignment="1" applyProtection="1">
      <alignment horizontal="center" vertical="center" wrapText="1"/>
    </xf>
    <xf numFmtId="0" fontId="29" fillId="23" borderId="10" xfId="0" applyFont="1" applyFill="1" applyBorder="1" applyAlignment="1" applyProtection="1">
      <alignment horizontal="center" vertical="center" wrapText="1"/>
    </xf>
    <xf numFmtId="0" fontId="29" fillId="23" borderId="11" xfId="0" applyFont="1" applyFill="1" applyBorder="1" applyAlignment="1" applyProtection="1">
      <alignment horizontal="center" vertical="center" wrapText="1"/>
    </xf>
    <xf numFmtId="0" fontId="29" fillId="23" borderId="12" xfId="0" applyFont="1" applyFill="1" applyBorder="1" applyAlignment="1" applyProtection="1">
      <alignment horizontal="center" vertical="center" wrapText="1"/>
    </xf>
    <xf numFmtId="0" fontId="29" fillId="23" borderId="14" xfId="0" applyFont="1" applyFill="1" applyBorder="1" applyAlignment="1" applyProtection="1">
      <alignment horizontal="center" vertical="center" wrapText="1"/>
    </xf>
    <xf numFmtId="0" fontId="29" fillId="23" borderId="15" xfId="0" applyFont="1" applyFill="1" applyBorder="1" applyAlignment="1" applyProtection="1">
      <alignment horizontal="center" vertical="center" wrapText="1"/>
    </xf>
    <xf numFmtId="0" fontId="29" fillId="23" borderId="16" xfId="0" applyFont="1" applyFill="1" applyBorder="1" applyAlignment="1" applyProtection="1">
      <alignment horizontal="center" vertical="center" wrapText="1"/>
    </xf>
    <xf numFmtId="0" fontId="3" fillId="4" borderId="126" xfId="0" quotePrefix="1" applyFont="1" applyFill="1" applyBorder="1" applyAlignment="1" applyProtection="1">
      <alignment horizontal="center" vertical="center" wrapText="1"/>
    </xf>
    <xf numFmtId="0" fontId="3" fillId="4" borderId="127" xfId="0" quotePrefix="1" applyFont="1" applyFill="1" applyBorder="1" applyAlignment="1" applyProtection="1">
      <alignment horizontal="center" vertical="center" wrapText="1"/>
    </xf>
    <xf numFmtId="0" fontId="26" fillId="4" borderId="118" xfId="0" applyFont="1" applyFill="1" applyBorder="1" applyAlignment="1" applyProtection="1">
      <alignment horizontal="center" vertical="center" wrapText="1"/>
    </xf>
    <xf numFmtId="0" fontId="26" fillId="4" borderId="119" xfId="0" applyFont="1" applyFill="1" applyBorder="1" applyAlignment="1" applyProtection="1">
      <alignment horizontal="center" vertical="center" wrapText="1"/>
    </xf>
    <xf numFmtId="0" fontId="26" fillId="4" borderId="120" xfId="0" applyFont="1" applyFill="1" applyBorder="1" applyAlignment="1" applyProtection="1">
      <alignment horizontal="center" vertical="center" wrapText="1"/>
    </xf>
    <xf numFmtId="0" fontId="3" fillId="4" borderId="118" xfId="0" applyFont="1" applyFill="1" applyBorder="1" applyAlignment="1" applyProtection="1">
      <alignment horizontal="center" vertical="center" wrapText="1"/>
    </xf>
    <xf numFmtId="0" fontId="3" fillId="4" borderId="120" xfId="0" applyFont="1" applyFill="1" applyBorder="1" applyAlignment="1" applyProtection="1">
      <alignment horizontal="center" vertical="center" wrapText="1"/>
    </xf>
    <xf numFmtId="0" fontId="26" fillId="4" borderId="166" xfId="0" applyFont="1" applyFill="1" applyBorder="1" applyAlignment="1" applyProtection="1">
      <alignment horizontal="center" vertical="center" wrapText="1"/>
    </xf>
    <xf numFmtId="0" fontId="26" fillId="4" borderId="144" xfId="0" applyFont="1" applyFill="1" applyBorder="1" applyAlignment="1" applyProtection="1">
      <alignment horizontal="center" vertical="center" wrapText="1"/>
    </xf>
    <xf numFmtId="0" fontId="26" fillId="4" borderId="145" xfId="0" applyFont="1" applyFill="1" applyBorder="1" applyAlignment="1" applyProtection="1">
      <alignment horizontal="center" vertical="center" wrapText="1"/>
    </xf>
    <xf numFmtId="0" fontId="26" fillId="4" borderId="146" xfId="0" applyFont="1" applyFill="1" applyBorder="1" applyAlignment="1" applyProtection="1">
      <alignment horizontal="center" vertical="center" wrapText="1"/>
    </xf>
    <xf numFmtId="0" fontId="6" fillId="9" borderId="10" xfId="0" applyFont="1" applyFill="1" applyBorder="1" applyAlignment="1" applyProtection="1">
      <alignment horizontal="left" vertical="center" wrapText="1"/>
    </xf>
    <xf numFmtId="0" fontId="6" fillId="9" borderId="12" xfId="0" applyFont="1" applyFill="1" applyBorder="1" applyAlignment="1" applyProtection="1">
      <alignment horizontal="left" vertical="center" wrapText="1"/>
    </xf>
    <xf numFmtId="0" fontId="6" fillId="9" borderId="63" xfId="0" applyFont="1" applyFill="1" applyBorder="1" applyAlignment="1" applyProtection="1">
      <alignment horizontal="left" vertical="center" wrapText="1"/>
    </xf>
    <xf numFmtId="0" fontId="6" fillId="9" borderId="13" xfId="0" applyFont="1" applyFill="1" applyBorder="1" applyAlignment="1" applyProtection="1">
      <alignment horizontal="left" vertical="center" wrapText="1"/>
    </xf>
    <xf numFmtId="0" fontId="28" fillId="19" borderId="63" xfId="0" applyFont="1" applyFill="1" applyBorder="1" applyAlignment="1" applyProtection="1">
      <alignment horizontal="right" vertical="center" wrapText="1"/>
    </xf>
    <xf numFmtId="0" fontId="29" fillId="19" borderId="13" xfId="0" applyFont="1" applyFill="1" applyBorder="1" applyAlignment="1" applyProtection="1">
      <alignment horizontal="left" vertical="center" wrapText="1"/>
    </xf>
    <xf numFmtId="0" fontId="28" fillId="17" borderId="63" xfId="0" applyFont="1" applyFill="1" applyBorder="1" applyAlignment="1" applyProtection="1">
      <alignment horizontal="right" vertical="center" wrapText="1"/>
    </xf>
    <xf numFmtId="0" fontId="29" fillId="17" borderId="13" xfId="0" applyFont="1" applyFill="1" applyBorder="1" applyAlignment="1" applyProtection="1">
      <alignment horizontal="left" vertical="center" wrapText="1"/>
    </xf>
    <xf numFmtId="0" fontId="28" fillId="26" borderId="10" xfId="0" applyFont="1" applyFill="1" applyBorder="1" applyAlignment="1" applyProtection="1">
      <alignment horizontal="right" vertical="center" wrapText="1"/>
    </xf>
    <xf numFmtId="0" fontId="28" fillId="26" borderId="63" xfId="0" applyFont="1" applyFill="1" applyBorder="1" applyAlignment="1" applyProtection="1">
      <alignment horizontal="right" vertical="center" wrapText="1"/>
    </xf>
    <xf numFmtId="0" fontId="28" fillId="26" borderId="14" xfId="0" applyFont="1" applyFill="1" applyBorder="1" applyAlignment="1" applyProtection="1">
      <alignment horizontal="right" vertical="center" wrapText="1"/>
    </xf>
    <xf numFmtId="0" fontId="29" fillId="26" borderId="12" xfId="0" applyFont="1" applyFill="1" applyBorder="1" applyAlignment="1" applyProtection="1">
      <alignment horizontal="left" vertical="center" wrapText="1"/>
    </xf>
    <xf numFmtId="0" fontId="29" fillId="26" borderId="13" xfId="0" applyFont="1" applyFill="1" applyBorder="1" applyAlignment="1" applyProtection="1">
      <alignment horizontal="left" vertical="center" wrapText="1"/>
    </xf>
    <xf numFmtId="0" fontId="29" fillId="26" borderId="16" xfId="0" applyFont="1" applyFill="1" applyBorder="1" applyAlignment="1" applyProtection="1">
      <alignment horizontal="left" vertical="center" wrapText="1"/>
    </xf>
    <xf numFmtId="0" fontId="2" fillId="4" borderId="22"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8" fillId="4" borderId="63" xfId="0" applyFont="1" applyFill="1" applyBorder="1" applyAlignment="1">
      <alignment horizontal="center" vertical="center" wrapText="1"/>
    </xf>
    <xf numFmtId="0" fontId="8" fillId="4" borderId="0" xfId="0" applyFont="1" applyFill="1"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3" xfId="0" applyBorder="1" applyAlignment="1">
      <alignment wrapText="1"/>
    </xf>
    <xf numFmtId="0" fontId="0" fillId="0" borderId="24" xfId="0" applyBorder="1" applyAlignment="1">
      <alignment wrapText="1"/>
    </xf>
    <xf numFmtId="0" fontId="3" fillId="4" borderId="22"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54"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4" borderId="63"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12" fillId="10" borderId="22" xfId="0" applyFont="1" applyFill="1" applyBorder="1" applyAlignment="1">
      <alignment horizontal="center" vertical="center" wrapText="1"/>
    </xf>
    <xf numFmtId="0" fontId="12" fillId="10" borderId="23" xfId="0" applyFont="1" applyFill="1" applyBorder="1" applyAlignment="1">
      <alignment horizontal="center" vertical="center" wrapText="1"/>
    </xf>
    <xf numFmtId="0" fontId="12" fillId="10" borderId="24" xfId="0" applyFont="1" applyFill="1" applyBorder="1" applyAlignment="1">
      <alignment horizontal="center" vertical="center" wrapText="1"/>
    </xf>
    <xf numFmtId="0" fontId="12" fillId="24" borderId="22" xfId="0" applyFont="1" applyFill="1" applyBorder="1" applyAlignment="1">
      <alignment horizontal="center" vertical="center" wrapText="1"/>
    </xf>
    <xf numFmtId="0" fontId="12" fillId="24" borderId="23" xfId="0" applyFont="1" applyFill="1" applyBorder="1" applyAlignment="1">
      <alignment horizontal="center" vertical="center" wrapText="1"/>
    </xf>
    <xf numFmtId="0" fontId="12" fillId="24" borderId="24"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2" fillId="3" borderId="24"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3" fillId="4" borderId="22" xfId="0" applyFont="1" applyFill="1" applyBorder="1" applyAlignment="1">
      <alignment horizontal="center" vertical="center"/>
    </xf>
    <xf numFmtId="0" fontId="3" fillId="4" borderId="24" xfId="0" applyFont="1" applyFill="1" applyBorder="1" applyAlignment="1">
      <alignment horizontal="center" vertical="center"/>
    </xf>
    <xf numFmtId="0" fontId="0" fillId="0" borderId="23" xfId="0" applyBorder="1" applyAlignment="1">
      <alignment vertical="center" wrapText="1"/>
    </xf>
    <xf numFmtId="0" fontId="0" fillId="0" borderId="24" xfId="0" applyBorder="1" applyAlignment="1">
      <alignment vertical="center" wrapText="1"/>
    </xf>
    <xf numFmtId="0" fontId="31" fillId="4" borderId="22" xfId="0" applyFont="1" applyFill="1" applyBorder="1" applyAlignment="1">
      <alignment horizontal="center" vertical="center" wrapText="1"/>
    </xf>
    <xf numFmtId="0" fontId="31" fillId="4" borderId="2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2" fontId="6" fillId="12" borderId="14" xfId="0" applyNumberFormat="1" applyFont="1" applyFill="1" applyBorder="1" applyAlignment="1">
      <alignment horizontal="center" vertical="center" wrapText="1"/>
    </xf>
    <xf numFmtId="2" fontId="6" fillId="12" borderId="16" xfId="0" applyNumberFormat="1" applyFont="1" applyFill="1" applyBorder="1" applyAlignment="1">
      <alignment horizontal="center" vertical="center" wrapText="1"/>
    </xf>
    <xf numFmtId="0" fontId="3" fillId="4" borderId="63" xfId="0" applyFont="1" applyFill="1" applyBorder="1" applyAlignment="1">
      <alignment horizontal="left" vertical="center" wrapText="1"/>
    </xf>
    <xf numFmtId="0" fontId="3" fillId="4" borderId="0" xfId="0" applyFont="1" applyFill="1" applyBorder="1" applyAlignment="1">
      <alignment horizontal="left" vertical="center" wrapText="1"/>
    </xf>
    <xf numFmtId="0" fontId="3" fillId="4" borderId="60" xfId="0" applyFont="1" applyFill="1" applyBorder="1" applyAlignment="1">
      <alignment horizontal="left" vertical="center" wrapText="1"/>
    </xf>
    <xf numFmtId="0" fontId="3" fillId="4" borderId="14" xfId="0" applyFont="1" applyFill="1" applyBorder="1" applyAlignment="1">
      <alignment horizontal="left" vertical="center" wrapText="1"/>
    </xf>
    <xf numFmtId="0" fontId="3" fillId="4" borderId="15" xfId="0" applyFont="1" applyFill="1" applyBorder="1" applyAlignment="1">
      <alignment horizontal="left" vertical="center" wrapText="1"/>
    </xf>
    <xf numFmtId="0" fontId="3" fillId="4" borderId="46"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11" xfId="0" applyFont="1" applyFill="1" applyBorder="1" applyAlignment="1">
      <alignment horizontal="left" vertical="center" wrapText="1"/>
    </xf>
    <xf numFmtId="0" fontId="3" fillId="4" borderId="77" xfId="0" applyFont="1" applyFill="1" applyBorder="1" applyAlignment="1">
      <alignment horizontal="left" vertical="center" wrapText="1"/>
    </xf>
    <xf numFmtId="0" fontId="0" fillId="0" borderId="0" xfId="0" applyProtection="1"/>
    <xf numFmtId="0" fontId="0" fillId="0" borderId="0" xfId="0" applyAlignment="1" applyProtection="1">
      <alignment horizontal="center"/>
    </xf>
    <xf numFmtId="0" fontId="6" fillId="9" borderId="63" xfId="0" applyFont="1" applyFill="1" applyBorder="1" applyAlignment="1" applyProtection="1">
      <alignment vertical="center" wrapText="1"/>
    </xf>
    <xf numFmtId="0" fontId="6" fillId="9" borderId="13" xfId="0" applyFont="1" applyFill="1" applyBorder="1" applyAlignment="1" applyProtection="1">
      <alignment vertical="center" wrapText="1"/>
    </xf>
    <xf numFmtId="0" fontId="6" fillId="9" borderId="14" xfId="0" applyFont="1" applyFill="1" applyBorder="1" applyAlignment="1" applyProtection="1">
      <alignment vertical="center" wrapText="1"/>
    </xf>
    <xf numFmtId="0" fontId="6" fillId="9" borderId="16" xfId="0" applyFont="1" applyFill="1" applyBorder="1" applyAlignment="1" applyProtection="1">
      <alignment vertical="center" wrapText="1"/>
    </xf>
    <xf numFmtId="0" fontId="14" fillId="0" borderId="0" xfId="0" applyFont="1" applyProtection="1"/>
  </cellXfs>
  <cellStyles count="12">
    <cellStyle name="Activity" xfId="5"/>
    <cellStyle name="Label" xfId="4"/>
    <cellStyle name="Lien hypertexte" xfId="9" builtinId="8"/>
    <cellStyle name="Milliers" xfId="10" builtinId="3"/>
    <cellStyle name="Normal" xfId="0" builtinId="0"/>
    <cellStyle name="Normal 2" xfId="2"/>
    <cellStyle name="Normal 3" xfId="11"/>
    <cellStyle name="Percent Complete" xfId="6"/>
    <cellStyle name="Period Headers" xfId="8"/>
    <cellStyle name="Period Highlight Control" xfId="3"/>
    <cellStyle name="Project Headers" xfId="7"/>
    <cellStyle name="Titre 1 2" xfId="1"/>
  </cellStyles>
  <dxfs count="1722">
    <dxf>
      <fill>
        <patternFill>
          <bgColor rgb="FFFF0000"/>
        </patternFill>
      </fill>
    </dxf>
    <dxf>
      <font>
        <color theme="0"/>
      </font>
      <fill>
        <patternFill>
          <bgColor theme="0"/>
        </patternFill>
      </fill>
    </dxf>
    <dxf>
      <font>
        <color theme="0" tint="-4.9989318521683403E-2"/>
      </font>
      <fill>
        <patternFill>
          <bgColor theme="0" tint="-4.9989318521683403E-2"/>
        </patternFill>
      </fill>
    </dxf>
    <dxf>
      <font>
        <color theme="0"/>
      </font>
      <fill>
        <patternFill patternType="lightUp">
          <fgColor rgb="FF0070C0"/>
        </patternFill>
      </fill>
      <border>
        <left/>
        <right/>
        <top style="thin">
          <color rgb="FF002060"/>
        </top>
        <bottom style="thin">
          <color rgb="FF002060"/>
        </bottom>
      </border>
    </dxf>
    <dxf>
      <font>
        <color rgb="FFFFFFFF"/>
      </font>
      <fill>
        <patternFill patternType="lightGray">
          <fgColor rgb="FFFF0000"/>
          <bgColor auto="1"/>
        </patternFill>
      </fill>
      <border>
        <left/>
        <right/>
        <top style="thin">
          <color rgb="FFFF0000"/>
        </top>
        <bottom style="thin">
          <color rgb="FFFF0000"/>
        </bottom>
      </border>
    </dxf>
    <dxf>
      <font>
        <color rgb="FFFF9F9F"/>
      </font>
      <fill>
        <patternFill patternType="lightUp">
          <fgColor rgb="FF0070C0"/>
          <bgColor rgb="FFFF9F9F"/>
        </patternFill>
      </fill>
      <border>
        <left/>
        <right/>
        <top style="thin">
          <color rgb="FFFF3399"/>
        </top>
        <bottom style="thin">
          <color rgb="FFFF3399"/>
        </bottom>
      </border>
    </dxf>
    <dxf>
      <font>
        <color rgb="FF009682"/>
      </font>
      <fill>
        <patternFill patternType="solid">
          <fgColor auto="1"/>
          <bgColor rgb="FF009682"/>
        </patternFill>
      </fill>
      <border>
        <left/>
        <right/>
        <top style="thin">
          <color rgb="FF007864"/>
        </top>
        <bottom style="thin">
          <color rgb="FF007864"/>
        </bottom>
      </border>
    </dxf>
    <dxf>
      <font>
        <color rgb="FF00B050"/>
      </font>
      <fill>
        <patternFill patternType="solid">
          <fgColor auto="1"/>
          <bgColor rgb="FF00B050"/>
        </patternFill>
      </fill>
      <border>
        <left/>
        <right/>
        <top style="thin">
          <color rgb="FF008C3C"/>
        </top>
        <bottom style="thin">
          <color rgb="FF008C3C"/>
        </bottom>
      </border>
    </dxf>
    <dxf>
      <font>
        <color theme="4" tint="0.39994506668294322"/>
      </font>
      <fill>
        <patternFill>
          <bgColor theme="4" tint="0.39994506668294322"/>
        </patternFill>
      </fill>
      <border>
        <left style="thin">
          <color rgb="FF0070C0"/>
        </left>
        <right style="thin">
          <color rgb="FF0070C0"/>
        </right>
        <top/>
        <bottom/>
        <vertical/>
        <horizontal/>
      </border>
    </dxf>
    <dxf>
      <font>
        <color theme="0"/>
      </font>
      <fill>
        <patternFill>
          <bgColor rgb="FF002060"/>
        </patternFill>
      </fill>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mergeCell="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indent="0" relativeIndent="255" justifyLastLine="0" shrinkToFit="0" mergeCell="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mergeCell="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0" justifyLastLine="0" shrinkToFit="0" mergeCell="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mergeCell="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outline="0">
        <bottom style="thin">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outline="0">
        <left style="medium">
          <color indexed="64"/>
        </left>
        <right style="medium">
          <color indexed="64"/>
        </right>
        <bottom style="thin">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outline="0">
        <left style="medium">
          <color indexed="64"/>
        </left>
        <bottom style="thin">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outline="0">
        <top style="thin">
          <color indexed="64"/>
        </top>
      </border>
    </dxf>
    <dxf>
      <border outline="0">
        <left style="medium">
          <color indexed="64"/>
        </left>
        <right style="medium">
          <color indexed="64"/>
        </right>
        <top style="thin">
          <color indexed="64"/>
        </top>
        <bottom style="medium">
          <color indexed="64"/>
        </bottom>
      </border>
    </dxf>
    <dxf>
      <border>
        <bottom style="medium">
          <color indexed="64"/>
        </bottom>
        <vertical/>
        <horizontal/>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none">
          <fgColor indexed="64"/>
          <bgColor indexed="65"/>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outline="0">
        <bottom style="medium">
          <color indexed="64"/>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medium">
          <color indexed="64"/>
        </bottom>
        <vertical/>
        <horizontal/>
      </border>
    </dxf>
    <dxf>
      <border diagonalUp="0" diagonalDown="0">
        <left/>
        <right/>
        <top/>
        <bottom/>
        <vertical/>
        <horizontal/>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medium">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indexed="64"/>
          <bgColor theme="8" tint="0.59999389629810485"/>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outline="0">
        <bottom style="medium">
          <color indexed="64"/>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medium">
          <color auto="1"/>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medium">
          <color auto="1"/>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numFmt numFmtId="0" formatCode="General"/>
      <fill>
        <patternFill patternType="solid">
          <fgColor indexed="64"/>
          <bgColor rgb="FF00206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medium">
          <color auto="1"/>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medium">
          <color auto="1"/>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mergeCell="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mergeCell="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0" justifyLastLine="0" shrinkToFit="0" mergeCell="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mergeCell="0" readingOrder="0"/>
      <border diagonalUp="0" diagonalDown="0">
        <left/>
        <right style="thin">
          <color indexed="64"/>
        </right>
        <top style="thin">
          <color indexed="64"/>
        </top>
        <bottom style="thin">
          <color indexed="64"/>
        </bottom>
        <vertical/>
        <horizontal style="medium">
          <color auto="1"/>
        </horizontal>
      </border>
    </dxf>
    <dxf>
      <border>
        <top style="thin">
          <color indexed="64"/>
        </top>
      </border>
    </dxf>
    <dxf>
      <border outline="0">
        <left style="medium">
          <color indexed="64"/>
        </left>
        <right style="medium">
          <color indexed="64"/>
        </right>
        <top style="medium">
          <color indexed="64"/>
        </top>
        <bottom style="medium">
          <color indexed="64"/>
        </bottom>
      </border>
    </dxf>
    <dxf>
      <border>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0" formatCode="General"/>
      <fill>
        <patternFill patternType="solid">
          <fgColor indexed="64"/>
          <bgColor rgb="FF92D050"/>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border>
    </dxf>
    <dxf>
      <font>
        <b val="0"/>
        <i val="0"/>
        <strike val="0"/>
        <condense val="0"/>
        <extend val="0"/>
        <outline val="0"/>
        <shadow val="0"/>
        <u val="none"/>
        <vertAlign val="baseline"/>
        <sz val="8"/>
        <color theme="1"/>
        <name val="Calibri"/>
        <scheme val="minor"/>
      </font>
      <fill>
        <patternFill patternType="solid">
          <fgColor indexed="64"/>
          <bgColor theme="5" tint="0.59999389629810485"/>
        </patternFill>
      </fill>
      <alignment horizontal="center" vertical="center" textRotation="0" wrapText="1" indent="0" relativeIndent="255" justifyLastLine="0" shrinkToFit="0" readingOrder="0"/>
      <border diagonalUp="0" diagonalDown="0" outline="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15" formatCode="0.00E+00"/>
      <fill>
        <patternFill patternType="solid">
          <fgColor indexed="64"/>
          <bgColor theme="8" tint="0.39997558519241921"/>
        </patternFill>
      </fill>
      <alignment horizontal="left"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numFmt numFmtId="15" formatCode="0.00E+00"/>
      <fill>
        <patternFill patternType="solid">
          <fgColor indexed="64"/>
          <bgColor theme="8" tint="0.39997558519241921"/>
        </patternFill>
      </fill>
      <alignment horizontal="left"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numFmt numFmtId="15" formatCode="0.00E+00"/>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8"/>
        <color theme="1"/>
        <name val="Calibri"/>
        <scheme val="minor"/>
      </font>
      <fill>
        <patternFill>
          <fgColor indexed="64"/>
          <bgColor theme="0"/>
        </patternFill>
      </fill>
      <alignment horizontal="center" vertical="center" textRotation="0" wrapText="1" indent="0" relativeIndent="255" justifyLastLine="0" shrinkToFit="0" readingOrder="0"/>
    </dxf>
    <dxf>
      <border>
        <bottom style="medium">
          <color indexed="64"/>
        </bottom>
      </border>
    </dxf>
    <dxf>
      <font>
        <b val="0"/>
        <i val="0"/>
        <strike val="0"/>
        <condense val="0"/>
        <extend val="0"/>
        <outline val="0"/>
        <shadow val="0"/>
        <u val="none"/>
        <vertAlign val="baseline"/>
        <sz val="10"/>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auto="1"/>
        </left>
        <right style="thin">
          <color auto="1"/>
        </right>
        <top/>
        <bottom/>
        <vertical style="thin">
          <color auto="1"/>
        </vertical>
        <horizontal/>
      </border>
    </dxf>
    <dxf>
      <font>
        <color rgb="FFFF0000"/>
      </font>
      <fill>
        <patternFill>
          <bgColor rgb="FFFF0000"/>
        </patternFill>
      </fill>
    </dxf>
    <dxf>
      <font>
        <strike val="0"/>
        <outline val="0"/>
        <shadow val="0"/>
        <u val="none"/>
        <vertAlign val="baseline"/>
        <sz val="8"/>
        <color theme="1"/>
        <name val="Calibri"/>
        <scheme val="minor"/>
      </font>
      <fill>
        <patternFill patternType="none">
          <fgColor indexed="64"/>
          <bgColor auto="1"/>
        </patternFill>
      </fill>
      <alignment horizontal="general"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8"/>
        <color theme="1"/>
        <name val="Calibri"/>
        <scheme val="minor"/>
      </font>
      <fill>
        <patternFill patternType="none">
          <fgColor indexed="64"/>
          <bgColor auto="1"/>
        </patternFill>
      </fill>
      <alignment horizontal="general"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color theme="1"/>
        <name val="Calibri"/>
        <scheme val="minor"/>
      </font>
      <fill>
        <patternFill patternType="none">
          <fgColor indexed="64"/>
          <bgColor auto="1"/>
        </patternFill>
      </fill>
      <alignment horizontal="general" vertical="center" textRotation="0" wrapText="1" indent="0" relativeIndent="255" justifyLastLine="0" shrinkToFit="0" readingOrder="0"/>
    </dxf>
    <dxf>
      <border>
        <bottom style="thin">
          <color indexed="64"/>
        </bottom>
      </border>
    </dxf>
    <dxf>
      <font>
        <b/>
        <i val="0"/>
        <strike val="0"/>
        <condense val="0"/>
        <extend val="0"/>
        <outline val="0"/>
        <shadow val="0"/>
        <u val="none"/>
        <vertAlign val="baseline"/>
        <sz val="11"/>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177" formatCode="dd/mm&quot;-&quot;hh"/>
      <fill>
        <patternFill patternType="solid">
          <fgColor indexed="64"/>
          <bgColor rgb="FF92D050"/>
        </patternFill>
      </fill>
      <alignment horizontal="center" vertical="center" textRotation="0" wrapText="1" indent="0" relativeIndent="255" justifyLastLine="0" shrinkToFit="0" readingOrder="0"/>
      <border diagonalUp="0" diagonalDown="0">
        <left/>
        <right/>
        <top style="thin">
          <color indexed="64"/>
        </top>
        <bottom style="thin">
          <color indexed="64"/>
        </bottom>
        <vertical/>
        <horizontal/>
      </border>
    </dxf>
    <dxf>
      <border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8"/>
        <color theme="1"/>
        <name val="Calibri"/>
        <scheme val="minor"/>
      </font>
      <numFmt numFmtId="177" formatCode="dd/mm&quot;-&quot;hh"/>
      <fill>
        <patternFill patternType="solid">
          <fgColor indexed="64"/>
          <bgColor rgb="FF92D050"/>
        </patternFill>
      </fill>
      <alignment horizontal="center" vertical="center" textRotation="0" wrapText="1" indent="0" relativeIndent="255" justifyLastLine="0" shrinkToFit="0" readingOrder="0"/>
    </dxf>
    <dxf>
      <border outline="0">
        <bottom style="medium">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relativeIndent="255"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outline="0">
        <left style="thin">
          <color indexed="64"/>
        </left>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outline="0">
        <right style="thin">
          <color indexed="64"/>
        </right>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outline="0">
        <left style="thin">
          <color indexed="64"/>
        </left>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outline="0">
        <right style="thin">
          <color indexed="64"/>
        </right>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outline="0">
        <left style="thin">
          <color indexed="64"/>
        </left>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outline="0">
        <right style="thin">
          <color indexed="64"/>
        </right>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medium">
          <color auto="1"/>
        </left>
        <right/>
        <top style="thin">
          <color indexed="64"/>
        </top>
        <bottom style="thin">
          <color indexed="64"/>
        </bottom>
        <vertical style="medium">
          <color auto="1"/>
        </vertical>
        <horizontal style="thin">
          <color indexed="64"/>
        </horizontal>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left style="medium">
          <color auto="1"/>
        </left>
        <right style="medium">
          <color auto="1"/>
        </right>
        <top style="thin">
          <color indexed="64"/>
        </top>
        <bottom style="thin">
          <color indexed="64"/>
        </bottom>
        <vertical style="medium">
          <color auto="1"/>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medium">
          <color auto="1"/>
        </left>
        <right style="medium">
          <color auto="1"/>
        </right>
        <top style="thin">
          <color indexed="64"/>
        </top>
        <bottom style="thin">
          <color indexed="64"/>
        </bottom>
        <vertical style="medium">
          <color auto="1"/>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auto="1"/>
        </right>
        <top style="thin">
          <color indexed="64"/>
        </top>
        <bottom style="thin">
          <color indexed="64"/>
        </bottom>
        <vertical style="medium">
          <color auto="1"/>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relativeIndent="255" justifyLastLine="0" shrinkToFit="0" readingOrder="0"/>
      <border diagonalUp="0" diagonalDown="0">
        <left style="thin">
          <color auto="1"/>
        </left>
        <right/>
        <top style="medium">
          <color auto="1"/>
        </top>
        <bottom style="medium">
          <color auto="1"/>
        </bottom>
        <vertical style="thin">
          <color auto="1"/>
        </vertical>
        <horizontal style="medium">
          <color auto="1"/>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right style="thin">
          <color auto="1"/>
        </right>
        <top style="medium">
          <color auto="1"/>
        </top>
        <bottom style="medium">
          <color auto="1"/>
        </bottom>
        <vertical style="thin">
          <color auto="1"/>
        </vertical>
        <horizontal style="medium">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relativeIndent="255" justifyLastLine="0" shrinkToFit="0" readingOrder="0"/>
    </dxf>
    <dxf>
      <border>
        <bottom style="medium">
          <color indexed="64"/>
        </bottom>
      </border>
    </dxf>
    <dxf>
      <font>
        <b/>
        <i val="0"/>
        <strike val="0"/>
        <condense val="0"/>
        <extend val="0"/>
        <outline val="0"/>
        <shadow val="0"/>
        <u val="none"/>
        <vertAlign val="baseline"/>
        <sz val="8"/>
        <color theme="1"/>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style="thin">
          <color auto="1"/>
        </left>
        <right style="thin">
          <color auto="1"/>
        </right>
        <top/>
        <bottom/>
        <vertical style="thin">
          <color auto="1"/>
        </vertical>
        <horizontal style="medium">
          <color auto="1"/>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relativeIndent="255" justifyLastLine="0" shrinkToFit="0" readingOrder="0"/>
      <border diagonalUp="0" diagonalDown="0">
        <left style="thin">
          <color auto="1"/>
        </left>
        <right style="medium">
          <color auto="1"/>
        </right>
        <top style="thin">
          <color auto="1"/>
        </top>
        <bottom style="thin">
          <color auto="1"/>
        </bottom>
        <vertical style="thin">
          <color auto="1"/>
        </vertical>
        <horizontal style="thin">
          <color auto="1"/>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style="medium">
          <color auto="1"/>
        </left>
        <right style="thin">
          <color auto="1"/>
        </right>
        <top style="thin">
          <color auto="1"/>
        </top>
        <bottom style="thin">
          <color auto="1"/>
        </bottom>
        <vertical style="thin">
          <color auto="1"/>
        </vertical>
        <horizontal style="thin">
          <color auto="1"/>
        </horizontal>
      </border>
    </dxf>
    <dxf>
      <border>
        <bottom style="medium">
          <color indexed="64"/>
        </bottom>
      </border>
    </dxf>
    <dxf>
      <font>
        <b/>
        <i val="0"/>
        <strike val="0"/>
        <condense val="0"/>
        <extend val="0"/>
        <outline val="0"/>
        <shadow val="0"/>
        <u val="none"/>
        <vertAlign val="baseline"/>
        <sz val="8"/>
        <color theme="1"/>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relativeIndent="255"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right/>
        <top/>
        <bottom/>
        <vertical/>
        <horizontal/>
      </border>
    </dxf>
    <dxf>
      <font>
        <b val="0"/>
        <i val="0"/>
        <strike val="0"/>
        <condense val="0"/>
        <extend val="0"/>
        <outline val="0"/>
        <shadow val="0"/>
        <u val="none"/>
        <vertAlign val="baseline"/>
        <sz val="8"/>
        <color theme="1"/>
        <name val="Calibri"/>
        <scheme val="minor"/>
      </font>
      <fill>
        <patternFill patternType="solid">
          <fgColor indexed="64"/>
          <bgColor theme="6" tint="-0.249977111117893"/>
        </patternFill>
      </fill>
      <alignment horizontal="center" vertical="center" textRotation="0" wrapText="0" indent="0" relativeIndent="255"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style="medium">
          <color indexed="64"/>
        </left>
        <right style="medium">
          <color indexed="64"/>
        </right>
        <top style="thin">
          <color auto="1"/>
        </top>
        <bottom style="thin">
          <color auto="1"/>
        </bottom>
        <vertical/>
        <horizontal style="thin">
          <color auto="1"/>
        </horizontal>
      </border>
    </dxf>
    <dxf>
      <font>
        <b val="0"/>
        <i val="0"/>
        <strike val="0"/>
        <condense val="0"/>
        <extend val="0"/>
        <outline val="0"/>
        <shadow val="0"/>
        <u val="none"/>
        <vertAlign val="baseline"/>
        <sz val="8"/>
        <color theme="1"/>
        <name val="Calibri"/>
        <scheme val="minor"/>
      </font>
      <fill>
        <patternFill patternType="solid">
          <fgColor indexed="64"/>
          <bgColor theme="0"/>
        </patternFill>
      </fill>
      <alignment horizontal="general" vertical="center" textRotation="0" wrapText="0" indent="0" relativeIndent="255" justifyLastLine="0" shrinkToFit="0" readingOrder="0"/>
    </dxf>
    <dxf>
      <border>
        <bottom style="medium">
          <color indexed="64"/>
        </bottom>
      </border>
    </dxf>
    <dxf>
      <font>
        <b/>
        <i val="0"/>
        <strike val="0"/>
        <condense val="0"/>
        <extend val="0"/>
        <outline val="0"/>
        <shadow val="0"/>
        <u val="none"/>
        <vertAlign val="baseline"/>
        <sz val="8"/>
        <color theme="1"/>
        <name val="Calibri"/>
        <scheme val="minor"/>
      </font>
      <fill>
        <patternFill patternType="solid">
          <fgColor indexed="64"/>
          <bgColor rgb="FF002060"/>
        </patternFill>
      </fill>
      <alignment horizontal="center" vertical="center" textRotation="0" wrapText="0" indent="0" relativeIndent="255" justifyLastLine="0" shrinkToFit="0" readingOrder="0"/>
      <border diagonalUp="0" diagonalDown="0">
        <left style="medium">
          <color auto="1"/>
        </left>
        <right style="medium">
          <color auto="1"/>
        </right>
        <top/>
        <bottom/>
        <vertical style="medium">
          <color auto="1"/>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dxf>
    <dxf>
      <font>
        <strike val="0"/>
        <outline val="0"/>
        <shadow val="0"/>
        <u val="none"/>
        <vertAlign val="baseline"/>
        <sz val="8"/>
        <name val="Calibri"/>
        <scheme val="minor"/>
      </font>
      <numFmt numFmtId="3" formatCode="#,##0"/>
      <fill>
        <patternFill patternType="solid">
          <fgColor indexed="64"/>
          <bgColor rgb="FF7030A0"/>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horizontal style="medium">
          <color auto="1"/>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right style="medium">
          <color indexed="64"/>
        </right>
        <top/>
        <bottom/>
        <vertical/>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top/>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right style="medium">
          <color indexed="64"/>
        </right>
        <top/>
        <bottom/>
        <vertical/>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top/>
        <bottom/>
        <vertical/>
        <horizontal/>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180" formatCode="mm:ss.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auto="1"/>
        <name val="Calibri"/>
        <scheme val="minor"/>
      </font>
      <fill>
        <patternFill patternType="solid">
          <fgColor indexed="64"/>
          <bgColor theme="8" tint="0.59999389629810485"/>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none"/>
      </font>
      <fill>
        <patternFill>
          <fgColor rgb="FF000000"/>
          <bgColor rgb="FFFFFFFF"/>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border>
    </dxf>
    <dxf>
      <font>
        <b/>
        <strike val="0"/>
        <outline val="0"/>
        <shadow val="0"/>
        <u val="none"/>
        <vertAlign val="baseline"/>
        <sz val="8"/>
        <color theme="0"/>
        <name val="Calibri"/>
        <scheme val="minor"/>
      </font>
      <numFmt numFmtId="3" formatCode="#,##0"/>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auto="1"/>
        <name val="Calibri"/>
        <scheme val="minor"/>
      </font>
      <numFmt numFmtId="3" formatCode="#,##0"/>
      <fill>
        <patternFill patternType="solid">
          <fgColor indexed="64"/>
          <bgColor theme="8" tint="-0.249977111117893"/>
        </patternFill>
      </fill>
      <alignment horizontal="center" vertical="center" textRotation="0" wrapText="1" indent="0" relativeIndent="255"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relativeIndent="255"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13" formatCode="0%"/>
      <fill>
        <patternFill patternType="solid">
          <fgColor indexed="64"/>
          <bgColor rgb="FF92D050"/>
        </patternFill>
      </fill>
      <alignment horizontal="center" vertical="center" textRotation="0" wrapText="1" indent="0" relativeIndent="255" justifyLastLine="0" shrinkToFit="0" readingOrder="0"/>
      <border diagonalUp="0" diagonalDown="0" outline="0">
        <left style="medium">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numFmt numFmtId="3" formatCode="#,##0"/>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auto="1"/>
        <name val="Calibri"/>
        <scheme val="minor"/>
      </font>
      <numFmt numFmtId="3" formatCode="#,##0"/>
      <fill>
        <patternFill patternType="solid">
          <fgColor indexed="64"/>
          <bgColor theme="8" tint="-0.249977111117893"/>
        </patternFill>
      </fill>
      <alignment horizontal="center" vertical="center" textRotation="0" wrapText="1" indent="0" relativeIndent="255"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relativeIndent="255" justifyLastLine="0" shrinkToFit="0" readingOrder="0"/>
    </dxf>
    <dxf>
      <border>
        <bottom style="thin">
          <color indexed="64"/>
        </bottom>
      </border>
    </dxf>
    <dxf>
      <font>
        <strike val="0"/>
        <outline val="0"/>
        <shadow val="0"/>
        <u val="none"/>
        <vertAlign val="baseline"/>
        <sz val="8"/>
        <color theme="1"/>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mergeCell="0" readingOrder="0"/>
      <border diagonalUp="0" diagonalDown="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numFmt numFmtId="3" formatCode="#,##0"/>
      <fill>
        <patternFill patternType="solid">
          <fgColor indexed="64"/>
          <bgColor rgb="FF002060"/>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auto="1"/>
        <name val="Calibri"/>
        <scheme val="minor"/>
      </font>
      <numFmt numFmtId="3" formatCode="#,##0"/>
      <fill>
        <patternFill patternType="solid">
          <fgColor indexed="64"/>
          <bgColor theme="9" tint="0.59999389629810485"/>
        </patternFill>
      </fill>
      <alignment horizontal="center" vertical="center" textRotation="0" wrapText="1" indent="0" relativeIndent="0" justifyLastLine="0" shrinkToFit="0" mergeCell="0" readingOrder="0"/>
      <border diagonalUp="0" diagonalDown="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relativeIndent="255" justifyLastLine="0" shrinkToFit="0" readingOrder="0"/>
    </dxf>
    <dxf>
      <border>
        <bottom style="thin">
          <color indexed="64"/>
        </bottom>
      </border>
    </dxf>
    <dxf>
      <font>
        <strike val="0"/>
        <outline val="0"/>
        <shadow val="0"/>
        <u val="none"/>
        <vertAlign val="baseline"/>
        <sz val="8"/>
        <color theme="1"/>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0" justifyLastLine="0" shrinkToFit="0" mergeCell="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mergeCell="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thin">
          <color indexed="64"/>
        </bottom>
        <vertical/>
        <horizontal/>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mergeCell="0" readingOrder="0"/>
      <border diagonalUp="0" diagonalDown="0">
        <left style="thin">
          <color indexed="64"/>
        </left>
        <right style="thin">
          <color indexed="64"/>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b val="0"/>
        <i val="0"/>
        <strike val="0"/>
        <condense val="0"/>
        <extend val="0"/>
        <outline val="0"/>
        <shadow val="0"/>
        <u val="none"/>
        <vertAlign val="baseline"/>
        <sz val="8"/>
        <color auto="1"/>
        <name val="Calibri"/>
        <scheme val="minor"/>
      </font>
      <numFmt numFmtId="3" formatCode="#,##0"/>
      <fill>
        <patternFill patternType="solid">
          <fgColor indexed="64"/>
          <bgColor theme="6" tint="-0.249977111117893"/>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3" formatCode="#,##0"/>
      <fill>
        <patternFill patternType="solid">
          <fgColor indexed="64"/>
          <bgColor theme="6" tint="-0.249977111117893"/>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A41EB2"/>
        </patternFill>
      </fill>
      <alignment horizontal="center" vertical="center" textRotation="0" wrapText="1" indent="0" relativeIndent="0" justifyLastLine="0" shrinkToFit="0" mergeCell="0" readingOrder="0"/>
      <border diagonalUp="0" diagonalDown="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thin">
          <color indexed="64"/>
        </top>
        <bottom style="thin">
          <color indexed="64"/>
        </bottom>
        <vertical/>
        <horizontal/>
      </border>
    </dxf>
    <dxf>
      <border outline="0">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theme="0"/>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style="thin">
          <color theme="0"/>
        </left>
        <right style="thin">
          <color indexed="64"/>
        </right>
        <top style="thin">
          <color theme="0"/>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bottom style="thin">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theme="0"/>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style="thin">
          <color theme="0"/>
        </left>
        <right style="thin">
          <color indexed="64"/>
        </right>
        <top style="thin">
          <color theme="0"/>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left style="medium">
          <color indexed="64"/>
        </left>
        <right style="medium">
          <color indexed="64"/>
        </right>
        <bottom style="thin">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theme="0"/>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style="thin">
          <color theme="0"/>
        </left>
        <right style="thin">
          <color indexed="64"/>
        </right>
        <top style="thin">
          <color theme="0"/>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left style="medium">
          <color indexed="64"/>
        </left>
        <bottom style="thin">
          <color indexed="64"/>
        </bottom>
      </border>
    </dxf>
    <dxf>
      <border outline="0">
        <bottom style="medium">
          <color indexed="64"/>
        </bottom>
      </border>
    </dxf>
    <dxf>
      <font>
        <b val="0"/>
        <i val="0"/>
        <strike val="0"/>
        <condense val="0"/>
        <extend val="0"/>
        <outline val="0"/>
        <shadow val="0"/>
        <u val="none"/>
        <vertAlign val="baseline"/>
        <sz val="8"/>
        <color theme="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thin">
          <color indexed="64"/>
        </top>
        <bottom style="thin">
          <color indexed="64"/>
        </bottom>
        <vertical/>
        <horizontal/>
      </border>
    </dxf>
    <dxf>
      <font>
        <b val="0"/>
        <i val="0"/>
        <strike val="0"/>
        <condense val="0"/>
        <extend val="0"/>
        <outline val="0"/>
        <shadow val="0"/>
        <u val="none"/>
        <vertAlign val="baseline"/>
        <sz val="8"/>
        <color theme="1"/>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thin">
          <color indexed="64"/>
        </top>
        <bottom style="medium">
          <color indexed="64"/>
        </bottom>
      </border>
    </dxf>
    <dxf>
      <border outline="0">
        <bottom style="thin">
          <color indexed="64"/>
        </bottom>
      </border>
    </dxf>
    <dxf>
      <font>
        <b val="0"/>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numFmt numFmtId="2" formatCode="0.00"/>
      <fill>
        <patternFill patternType="none">
          <fgColor indexed="64"/>
          <bgColor indexed="65"/>
        </patternFill>
      </fill>
      <alignment horizontal="center" vertical="center" textRotation="0" wrapText="1" indent="0" relativeIndent="255" justifyLastLine="0" shrinkToFit="0" readingOrder="0"/>
      <border diagonalUp="0" diagonalDown="0">
        <left style="thin">
          <color indexed="64"/>
        </left>
        <right/>
        <top style="thin">
          <color indexed="64"/>
        </top>
        <bottom style="thin">
          <color indexed="64"/>
        </bottom>
        <vertical/>
        <horizontal/>
      </border>
    </dxf>
    <dxf>
      <font>
        <strike val="0"/>
        <outline val="0"/>
        <shadow val="0"/>
        <u val="none"/>
        <vertAlign val="baseline"/>
        <sz val="8"/>
        <name val="Calibri"/>
        <scheme val="minor"/>
      </font>
      <numFmt numFmtId="3" formatCode="#,##0"/>
      <fill>
        <patternFill patternType="none">
          <fgColor indexed="64"/>
          <bgColor indexed="65"/>
        </patternFill>
      </fill>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vertical/>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none">
          <fgColor indexed="64"/>
          <bgColor indexed="65"/>
        </patternFill>
      </fill>
      <alignment horizontal="center" vertical="center" textRotation="0" wrapText="1" indent="0" relativeIndent="255" justifyLastLine="0" shrinkToFit="0" readingOrder="0"/>
      <border diagonalUp="0" diagonalDown="0">
        <left style="thin">
          <color indexed="64"/>
        </left>
        <right/>
        <top style="thin">
          <color indexed="64"/>
        </top>
        <bottom style="thin">
          <color indexed="64"/>
        </bottom>
        <vertical/>
        <horizontal/>
      </border>
    </dxf>
    <dxf>
      <font>
        <strike val="0"/>
        <outline val="0"/>
        <shadow val="0"/>
        <u val="none"/>
        <vertAlign val="baseline"/>
        <sz val="8"/>
        <name val="Calibri"/>
        <scheme val="minor"/>
      </font>
      <numFmt numFmtId="3" formatCode="#,##0"/>
      <fill>
        <patternFill patternType="none">
          <fgColor indexed="64"/>
          <bgColor indexed="65"/>
        </patternFill>
      </fill>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vertical/>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bottom/>
        <vertical/>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auto="1"/>
        </left>
        <right style="medium">
          <color auto="1"/>
        </right>
        <top/>
        <bottom/>
        <vertical style="medium">
          <color auto="1"/>
        </vertical>
        <horizontal/>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theme="0"/>
        <name val="Calibri"/>
        <scheme val="minor"/>
      </font>
      <numFmt numFmtId="3" formatCode="#,##0"/>
      <fill>
        <patternFill patternType="solid">
          <fgColor indexed="64"/>
          <bgColor theme="1" tint="0.149998474074526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style="medium">
          <color indexed="64"/>
        </right>
        <top style="medium">
          <color auto="1"/>
        </top>
        <bottom style="medium">
          <color auto="1"/>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style="medium">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style="medium">
          <color indexed="64"/>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top style="thin">
          <color indexed="64"/>
        </top>
        <bottom style="thin">
          <color indexed="64"/>
        </bottom>
        <vertical/>
        <horizontal/>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vertical/>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medium">
          <color auto="1"/>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color auto="1"/>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color auto="1"/>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medium">
          <color auto="1"/>
        </top>
        <bottom style="medium">
          <color auto="1"/>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FFC000"/>
        </patternFill>
      </fill>
      <alignment horizontal="center" vertical="center" textRotation="0" wrapText="1" indent="0" relativeIndent="255" justifyLastLine="0" shrinkToFit="0" readingOrder="0"/>
      <border diagonalUp="0" diagonalDown="0">
        <left style="medium">
          <color indexed="64"/>
        </left>
        <right style="thin">
          <color indexed="64"/>
        </right>
        <top style="medium">
          <color auto="1"/>
        </top>
        <bottom style="medium">
          <color auto="1"/>
        </bottom>
        <vertical style="thin">
          <color indexed="64"/>
        </vertical>
        <horizontal style="medium">
          <color auto="1"/>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style="medium">
          <color indexed="64"/>
        </right>
        <top style="medium">
          <color auto="1"/>
        </top>
        <bottom style="medium">
          <color auto="1"/>
        </bottom>
        <vertical style="thin">
          <color indexed="64"/>
        </vertical>
        <horizontal style="medium">
          <color auto="1"/>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medium">
          <color indexed="64"/>
        </left>
        <right style="thin">
          <color indexed="64"/>
        </right>
        <top style="medium">
          <color auto="1"/>
        </top>
        <bottom style="medium">
          <color auto="1"/>
        </bottom>
        <vertical style="thin">
          <color indexed="64"/>
        </vertical>
        <horizontal style="medium">
          <color auto="1"/>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style="medium">
          <color auto="1"/>
        </top>
        <bottom style="medium">
          <color auto="1"/>
        </bottom>
        <vertical style="thin">
          <color indexed="64"/>
        </vertical>
        <horizontal style="medium">
          <color auto="1"/>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horizontal="general" vertical="center" textRotation="0" wrapText="1" indent="0" relativeIndent="255" justifyLastLine="0" shrinkToFit="0" readingOrder="0"/>
    </dxf>
    <dxf>
      <border>
        <bottom style="medium">
          <color indexed="64"/>
        </bottom>
      </border>
    </dxf>
    <dxf>
      <font>
        <b val="0"/>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bottom style="thin">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strike val="0"/>
        <outline val="0"/>
        <shadow val="0"/>
        <u val="none"/>
        <vertAlign val="baseline"/>
        <sz val="8"/>
        <name val="Calibri"/>
        <scheme val="minor"/>
      </font>
      <numFmt numFmtId="2" formatCode="0.00"/>
      <fill>
        <patternFill patternType="solid">
          <fgColor indexed="64"/>
          <bgColor rgb="FF92D050"/>
        </patternFill>
      </fill>
      <alignment horizontal="center" vertical="center" textRotation="0" wrapText="1" indent="0" relativeIndent="255"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vertAlign val="baseline"/>
        <sz val="8"/>
        <name val="Calibri"/>
        <scheme val="minor"/>
      </font>
      <numFmt numFmtId="3" formatCode="#,##0"/>
      <fill>
        <patternFill patternType="solid">
          <fgColor indexed="64"/>
          <bgColor rgb="FFA41EB2"/>
        </patternFill>
      </fill>
      <alignment horizontal="center" vertical="center" textRotation="0" wrapText="1" indent="0" relativeIndent="255" justifyLastLine="0" shrinkToFit="0" readingOrder="0"/>
      <border diagonalUp="0" diagonalDown="0" outline="0">
        <left style="medium">
          <color auto="1"/>
        </left>
        <right style="thin">
          <color indexed="64"/>
        </right>
        <top style="thin">
          <color indexed="64"/>
        </top>
        <bottom style="thin">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dxf>
    <dxf>
      <border outline="0">
        <bottom style="medium">
          <color indexed="64"/>
        </bottom>
      </border>
    </dxf>
    <dxf>
      <font>
        <strike val="0"/>
        <outline val="0"/>
        <shadow val="0"/>
        <u val="none"/>
        <vertAlign val="baseline"/>
        <sz val="8"/>
        <name val="Calibri"/>
        <scheme val="minor"/>
      </font>
      <fill>
        <patternFill patternType="solid">
          <fgColor indexed="64"/>
          <bgColor rgb="FF002060"/>
        </patternFill>
      </fill>
      <alignment vertical="center" textRotation="0" wrapText="1" indent="0" relativeIndent="255"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mergeCell="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mergeCell="0" readingOrder="0"/>
      <border diagonalUp="0" diagonalDown="0">
        <left style="medium">
          <color indexed="64"/>
        </left>
        <right style="thin">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style="medium">
          <color indexed="64"/>
        </right>
        <top/>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outline="0">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outline="0">
        <left style="thin">
          <color indexed="64"/>
        </left>
        <right style="thin">
          <color indexed="64"/>
        </right>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style="thin">
          <color indexed="64"/>
        </right>
        <top/>
        <bottom/>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8"/>
        <name val="Calibri"/>
        <scheme val="none"/>
      </font>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style="medium">
          <color auto="1"/>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rgb="FF92D050"/>
        </patternFill>
      </fill>
      <alignment horizontal="center" vertical="center" textRotation="0" wrapText="1" indent="0" relativeIndent="255" justifyLastLine="0" shrinkToFit="0" readingOrder="0"/>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strike val="0"/>
        <outline val="0"/>
        <shadow val="0"/>
        <u val="none"/>
        <vertAlign val="baseline"/>
        <sz val="8"/>
        <color rgb="FFC00000"/>
        <name val="Calibri"/>
        <scheme val="minor"/>
      </font>
      <fill>
        <patternFill patternType="solid">
          <fgColor theme="4" tint="0.59999389629810485"/>
          <bgColor theme="9" tint="0.39997558519241921"/>
        </patternFill>
      </fill>
      <alignment vertical="center" textRotation="0" wrapText="1" indent="0" relativeIndent="255" justifyLastLine="0" shrinkToFit="0" readingOrder="0"/>
      <border diagonalUp="0" diagonalDown="0" outline="0">
        <left style="thin">
          <color indexed="64"/>
        </left>
        <right style="medium">
          <color indexed="64"/>
        </right>
        <top style="thin">
          <color indexed="64"/>
        </top>
        <bottom style="thin">
          <color indexed="64"/>
        </bottom>
      </border>
    </dxf>
    <dxf>
      <fill>
        <patternFill patternType="solid">
          <fgColor theme="4" tint="0.59999389629810485"/>
          <bgColor theme="9" tint="0.39997558519241921"/>
        </patternFill>
      </fill>
      <alignment vertical="center" textRotation="0" wrapText="1" indent="0" relativeIndent="255"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right/>
        <top style="thin">
          <color indexed="64"/>
        </top>
        <bottom style="thin">
          <color indexed="64"/>
        </bottom>
      </border>
    </dxf>
    <dxf>
      <font>
        <b/>
        <strike val="0"/>
        <outline val="0"/>
        <shadow val="0"/>
        <u val="none"/>
        <vertAlign val="baseline"/>
        <sz val="8"/>
        <color rgb="FFC00000"/>
        <name val="Calibri"/>
        <scheme val="minor"/>
      </font>
      <fill>
        <patternFill patternType="solid">
          <fgColor theme="4" tint="0.59999389629810485"/>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theme="4" tint="0.59999389629810485"/>
          <bgColor theme="9" tint="0.39997558519241921"/>
        </patternFill>
      </fill>
      <alignment vertical="center" textRotation="0" wrapText="1" indent="0" relativeIndent="255" justifyLastLine="0" shrinkToFit="0" readingOrder="0"/>
      <border diagonalUp="0" diagonalDown="0" outline="0">
        <left/>
        <right/>
        <top style="thin">
          <color indexed="64"/>
        </top>
        <bottom style="thin">
          <color indexed="64"/>
        </bottom>
      </border>
    </dxf>
    <dxf>
      <font>
        <b/>
        <strike val="0"/>
        <outline val="0"/>
        <shadow val="0"/>
        <u val="none"/>
        <vertAlign val="baseline"/>
        <sz val="8"/>
        <color rgb="FFC00000"/>
        <name val="Calibri"/>
        <scheme val="minor"/>
      </font>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outline="0">
        <left/>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medium">
          <color indexed="64"/>
        </left>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b/>
        <strike val="0"/>
        <outline val="0"/>
        <shadow val="0"/>
        <u val="none"/>
        <vertAlign val="baseline"/>
        <sz val="8"/>
        <color rgb="FFC00000"/>
        <name val="Calibri"/>
        <scheme val="none"/>
      </font>
      <numFmt numFmtId="0" formatCode="General"/>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color auto="1"/>
        <name val="Calibri"/>
        <scheme val="none"/>
      </font>
      <numFmt numFmtId="0" formatCode="General"/>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8"/>
        <name val="Calibri"/>
        <scheme val="none"/>
      </font>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medium">
          <color indexed="64"/>
        </right>
        <top style="thin">
          <color indexed="64"/>
        </top>
        <bottom style="thin">
          <color indexed="64"/>
        </bottom>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bottom/>
        <vertical/>
        <horizontal/>
      </border>
    </dxf>
    <dxf>
      <border outline="0">
        <left style="medium">
          <color indexed="64"/>
        </left>
        <right style="medium">
          <color indexed="64"/>
        </right>
        <top style="medium">
          <color indexed="64"/>
        </top>
        <bottom style="medium">
          <color indexed="64"/>
        </bottom>
      </border>
    </dxf>
    <dxf>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left style="thin">
          <color indexed="64"/>
        </lef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right style="thin">
          <color indexed="64"/>
        </right>
      </border>
    </dxf>
    <dxf>
      <font>
        <b/>
        <strike val="0"/>
        <outline val="0"/>
        <shadow val="0"/>
        <u val="none"/>
        <vertAlign val="baseline"/>
        <sz val="8"/>
        <color rgb="FFC00000"/>
        <name val="Calibri"/>
        <scheme val="minor"/>
      </font>
      <numFmt numFmtId="0" formatCode="General"/>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bottom style="thin">
          <color indexed="64"/>
        </bottom>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left style="thin">
          <color indexed="64"/>
        </left>
        <right style="thin">
          <color indexed="64"/>
        </right>
      </border>
    </dxf>
    <dxf>
      <font>
        <b/>
        <strike val="0"/>
        <outline val="0"/>
        <shadow val="0"/>
        <u val="none"/>
        <vertAlign val="baseline"/>
        <sz val="8"/>
        <color rgb="FFC00000"/>
        <name val="Calibri"/>
        <scheme val="minor"/>
      </font>
      <numFmt numFmtId="0" formatCode="General"/>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left style="thin">
          <color indexed="64"/>
        </left>
        <right style="thin">
          <color indexed="64"/>
        </right>
      </border>
    </dxf>
    <dxf>
      <font>
        <b/>
        <strike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right style="thin">
          <color indexed="64"/>
        </right>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style="thin">
          <color indexed="64"/>
        </right>
        <top/>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b/>
        <sz val="8"/>
        <color rgb="FFC00000"/>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sz val="8"/>
        <color auto="1"/>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9"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8" tint="0.39997558519241921"/>
        </patternFill>
      </fill>
      <alignment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indexed="64"/>
        </left>
        <right style="medium">
          <color indexed="64"/>
        </right>
        <top/>
        <bottom/>
        <vertical/>
        <horizontal/>
      </border>
    </dxf>
    <dxf>
      <border outline="0">
        <left style="medium">
          <color rgb="FF000000"/>
        </left>
        <right style="medium">
          <color rgb="FF000000"/>
        </right>
        <top style="medium">
          <color rgb="FF000000"/>
        </top>
        <bottom style="medium">
          <color rgb="FF000000"/>
        </bottom>
      </border>
    </dxf>
    <dxf>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border>
    </dxf>
    <dxf>
      <font>
        <strike val="0"/>
        <outline val="0"/>
        <shadow val="0"/>
        <u val="none"/>
        <vertAlign val="baseline"/>
        <sz val="8"/>
        <name val="Calibri"/>
        <scheme val="none"/>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border>
    </dxf>
    <dxf>
      <font>
        <strike val="0"/>
        <outline val="0"/>
        <shadow val="0"/>
        <u val="none"/>
        <vertAlign val="baseline"/>
        <sz val="8"/>
        <name val="Calibri"/>
        <scheme val="none"/>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9"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right style="thin">
          <color indexed="64"/>
        </right>
      </border>
    </dxf>
    <dxf>
      <font>
        <strike val="0"/>
        <outline val="0"/>
        <shadow val="0"/>
        <u val="none"/>
        <vertAlign val="baseline"/>
        <sz val="8"/>
        <name val="Calibri"/>
        <scheme val="minor"/>
      </font>
      <numFmt numFmtId="0" formatCode="General"/>
      <fill>
        <patternFill patternType="solid">
          <bgColor theme="8" tint="0.39997558519241921"/>
        </patternFill>
      </fill>
      <alignment vertical="center" textRotation="0" wrapText="1" indent="0" relativeIndent="255" justifyLastLine="0" shrinkToFit="0" readingOrder="0"/>
      <border>
        <left style="thin">
          <color indexed="64"/>
        </left>
        <right style="thin">
          <color indexed="64"/>
        </right>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0" formatCode="General"/>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style="thin">
          <color indexed="64"/>
        </right>
        <top/>
        <bottom/>
      </border>
    </dxf>
    <dxf>
      <border outline="0">
        <left style="medium">
          <color rgb="FF000000"/>
        </left>
        <right style="medium">
          <color rgb="FF000000"/>
        </right>
        <top style="medium">
          <color rgb="FF000000"/>
        </top>
        <bottom style="medium">
          <color rgb="FF000000"/>
        </bottom>
      </border>
    </dxf>
    <dxf>
      <font>
        <strike val="0"/>
        <outline val="0"/>
        <shadow val="0"/>
        <u val="none"/>
        <vertAlign val="baseline"/>
        <sz val="8"/>
        <name val="Calibri"/>
        <scheme val="none"/>
      </font>
      <fill>
        <patternFill>
          <bgColor theme="0"/>
        </patternFill>
      </fill>
      <alignment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bottom/>
        <vertical/>
        <horizontal style="medium">
          <color auto="1"/>
        </horizontal>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theme="0"/>
        <name val="Calibri"/>
        <scheme val="minor"/>
      </font>
      <numFmt numFmtId="165" formatCode="&quot;+&quot;0"/>
      <fill>
        <patternFill patternType="solid">
          <fgColor indexed="64"/>
          <bgColor rgb="FF002060"/>
        </patternFill>
      </fill>
      <alignment horizontal="center" vertical="center" textRotation="0" wrapText="1" indent="0" relativeIndent="0" justifyLastLine="0" shrinkToFit="0" readingOrder="0"/>
      <border diagonalUp="0" diagonalDown="0">
        <left style="medium">
          <color indexed="64"/>
        </left>
        <right style="medium">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border outline="0">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0"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theme="0"/>
        </patternFill>
      </fill>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style="thin">
          <color indexed="64"/>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top style="medium">
          <color auto="1"/>
        </top>
        <bottom style="medium">
          <color auto="1"/>
        </bottom>
        <vertical/>
        <horizontal/>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left style="medium">
          <color indexed="64"/>
        </left>
        <right style="medium">
          <color indexed="64"/>
        </right>
        <top style="thin">
          <color indexed="64"/>
        </top>
        <bottom style="thin">
          <color indexed="64"/>
        </bottom>
        <vertical/>
        <horizontal/>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thin">
          <color indexed="64"/>
        </left>
        <right style="thin">
          <color indexed="64"/>
        </right>
        <top/>
        <bottom/>
        <vertical style="thin">
          <color indexed="64"/>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mergeCell="0" readingOrder="0"/>
      <border diagonalUp="0" diagonalDown="0">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8"/>
        <color rgb="FFC00000"/>
        <name val="Helvetica"/>
        <scheme val="none"/>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Helvetica"/>
        <scheme val="none"/>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medium">
          <color indexed="64"/>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rgb="FF3A3A3A"/>
        <name val="Helvetica"/>
        <scheme val="none"/>
      </font>
      <fill>
        <patternFill patternType="solid">
          <fgColor indexed="64"/>
          <bgColor theme="0"/>
        </patternFill>
      </fill>
      <alignment horizontal="center" vertical="center" textRotation="0" wrapText="1" indent="0" relativeIndent="255" justifyLastLine="0" shrinkToFit="0" readingOrder="0"/>
    </dxf>
    <dxf>
      <border>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top/>
        <bottom/>
      </border>
    </dxf>
    <dxf>
      <font>
        <strike val="0"/>
        <outline val="0"/>
        <shadow val="0"/>
        <u val="none"/>
        <vertAlign val="baseline"/>
        <sz val="8"/>
        <name val="Calibri"/>
        <scheme val="minor"/>
      </font>
      <fill>
        <patternFill patternType="solid">
          <bgColor theme="9" tint="0.39997558519241921"/>
        </patternFill>
      </fill>
    </dxf>
    <dxf>
      <font>
        <strike val="0"/>
        <outline val="0"/>
        <shadow val="0"/>
        <u val="none"/>
        <vertAlign val="baseline"/>
        <sz val="8"/>
        <name val="Calibri"/>
        <scheme val="minor"/>
      </font>
      <fill>
        <patternFill patternType="solid">
          <bgColor theme="9" tint="0.39997558519241921"/>
        </patternFill>
      </fill>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theme="0"/>
        </patternFill>
      </fill>
      <alignment horizontal="center" vertical="center" textRotation="0" wrapText="1" indent="0" relativeIndent="255" justifyLastLine="0" shrinkToFit="0" readingOrder="0"/>
      <border diagonalUp="0" diagonalDown="0" outline="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strike val="0"/>
        <outline val="0"/>
        <shadow val="0"/>
        <u val="none"/>
        <vertAlign val="baseline"/>
        <sz val="8"/>
        <name val="Calibri"/>
        <scheme val="minor"/>
      </font>
      <fill>
        <patternFill patternType="solid">
          <bgColor theme="9" tint="0.39997558519241921"/>
        </patternFill>
      </fill>
    </dxf>
    <dxf>
      <font>
        <strike val="0"/>
        <outline val="0"/>
        <shadow val="0"/>
        <u val="none"/>
        <vertAlign val="baseline"/>
        <sz val="8"/>
        <name val="Calibri"/>
        <scheme val="minor"/>
      </font>
      <fill>
        <patternFill patternType="solid">
          <bgColor theme="9" tint="0.39997558519241921"/>
        </patternFill>
      </fill>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outline="0">
        <left style="medium">
          <color indexed="64"/>
        </left>
        <right style="thin">
          <color indexed="64"/>
        </right>
        <top style="thin">
          <color indexed="64"/>
        </top>
        <bottom style="thin">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right style="thin">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mergeCell="0" readingOrder="0"/>
      <border diagonalUp="0" diagonalDown="0">
        <left style="thin">
          <color indexed="64"/>
        </left>
        <right style="thin">
          <color indexed="64"/>
        </right>
        <top/>
        <bottom style="thin">
          <color indexed="64"/>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0" justifyLastLine="0" shrinkToFit="0" mergeCell="0" readingOrder="0"/>
      <border diagonalUp="0" diagonalDown="0">
        <left/>
        <right style="thin">
          <color indexed="64"/>
        </right>
        <top/>
        <bottom style="thin">
          <color indexed="64"/>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left style="medium">
          <color indexed="64"/>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0"/>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0"/>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59999389629810485"/>
          <bgColor theme="9"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rgb="FFC00000"/>
        <name val="Calibri"/>
        <scheme val="minor"/>
      </font>
      <numFmt numFmtId="165" formatCode="&quot;+&quot;0"/>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val="0"/>
        <i val="0"/>
        <strike val="0"/>
        <condense val="0"/>
        <extend val="0"/>
        <outline val="0"/>
        <shadow val="0"/>
        <u val="none"/>
        <vertAlign val="baseline"/>
        <sz val="8"/>
        <color auto="1"/>
        <name val="Calibri"/>
        <scheme val="minor"/>
      </font>
      <numFmt numFmtId="165" formatCode="&quot;+&quot;0"/>
      <fill>
        <patternFill patternType="solid">
          <fgColor theme="4" tint="0.79998168889431442"/>
          <bgColor theme="8" tint="0.39997558519241921"/>
        </patternFill>
      </fill>
      <alignment horizontal="center" vertical="center" textRotation="0" wrapText="1" indent="0" relativeIndent="255" justifyLastLine="0" shrinkToFit="0" readingOrder="0"/>
      <border diagonalUp="0" diagonalDown="0">
        <left/>
        <right/>
        <top style="medium">
          <color auto="1"/>
        </top>
        <bottom style="medium">
          <color auto="1"/>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0" justifyLastLine="0" shrinkToFit="0" readingOrder="0"/>
      <border diagonalUp="0" diagonalDown="0">
        <left style="medium">
          <color indexed="64"/>
        </left>
        <right style="medium">
          <color indexed="64"/>
        </right>
        <top style="thin">
          <color indexed="64"/>
        </top>
        <bottom style="thin">
          <color indexed="64"/>
        </bottom>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bgColor theme="0"/>
        </patternFill>
      </fill>
    </dxf>
    <dxf>
      <border outline="0">
        <bottom style="medium">
          <color indexed="64"/>
        </bottom>
      </border>
    </dxf>
    <dxf>
      <font>
        <b/>
        <i val="0"/>
        <strike val="0"/>
        <condense val="0"/>
        <extend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color theme="0" tint="-0.24994659260841701"/>
      </font>
    </dxf>
    <dxf>
      <font>
        <color rgb="FFFF0000"/>
      </font>
    </dxf>
    <dxf>
      <fill>
        <patternFill>
          <bgColor theme="9" tint="-0.24994659260841701"/>
        </patternFill>
      </fill>
    </dxf>
    <dxf>
      <fill>
        <patternFill>
          <bgColor rgb="FFFF0000"/>
        </patternFill>
      </fill>
    </dxf>
    <dxf>
      <fill>
        <patternFill>
          <bgColor rgb="FFFF0000"/>
        </patternFill>
      </fill>
    </dxf>
    <dxf>
      <fill>
        <patternFill>
          <bgColor rgb="FF00B050"/>
        </patternFill>
      </fill>
    </dxf>
    <dxf>
      <font>
        <color theme="9" tint="-0.499984740745262"/>
      </font>
      <fill>
        <patternFill>
          <bgColor theme="9" tint="-0.499984740745262"/>
        </patternFill>
      </fill>
    </dxf>
    <dxf>
      <font>
        <color rgb="FFFF0000"/>
      </font>
      <fill>
        <patternFill>
          <bgColor rgb="FFFF0000"/>
        </patternFill>
      </fill>
    </dxf>
    <dxf>
      <fill>
        <patternFill>
          <bgColor theme="9" tint="-0.24994659260841701"/>
        </patternFill>
      </fill>
    </dxf>
    <dxf>
      <font>
        <color rgb="FFFF0000"/>
      </font>
      <fill>
        <patternFill>
          <bgColor rgb="FFFF0000"/>
        </patternFill>
      </fill>
    </dxf>
    <dxf>
      <font>
        <color rgb="FFC00000"/>
      </font>
      <fill>
        <patternFill>
          <bgColor rgb="FFC00000"/>
        </patternFill>
      </fill>
    </dxf>
    <dxf>
      <fill>
        <patternFill>
          <bgColor theme="9" tint="-0.24994659260841701"/>
        </patternFill>
      </fill>
    </dxf>
    <dxf>
      <font>
        <color rgb="FFC00000"/>
      </font>
      <fill>
        <patternFill>
          <bgColor rgb="FFC00000"/>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ill>
        <patternFill>
          <bgColor theme="9" tint="-0.24994659260841701"/>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ill>
        <patternFill>
          <bgColor rgb="FFFFFF00"/>
        </patternFill>
      </fill>
    </dxf>
    <dxf>
      <font>
        <color rgb="FFFF0000"/>
      </font>
      <fill>
        <patternFill>
          <bgColor rgb="FFFF0000"/>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ont>
        <color theme="9" tint="-0.499984740745262"/>
      </font>
      <fill>
        <patternFill>
          <bgColor theme="9" tint="-0.499984740745262"/>
        </patternFill>
      </fill>
    </dxf>
    <dxf>
      <fill>
        <patternFill>
          <bgColor theme="9" tint="-0.24994659260841701"/>
        </patternFill>
      </fill>
    </dxf>
    <dxf>
      <font>
        <color rgb="FFFF0000"/>
      </font>
      <fill>
        <patternFill>
          <bgColor rgb="FFFF0000"/>
        </patternFill>
      </fill>
    </dxf>
    <dxf>
      <font>
        <strike val="0"/>
        <outline val="0"/>
        <shadow val="0"/>
        <u val="none"/>
        <vertAlign val="baseline"/>
        <sz val="8"/>
        <name val="Calibri"/>
        <scheme val="minor"/>
      </font>
      <numFmt numFmtId="3" formatCode="#,##0"/>
      <fill>
        <patternFill>
          <fgColor indexed="64"/>
          <bgColor theme="0"/>
        </patternFill>
      </fill>
      <alignment horizontal="center" vertical="center" textRotation="0" wrapText="1" indent="0" relativeIndent="255"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8"/>
        <name val="Calibri"/>
        <scheme val="minor"/>
      </font>
      <numFmt numFmtId="14" formatCode="0.00%"/>
      <fill>
        <patternFill>
          <fgColor indexed="64"/>
          <bgColor theme="0"/>
        </patternFill>
      </fill>
      <alignment horizontal="center" vertical="center" textRotation="0" wrapText="1" indent="0" relativeIndent="255" justifyLastLine="0" shrinkToFit="0" readingOrder="0"/>
      <border diagonalUp="0" diagonalDown="0">
        <left/>
        <right style="thin">
          <color indexed="64"/>
        </right>
        <top style="thin">
          <color indexed="64"/>
        </top>
        <bottom style="thin">
          <color indexed="64"/>
        </bottom>
      </border>
      <protection locked="1" hidden="0"/>
    </dxf>
    <dxf>
      <font>
        <b/>
        <strike val="0"/>
        <outline val="0"/>
        <shadow val="0"/>
        <u val="none"/>
        <vertAlign val="baseline"/>
        <sz val="8"/>
        <color theme="0"/>
        <name val="Calibri"/>
        <scheme val="minor"/>
      </font>
      <fill>
        <patternFill patternType="solid">
          <fgColor indexed="64"/>
          <bgColor rgb="FF002060"/>
        </patternFill>
      </fill>
      <alignment vertical="center" textRotation="0" wrapText="1" indent="0" relativeIndent="255" justifyLastLine="0" shrinkToFit="0" readingOrder="0"/>
      <border diagonalUp="0" diagonalDown="0">
        <left style="medium">
          <color indexed="64"/>
        </left>
        <right style="medium">
          <color indexed="64"/>
        </right>
        <top style="thin">
          <color indexed="64"/>
        </top>
        <bottom style="thin">
          <color indexed="64"/>
        </bottom>
      </border>
      <protection locked="1" hidden="0"/>
    </dxf>
    <dxf>
      <border>
        <top style="thin">
          <color indexed="64"/>
        </top>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8"/>
        <name val="Calibri"/>
        <scheme val="minor"/>
      </font>
      <fill>
        <patternFill>
          <fgColor indexed="64"/>
          <bgColor theme="0"/>
        </patternFill>
      </fill>
      <alignment vertical="center" textRotation="0" wrapText="1" indent="0" relativeIndent="255" justifyLastLine="0" shrinkToFit="0" readingOrder="0"/>
      <protection locked="1" hidden="0"/>
    </dxf>
    <dxf>
      <border>
        <bottom style="medium">
          <color indexed="64"/>
        </bottom>
      </border>
    </dxf>
    <dxf>
      <font>
        <b/>
        <strike val="0"/>
        <outline val="0"/>
        <shadow val="0"/>
        <u val="none"/>
        <vertAlign val="baseline"/>
        <sz val="8"/>
        <color theme="0"/>
        <name val="Calibri"/>
        <scheme val="minor"/>
      </font>
      <fill>
        <patternFill patternType="solid">
          <fgColor indexed="64"/>
          <bgColor rgb="FF002060"/>
        </patternFill>
      </fill>
      <alignment horizontal="center" vertical="center" textRotation="0" wrapText="1" indent="0" relativeIndent="255" justifyLastLine="0" shrinkToFit="0" readingOrder="0"/>
      <border diagonalUp="0" diagonalDown="0">
        <left style="medium">
          <color auto="1"/>
        </left>
        <right style="medium">
          <color auto="1"/>
        </right>
        <top/>
        <bottom/>
      </border>
      <protection locked="1" hidden="0"/>
    </dxf>
    <dxf>
      <fill>
        <patternFill>
          <bgColor theme="9" tint="-0.24994659260841701"/>
        </patternFill>
      </fill>
    </dxf>
    <dxf>
      <font>
        <color auto="1"/>
      </font>
      <fill>
        <patternFill>
          <bgColor theme="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rgb="FFFF0000"/>
        </patternFill>
      </fill>
    </dxf>
    <dxf>
      <fill>
        <patternFill>
          <bgColor theme="9" tint="-0.24994659260841701"/>
        </patternFill>
      </fill>
    </dxf>
    <dxf>
      <font>
        <color rgb="FFFF0000"/>
      </font>
      <fill>
        <patternFill>
          <bgColor rgb="FFFF0000"/>
        </patternFill>
      </fill>
    </dxf>
    <dxf>
      <font>
        <color rgb="FFC00000"/>
      </font>
      <fill>
        <patternFill>
          <bgColor rgb="FFC00000"/>
        </patternFill>
      </fill>
    </dxf>
    <dxf>
      <font>
        <color theme="9" tint="-0.499984740745262"/>
      </font>
      <fill>
        <patternFill>
          <bgColor theme="9" tint="-0.499984740745262"/>
        </patternFill>
      </fill>
    </dxf>
    <dxf>
      <font>
        <color rgb="FFFF0000"/>
      </font>
      <fill>
        <patternFill>
          <bgColor rgb="FFFF0000"/>
        </patternFill>
      </fill>
    </dxf>
    <dxf>
      <fill>
        <patternFill>
          <bgColor theme="9" tint="-0.24994659260841701"/>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b val="0"/>
        <i val="0"/>
        <color auto="1"/>
      </font>
      <fill>
        <patternFill>
          <bgColor rgb="FFFFFF00"/>
        </patternFill>
      </fill>
    </dxf>
    <dxf>
      <fill>
        <patternFill>
          <bgColor rgb="FFFFFF00"/>
        </patternFill>
      </fill>
    </dxf>
    <dxf>
      <font>
        <color theme="9" tint="-0.499984740745262"/>
      </font>
      <fill>
        <patternFill>
          <bgColor theme="9" tint="-0.499984740745262"/>
        </patternFill>
      </fill>
    </dxf>
    <dxf>
      <font>
        <color rgb="FFC00000"/>
      </font>
      <fill>
        <patternFill>
          <bgColor rgb="FFC0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1" defaultTableStyle="TableStyleMedium9" defaultPivotStyle="PivotStyleLight16">
    <tableStyle name="Style de tableau 1" pivot="0" count="0"/>
  </tableStyles>
  <colors>
    <mruColors>
      <color rgb="FFA41EB2"/>
      <color rgb="FFB8D0E4"/>
      <color rgb="FFFF3399"/>
      <color rgb="FF0070C0"/>
      <color rgb="FF002060"/>
      <color rgb="FF007864"/>
      <color rgb="FF008C3C"/>
      <color rgb="FF009682"/>
      <color rgb="FFFF5A9F"/>
      <color rgb="FFFF78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lang val="fr-FR"/>
  <c:style val="26"/>
  <c:chart>
    <c:title>
      <c:tx>
        <c:rich>
          <a:bodyPr/>
          <a:lstStyle/>
          <a:p>
            <a:pPr>
              <a:defRPr sz="1100">
                <a:solidFill>
                  <a:schemeClr val="bg1"/>
                </a:solidFill>
              </a:defRPr>
            </a:pPr>
            <a:r>
              <a:rPr lang="fr-FR">
                <a:solidFill>
                  <a:sysClr val="windowText" lastClr="000000"/>
                </a:solidFill>
              </a:rPr>
              <a:t>Ressources Nécessaires</a:t>
            </a:r>
          </a:p>
        </c:rich>
      </c:tx>
      <c:layout/>
      <c:spPr>
        <a:noFill/>
        <a:ln>
          <a:solidFill>
            <a:schemeClr val="accent5">
              <a:lumMod val="20000"/>
              <a:lumOff val="80000"/>
            </a:schemeClr>
          </a:solidFill>
        </a:ln>
      </c:spPr>
    </c:title>
    <c:view3D>
      <c:rotX val="50"/>
      <c:perspective val="10"/>
    </c:view3D>
    <c:plotArea>
      <c:layout>
        <c:manualLayout>
          <c:layoutTarget val="inner"/>
          <c:xMode val="edge"/>
          <c:yMode val="edge"/>
          <c:x val="7.2029930257229133E-2"/>
          <c:y val="0.17578387114050001"/>
          <c:w val="0.68639384932463732"/>
          <c:h val="0.81532325135226236"/>
        </c:manualLayout>
      </c:layout>
      <c:pie3DChart>
        <c:varyColors val="1"/>
        <c:ser>
          <c:idx val="0"/>
          <c:order val="0"/>
          <c:spPr>
            <a:solidFill>
              <a:srgbClr val="4F81BD"/>
            </a:solidFill>
          </c:spPr>
          <c:dPt>
            <c:idx val="0"/>
            <c:spPr>
              <a:solidFill>
                <a:srgbClr val="FFC000"/>
              </a:solidFill>
            </c:spPr>
          </c:dPt>
          <c:dPt>
            <c:idx val="1"/>
            <c:spPr>
              <a:solidFill>
                <a:srgbClr val="A41EB2"/>
              </a:solidFill>
            </c:spPr>
          </c:dPt>
          <c:dPt>
            <c:idx val="2"/>
            <c:spPr>
              <a:solidFill>
                <a:schemeClr val="tx1"/>
              </a:solidFill>
            </c:spPr>
          </c:dPt>
          <c:dLbls>
            <c:dLbl>
              <c:idx val="0"/>
              <c:layout>
                <c:manualLayout>
                  <c:x val="-0.15792206173784673"/>
                  <c:y val="-0.19675151158495338"/>
                </c:manualLayout>
              </c:layout>
              <c:showVal val="1"/>
              <c:extLst>
                <c:ext xmlns:c15="http://schemas.microsoft.com/office/drawing/2012/chart" uri="{CE6537A1-D6FC-4f65-9D91-7224C49458BB}"/>
              </c:extLst>
            </c:dLbl>
            <c:dLbl>
              <c:idx val="1"/>
              <c:spPr/>
              <c:txPr>
                <a:bodyPr/>
                <a:lstStyle/>
                <a:p>
                  <a:pPr>
                    <a:defRPr>
                      <a:solidFill>
                        <a:schemeClr val="tx2">
                          <a:lumMod val="40000"/>
                          <a:lumOff val="60000"/>
                        </a:schemeClr>
                      </a:solidFill>
                    </a:defRPr>
                  </a:pPr>
                  <a:endParaRPr lang="fr-FR"/>
                </a:p>
              </c:txPr>
            </c:dLbl>
            <c:dLbl>
              <c:idx val="2"/>
              <c:layout>
                <c:manualLayout>
                  <c:x val="0.11189248770837858"/>
                  <c:y val="-2.277971717649849E-3"/>
                </c:manualLayout>
              </c:layout>
              <c:spPr/>
              <c:txPr>
                <a:bodyPr/>
                <a:lstStyle/>
                <a:p>
                  <a:pPr>
                    <a:defRPr>
                      <a:solidFill>
                        <a:srgbClr val="00B0F0"/>
                      </a:solidFill>
                    </a:defRPr>
                  </a:pPr>
                  <a:endParaRPr lang="fr-FR"/>
                </a:p>
              </c:txPr>
              <c:showVal val="1"/>
            </c:dLbl>
            <c:spPr>
              <a:noFill/>
              <a:ln>
                <a:noFill/>
              </a:ln>
              <a:effectLst/>
            </c:spPr>
            <c:showVal val="1"/>
            <c:showLeaderLines val="1"/>
            <c:extLst>
              <c:ext xmlns:c15="http://schemas.microsoft.com/office/drawing/2012/chart" uri="{CE6537A1-D6FC-4f65-9D91-7224C49458BB}"/>
            </c:extLst>
          </c:dLbls>
          <c:cat>
            <c:strRef>
              <c:f>'À Faire - Récapitulatif'!$Y$3:$Y$5</c:f>
              <c:strCache>
                <c:ptCount val="3"/>
                <c:pt idx="0">
                  <c:v>Or</c:v>
                </c:pt>
                <c:pt idx="1">
                  <c:v>Élixir</c:v>
                </c:pt>
                <c:pt idx="2">
                  <c:v>Élixir Noir</c:v>
                </c:pt>
              </c:strCache>
            </c:strRef>
          </c:cat>
          <c:val>
            <c:numRef>
              <c:f>'À Faire - Récapitulatif'!$Z$3:$Z$5</c:f>
              <c:numCache>
                <c:formatCode>#,##0</c:formatCode>
                <c:ptCount val="3"/>
                <c:pt idx="0">
                  <c:v>51400</c:v>
                </c:pt>
                <c:pt idx="1">
                  <c:v>27800</c:v>
                </c:pt>
                <c:pt idx="2">
                  <c:v>0</c:v>
                </c:pt>
              </c:numCache>
            </c:numRef>
          </c:val>
        </c:ser>
        <c:dLbls>
          <c:showVal val="1"/>
        </c:dLbls>
      </c:pie3DChart>
      <c:spPr>
        <a:noFill/>
        <a:ln w="25400">
          <a:noFill/>
        </a:ln>
      </c:spPr>
    </c:plotArea>
    <c:legend>
      <c:legendPos val="r"/>
      <c:legendEntry>
        <c:idx val="1"/>
        <c:txPr>
          <a:bodyPr/>
          <a:lstStyle/>
          <a:p>
            <a:pPr rtl="0">
              <a:defRPr sz="800">
                <a:solidFill>
                  <a:schemeClr val="tx2">
                    <a:lumMod val="40000"/>
                    <a:lumOff val="60000"/>
                  </a:schemeClr>
                </a:solidFill>
              </a:defRPr>
            </a:pPr>
            <a:endParaRPr lang="fr-FR"/>
          </a:p>
        </c:txPr>
      </c:legendEntry>
      <c:legendEntry>
        <c:idx val="2"/>
        <c:txPr>
          <a:bodyPr/>
          <a:lstStyle/>
          <a:p>
            <a:pPr rtl="0">
              <a:defRPr sz="800">
                <a:solidFill>
                  <a:srgbClr val="00B0F0"/>
                </a:solidFill>
              </a:defRPr>
            </a:pPr>
            <a:endParaRPr lang="fr-FR"/>
          </a:p>
        </c:txPr>
      </c:legendEntry>
      <c:layout/>
      <c:txPr>
        <a:bodyPr/>
        <a:lstStyle/>
        <a:p>
          <a:pPr rtl="0">
            <a:defRPr sz="800"/>
          </a:pPr>
          <a:endParaRPr lang="fr-FR"/>
        </a:p>
      </c:txPr>
    </c:legend>
    <c:plotVisOnly val="1"/>
    <c:dispBlanksAs val="zero"/>
  </c:chart>
  <c:spPr>
    <a:solidFill>
      <a:schemeClr val="accent5">
        <a:lumMod val="20000"/>
        <a:lumOff val="80000"/>
      </a:schemeClr>
    </a:solidFill>
    <a:ln>
      <a:solidFill>
        <a:schemeClr val="tx1"/>
      </a:solidFill>
    </a:ln>
  </c:spPr>
  <c:printSettings>
    <c:headerFooter/>
    <c:pageMargins b="0.75000000000001465" l="0.70000000000000062" r="0.70000000000000062" t="0.75000000000001465"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17</xdr:col>
      <xdr:colOff>92766</xdr:colOff>
      <xdr:row>0</xdr:row>
      <xdr:rowOff>19050</xdr:rowOff>
    </xdr:from>
    <xdr:to>
      <xdr:col>17</xdr:col>
      <xdr:colOff>371133</xdr:colOff>
      <xdr:row>0</xdr:row>
      <xdr:rowOff>296778</xdr:rowOff>
    </xdr:to>
    <xdr:pic macro="[0]!Cout_Periode">
      <xdr:nvPicPr>
        <xdr:cNvPr id="6" name="Image 5"/>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8627166" y="19050"/>
          <a:ext cx="278367" cy="277728"/>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247650</xdr:colOff>
      <xdr:row>27</xdr:row>
      <xdr:rowOff>57150</xdr:rowOff>
    </xdr:from>
    <xdr:to>
      <xdr:col>22</xdr:col>
      <xdr:colOff>47624</xdr:colOff>
      <xdr:row>40</xdr:row>
      <xdr:rowOff>81998</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2" name="GAINS" displayName="GAINS" ref="I17:K25" totalsRowShown="0" headerRowDxfId="1692" dataDxfId="1690" headerRowBorderDxfId="1691" tableBorderDxfId="1689" totalsRowBorderDxfId="1688">
  <autoFilter ref="I17:K25"/>
  <tableColumns count="3">
    <tableColumn id="1" name="Type" dataDxfId="1687"/>
    <tableColumn id="2" name="%" dataDxfId="1686"/>
    <tableColumn id="3" name="Gain Maximum" dataDxfId="1685"/>
  </tableColumns>
  <tableStyleInfo name="TableStyleMedium9" showFirstColumn="0" showLastColumn="0" showRowStripes="1" showColumnStripes="0"/>
</table>
</file>

<file path=xl/tables/table2.xml><?xml version="1.0" encoding="utf-8"?>
<table xmlns="http://schemas.openxmlformats.org/spreadsheetml/2006/main" id="4" name="CHANGES_Buildings_Resource" displayName="CHANGES_Buildings_Resource" ref="O2:AA14" totalsRowShown="0" headerRowDxfId="1640" dataDxfId="1638" headerRowBorderDxfId="1639" tableBorderDxfId="1637">
  <autoFilter ref="O2:AA14"/>
  <tableColumns count="13">
    <tableColumn id="1" name="LVL HdV" dataDxfId="1636"/>
    <tableColumn id="2" name="Mine d'Or" dataDxfId="1635"/>
    <tableColumn id="3" name="LVL Max" dataDxfId="1634"/>
    <tableColumn id="4" name="Extracteur d'Élixir" dataDxfId="1633"/>
    <tableColumn id="5" name="LVL Max2" dataDxfId="1632"/>
    <tableColumn id="6" name="Foreuse d'Élixir Noir" dataDxfId="1631"/>
    <tableColumn id="7" name="LVL Max3" dataDxfId="1630"/>
    <tableColumn id="8" name="Réserve d'Or" dataDxfId="1629"/>
    <tableColumn id="9" name="LVL Max4" dataDxfId="1628"/>
    <tableColumn id="10" name="Réservoir d'Élixir" dataDxfId="1627"/>
    <tableColumn id="11" name="LVL Max5" dataDxfId="1626"/>
    <tableColumn id="12" name="Réservoir d'Élixir Noir" dataDxfId="1625"/>
    <tableColumn id="13" name="LVL Max6" dataDxfId="1624"/>
  </tableColumns>
  <tableStyleInfo name="TableStyleMedium9" showFirstColumn="0" showLastColumn="0" showRowStripes="1" showColumnStripes="0"/>
</table>
</file>

<file path=xl/tables/table3.xml><?xml version="1.0" encoding="utf-8"?>
<table xmlns="http://schemas.openxmlformats.org/spreadsheetml/2006/main" id="5" name="AVAILABLE_Buildings_Resource" displayName="AVAILABLE_Buildings_Resource" ref="A2:M14" totalsRowShown="0" headerRowDxfId="1623" dataDxfId="1621" headerRowBorderDxfId="1622" tableBorderDxfId="1620">
  <autoFilter ref="A2:M14"/>
  <tableColumns count="13">
    <tableColumn id="1" name="LVL HdV" dataDxfId="1619"/>
    <tableColumn id="2" name="Mine d'Or" dataDxfId="1618"/>
    <tableColumn id="3" name="LVL Max" dataDxfId="1617"/>
    <tableColumn id="4" name="Extracteur d'Élixir" dataDxfId="1616"/>
    <tableColumn id="5" name="LVL Max2" dataDxfId="1615"/>
    <tableColumn id="6" name="Foreuse d'Élixir Noir" dataDxfId="1614"/>
    <tableColumn id="7" name="LVL Max3" dataDxfId="1613"/>
    <tableColumn id="8" name="Réserve d'Or" dataDxfId="1612"/>
    <tableColumn id="9" name="LVL Max4" dataDxfId="1611"/>
    <tableColumn id="10" name="Réservoir d'Élixir" dataDxfId="1610"/>
    <tableColumn id="11" name="LVL Max5" dataDxfId="1609"/>
    <tableColumn id="12" name="Réservoir d'Élixir Noir" dataDxfId="1608"/>
    <tableColumn id="13" name="LVL Max6" dataDxfId="1607"/>
  </tableColumns>
  <tableStyleInfo name="TableStyleMedium9" showFirstColumn="0" showLastColumn="0" showRowStripes="1" showColumnStripes="0"/>
</table>
</file>

<file path=xl/tables/table4.xml><?xml version="1.0" encoding="utf-8"?>
<table xmlns="http://schemas.openxmlformats.org/spreadsheetml/2006/main" id="46" name="CHANGES_Buildings_Army" displayName="CHANGES_Buildings_Army" ref="O17:AA29" totalsRowShown="0" headerRowDxfId="1606" dataDxfId="1604" headerRowBorderDxfId="1605" tableBorderDxfId="1603">
  <autoFilter ref="O17:AA29"/>
  <tableColumns count="13">
    <tableColumn id="1" name="LVL HdV" dataDxfId="1602"/>
    <tableColumn id="14" name="Caserne" dataDxfId="1601"/>
    <tableColumn id="15" name="LVL Max" dataDxfId="1600"/>
    <tableColumn id="16" name="Caserne Noire" dataDxfId="1599"/>
    <tableColumn id="17" name="LVL Max2" dataDxfId="1598"/>
    <tableColumn id="18" name="Camp Militaire" dataDxfId="1597"/>
    <tableColumn id="19" name="LVL Max3" dataDxfId="1596"/>
    <tableColumn id="20" name="Laboratoire" dataDxfId="1595"/>
    <tableColumn id="21" name="LVL Max4" dataDxfId="1594"/>
    <tableColumn id="22" name="Usine de Sorts" dataDxfId="1593"/>
    <tableColumn id="23" name="LVL Max5" dataDxfId="1592"/>
    <tableColumn id="2" name="Usine de Sorts Noirs" dataDxfId="1591"/>
    <tableColumn id="3" name="LVL Max7" dataDxfId="1590"/>
  </tableColumns>
  <tableStyleInfo name="TableStyleMedium9" showFirstColumn="0" showLastColumn="0" showRowStripes="1" showColumnStripes="0"/>
</table>
</file>

<file path=xl/tables/table5.xml><?xml version="1.0" encoding="utf-8"?>
<table xmlns="http://schemas.openxmlformats.org/spreadsheetml/2006/main" id="42" name="AVAILABLE_Buildings_Army" displayName="AVAILABLE_Buildings_Army" ref="A17:M29" totalsRowShown="0" headerRowDxfId="1589" dataDxfId="1587" headerRowBorderDxfId="1588" tableBorderDxfId="1586">
  <autoFilter ref="A17:M29"/>
  <tableColumns count="13">
    <tableColumn id="1" name="LVL HdV" dataDxfId="1585"/>
    <tableColumn id="14" name="Caserne" dataDxfId="1584"/>
    <tableColumn id="15" name="LVL Max" dataDxfId="1583"/>
    <tableColumn id="16" name="Caserne Noire" dataDxfId="1582"/>
    <tableColumn id="17" name="LVL Max2" dataDxfId="1581"/>
    <tableColumn id="18" name="Camp Militaire" dataDxfId="1580"/>
    <tableColumn id="19" name="LVL Max3" dataDxfId="1579"/>
    <tableColumn id="20" name="Laboratoire" dataDxfId="1578"/>
    <tableColumn id="21" name="LVL Max4" dataDxfId="1577"/>
    <tableColumn id="22" name="Usine de Sorts" dataDxfId="1576"/>
    <tableColumn id="23" name="LVL Max5" dataDxfId="1575"/>
    <tableColumn id="2" name="Usine de Sorts Noirs" dataDxfId="1574"/>
    <tableColumn id="3" name="LVL Max7" dataDxfId="1573"/>
  </tableColumns>
  <tableStyleInfo name="TableStyleMedium9" showFirstColumn="0" showLastColumn="0" showRowStripes="1" showColumnStripes="0"/>
</table>
</file>

<file path=xl/tables/table6.xml><?xml version="1.0" encoding="utf-8"?>
<table xmlns="http://schemas.openxmlformats.org/spreadsheetml/2006/main" id="47" name="CHANGES_Buildings_Other" displayName="CHANGES_Buildings_Other" ref="G62:K74" totalsRowShown="0" headerRowDxfId="1572" dataDxfId="1570" headerRowBorderDxfId="1571" tableBorderDxfId="1569">
  <autoFilter ref="G62:K74"/>
  <tableColumns count="5">
    <tableColumn id="1" name="LVL HdV" dataDxfId="1568"/>
    <tableColumn id="24" name="Château de Clan" dataDxfId="1567"/>
    <tableColumn id="25" name="LVL Max" dataDxfId="1566"/>
    <tableColumn id="26" name="Hôtel de Ville" dataDxfId="1565">
      <calculatedColumnFormula>D63-D62</calculatedColumnFormula>
    </tableColumn>
    <tableColumn id="27" name="LVL Max2" dataDxfId="1564">
      <calculatedColumnFormula>E63-E62</calculatedColumnFormula>
    </tableColumn>
  </tableColumns>
  <tableStyleInfo name="TableStyleMedium9" showFirstColumn="0" showLastColumn="0" showRowStripes="1" showColumnStripes="0"/>
</table>
</file>

<file path=xl/tables/table7.xml><?xml version="1.0" encoding="utf-8"?>
<table xmlns="http://schemas.openxmlformats.org/spreadsheetml/2006/main" id="48" name="AVAILABLE_Buildings_Other" displayName="AVAILABLE_Buildings_Other" ref="A62:E74" totalsRowShown="0" headerRowDxfId="1563" dataDxfId="1561" headerRowBorderDxfId="1562" tableBorderDxfId="1560">
  <autoFilter ref="A62:E74"/>
  <tableColumns count="5">
    <tableColumn id="1" name="LVL HdV" dataDxfId="1559"/>
    <tableColumn id="24" name="Château de Clan" dataDxfId="1558"/>
    <tableColumn id="25" name="LVL Max" dataDxfId="1557"/>
    <tableColumn id="26" name="Hôtel de Ville" dataDxfId="1556"/>
    <tableColumn id="27" name="LVL Max2" dataDxfId="1555"/>
  </tableColumns>
  <tableStyleInfo name="TableStyleMedium9" showFirstColumn="0" showLastColumn="0" showRowStripes="1" showColumnStripes="0"/>
</table>
</file>

<file path=xl/tables/table8.xml><?xml version="1.0" encoding="utf-8"?>
<table xmlns="http://schemas.openxmlformats.org/spreadsheetml/2006/main" id="1" name="AVAILABLE_Buildings_Defensive" displayName="AVAILABLE_Buildings_Defensive" ref="A32:W44" totalsRowShown="0" headerRowDxfId="1554" dataDxfId="1552" headerRowBorderDxfId="1553" tableBorderDxfId="1551">
  <autoFilter ref="A32:W44">
    <filterColumn colId="21"/>
    <filterColumn colId="22"/>
  </autoFilter>
  <tableColumns count="23">
    <tableColumn id="1" name="LVL HdV" dataDxfId="1550"/>
    <tableColumn id="2" name="Rempart" dataDxfId="1549"/>
    <tableColumn id="3" name="LVL Max" dataDxfId="1548"/>
    <tableColumn id="4" name="Canon" dataDxfId="1547"/>
    <tableColumn id="5" name="LVL Max2" dataDxfId="1546"/>
    <tableColumn id="6" name="Tour d'Archers" dataDxfId="1545"/>
    <tableColumn id="7" name="LVL Max3" dataDxfId="1544"/>
    <tableColumn id="8" name="Mortier" dataDxfId="1543"/>
    <tableColumn id="9" name="LVL Max4" dataDxfId="1542"/>
    <tableColumn id="10" name="Défense Antiaérienne" dataDxfId="1541"/>
    <tableColumn id="11" name="LVL Max5" dataDxfId="1540"/>
    <tableColumn id="12" name="Tour de Sorciers" dataDxfId="1539"/>
    <tableColumn id="13" name="LVL Max6" dataDxfId="1538"/>
    <tableColumn id="21" name="Propulseur d'air" dataDxfId="1537"/>
    <tableColumn id="20" name="LVL Max62" dataDxfId="1536"/>
    <tableColumn id="14" name="Tesla Camouflée" dataDxfId="1535"/>
    <tableColumn id="15" name="LVL Max7" dataDxfId="1534"/>
    <tableColumn id="16" name="Arc-X" dataDxfId="1533"/>
    <tableColumn id="17" name="LVL Max8" dataDxfId="1532"/>
    <tableColumn id="18" name="Tour de l'Enfer" dataDxfId="1531"/>
    <tableColumn id="19" name="LVL Max9" dataDxfId="1530"/>
    <tableColumn id="23" name="Aigle Artilleur" dataDxfId="1529"/>
    <tableColumn id="24" name="LVL Max11" dataDxfId="1528"/>
  </tableColumns>
  <tableStyleInfo name="TableStyleMedium9" showFirstColumn="0" showLastColumn="0" showRowStripes="1" showColumnStripes="0"/>
</table>
</file>

<file path=xl/tables/table9.xml><?xml version="1.0" encoding="utf-8"?>
<table xmlns="http://schemas.openxmlformats.org/spreadsheetml/2006/main" id="2" name="AVAILABLE_Traps" displayName="AVAILABLE_Traps" ref="A47:M59" totalsRowShown="0" headerRowDxfId="1527" headerRowBorderDxfId="1526" tableBorderDxfId="1525">
  <autoFilter ref="A47:M59"/>
  <tableColumns count="13">
    <tableColumn id="13" name="LVL HdV" dataDxfId="1524"/>
    <tableColumn id="1" name="Bombe" dataDxfId="1523"/>
    <tableColumn id="2" name="LVL Max33" dataDxfId="1522"/>
    <tableColumn id="3" name="Piège à ressort" dataDxfId="1521"/>
    <tableColumn id="4" name="LVL Max35" dataDxfId="1520"/>
    <tableColumn id="5" name="Bombe géante" dataDxfId="1519"/>
    <tableColumn id="6" name="LVL Max37" dataDxfId="1518"/>
    <tableColumn id="7" name="Bombe aérienne" dataDxfId="1517"/>
    <tableColumn id="8" name="LVL Max39" dataDxfId="1516"/>
    <tableColumn id="9" name="Tête chercheuse" dataDxfId="1515"/>
    <tableColumn id="10" name="LVL Max41" dataDxfId="1514"/>
    <tableColumn id="11" name="Piège squelettique" dataDxfId="1513"/>
    <tableColumn id="12" name="LVL Max43" dataDxfId="1512"/>
  </tableColumns>
  <tableStyleInfo name="TableStyleMedium9" showFirstColumn="0" showLastColumn="0" showRowStripes="1" showColumnStripes="0"/>
</table>
</file>

<file path=xl/tables/table10.xml><?xml version="1.0" encoding="utf-8"?>
<table xmlns="http://schemas.openxmlformats.org/spreadsheetml/2006/main" id="3" name="CHANGES_Buildings_Defensive" displayName="CHANGES_Buildings_Defensive" ref="AA32:AW44" totalsRowShown="0" headerRowDxfId="1511" dataDxfId="1509" headerRowBorderDxfId="1510" tableBorderDxfId="1508">
  <autoFilter ref="AA32:AW44">
    <filterColumn colId="21"/>
    <filterColumn colId="22"/>
  </autoFilter>
  <tableColumns count="23">
    <tableColumn id="1" name="LVL HdV" dataDxfId="1507"/>
    <tableColumn id="2" name="Rempart" dataDxfId="1506">
      <calculatedColumnFormula>"+"&amp;Bâtiments!B34-Bâtiments!B32</calculatedColumnFormula>
    </tableColumn>
    <tableColumn id="3" name="LVL Max" dataDxfId="1505">
      <calculatedColumnFormula>"+"&amp;Bâtiments!C34-Bâtiments!C32</calculatedColumnFormula>
    </tableColumn>
    <tableColumn id="4" name="Canon" dataDxfId="1504"/>
    <tableColumn id="5" name="LVL Max2" dataDxfId="1503"/>
    <tableColumn id="6" name="Tour d'Archers" dataDxfId="1502"/>
    <tableColumn id="7" name="LVL Max3" dataDxfId="1501"/>
    <tableColumn id="39" name="Mortier" dataDxfId="1500">
      <calculatedColumnFormula>P33-P32</calculatedColumnFormula>
    </tableColumn>
    <tableColumn id="40" name="LVL Max43" dataDxfId="1499">
      <calculatedColumnFormula>Q33-Q32</calculatedColumnFormula>
    </tableColumn>
    <tableColumn id="41" name="Défense Antiaérienne" dataDxfId="1498">
      <calculatedColumnFormula>R33-R32</calculatedColumnFormula>
    </tableColumn>
    <tableColumn id="42" name="LVL Max55" dataDxfId="1497">
      <calculatedColumnFormula>S33-S32</calculatedColumnFormula>
    </tableColumn>
    <tableColumn id="43" name="Tour de Sorciers" dataDxfId="1496">
      <calculatedColumnFormula>L33-L32</calculatedColumnFormula>
    </tableColumn>
    <tableColumn id="44" name="LVL Max6" dataDxfId="1495">
      <calculatedColumnFormula>M33-M32</calculatedColumnFormula>
    </tableColumn>
    <tableColumn id="8" name="Propulsion d'air" dataDxfId="1494"/>
    <tableColumn id="9" name="LVL Max6." dataDxfId="1493"/>
    <tableColumn id="45" name="Tesla Camouflée" dataDxfId="1492">
      <calculatedColumnFormula>P33-P32</calculatedColumnFormula>
    </tableColumn>
    <tableColumn id="46" name="LVL Max7" dataDxfId="1491">
      <calculatedColumnFormula>Q33-Q32</calculatedColumnFormula>
    </tableColumn>
    <tableColumn id="47" name="Arc-X" dataDxfId="1490">
      <calculatedColumnFormula>R33-R32</calculatedColumnFormula>
    </tableColumn>
    <tableColumn id="48" name="LVL Max8" dataDxfId="1489">
      <calculatedColumnFormula>S33-S32</calculatedColumnFormula>
    </tableColumn>
    <tableColumn id="49" name="Tour de l'Enfer" dataDxfId="1488">
      <calculatedColumnFormula>T33-T32</calculatedColumnFormula>
    </tableColumn>
    <tableColumn id="50" name="LVL Max4" dataDxfId="1487">
      <calculatedColumnFormula>U33-U32</calculatedColumnFormula>
    </tableColumn>
    <tableColumn id="10" name="Aigle Artilleur" dataDxfId="1486"/>
    <tableColumn id="11" name="LVL Max5" dataDxfId="1485"/>
  </tableColumns>
  <tableStyleInfo name="TableStyleMedium9" showFirstColumn="0" showLastColumn="0" showRowStripes="1" showColumnStripes="0"/>
</table>
</file>

<file path=xl/tables/table11.xml><?xml version="1.0" encoding="utf-8"?>
<table xmlns="http://schemas.openxmlformats.org/spreadsheetml/2006/main" id="89" name="CHANGE_Traps" displayName="CHANGE_Traps" ref="O47:AA59" totalsRowShown="0" headerRowDxfId="1484" headerRowBorderDxfId="1483" tableBorderDxfId="1482" totalsRowBorderDxfId="1481">
  <autoFilter ref="O47:AA59"/>
  <tableColumns count="13">
    <tableColumn id="13" name="LVL HdV" dataDxfId="1480"/>
    <tableColumn id="1" name="Bombe" dataDxfId="1479">
      <calculatedColumnFormula>B48-B47</calculatedColumnFormula>
    </tableColumn>
    <tableColumn id="2" name="LVL Max" dataDxfId="1478">
      <calculatedColumnFormula>C48-C47</calculatedColumnFormula>
    </tableColumn>
    <tableColumn id="3" name="Piège à ressort" dataDxfId="1477">
      <calculatedColumnFormula>D48-D47</calculatedColumnFormula>
    </tableColumn>
    <tableColumn id="4" name="LVL Max2" dataDxfId="1476">
      <calculatedColumnFormula>E48-E47</calculatedColumnFormula>
    </tableColumn>
    <tableColumn id="5" name="Bombe géante" dataDxfId="1475">
      <calculatedColumnFormula>F48-F47</calculatedColumnFormula>
    </tableColumn>
    <tableColumn id="6" name="LVL Max3" dataDxfId="1474">
      <calculatedColumnFormula>G48-G47</calculatedColumnFormula>
    </tableColumn>
    <tableColumn id="12" name="Bombe aérienne" dataDxfId="1473">
      <calculatedColumnFormula>G48</calculatedColumnFormula>
    </tableColumn>
    <tableColumn id="11" name="LVL Max32" dataDxfId="1472"/>
    <tableColumn id="7" name="Tête chercheuse" dataDxfId="1471">
      <calculatedColumnFormula>H48-H47</calculatedColumnFormula>
    </tableColumn>
    <tableColumn id="8" name="LVL Max4" dataDxfId="1470">
      <calculatedColumnFormula>I48-I47</calculatedColumnFormula>
    </tableColumn>
    <tableColumn id="9" name="Piège squelettique" dataDxfId="1469">
      <calculatedColumnFormula>J48-J47</calculatedColumnFormula>
    </tableColumn>
    <tableColumn id="10" name="LVL Max5" dataDxfId="1468">
      <calculatedColumnFormula>K48-K47</calculatedColumnFormula>
    </tableColumn>
  </tableColumns>
  <tableStyleInfo name="TableStyleLight1" showFirstColumn="0" showLastColumn="0" showRowStripes="1" showColumnStripes="0"/>
</table>
</file>

<file path=xl/tables/table12.xml><?xml version="1.0" encoding="utf-8"?>
<table xmlns="http://schemas.openxmlformats.org/spreadsheetml/2006/main" id="38" name="AVAILABLE_Upgrades_Spells" displayName="AVAILABLE_Upgrades_Spells" ref="A2:K14" totalsRowShown="0" headerRowDxfId="1467" dataDxfId="1465" headerRowBorderDxfId="1466" tableBorderDxfId="1464">
  <autoFilter ref="A2:K14"/>
  <tableColumns count="11">
    <tableColumn id="1" name="LVL" dataDxfId="1463"/>
    <tableColumn id="2" name="Sort de Foudre" dataDxfId="1462">
      <calculatedColumnFormula>IF(Paramètres!$L$46=0,0,VLOOKUP(Paramètres!$L$47,SPELLFACTORY_Spells[#All],2))</calculatedColumnFormula>
    </tableColumn>
    <tableColumn id="3" name="LVL Max" dataDxfId="1461">
      <calculatedColumnFormula>IF($B3=0,0,IF(SUM(Paramètres!$K$6:$K$45)&lt;&gt;Paramètres!$K$3,0,VLOOKUP(MATCH(1,Paramètres!$K$6:$K$45,0),LABO_Spells[#All],2)))</calculatedColumnFormula>
    </tableColumn>
    <tableColumn id="4" name="Sort de Guérison" dataDxfId="1460">
      <calculatedColumnFormula>IF(Paramètres!$L$46=0,0,VLOOKUP(Paramètres!$L$47,SPELLFACTORY_Spells[#All],3))</calculatedColumnFormula>
    </tableColumn>
    <tableColumn id="5" name="LVL Max2" dataDxfId="1459">
      <calculatedColumnFormula>IF($D3=0,0,IF(SUM(Paramètres!$K$6:$K$45)&lt;&gt;Paramètres!$K$3,0,VLOOKUP(MATCH(1,Paramètres!$K$6:$K$45,0),LABO_Spells[#All],3)))</calculatedColumnFormula>
    </tableColumn>
    <tableColumn id="6" name="Sort de Rage" dataDxfId="1458">
      <calculatedColumnFormula>IF(Paramètres!$L$46=0,0,VLOOKUP(Paramètres!$L$47,SPELLFACTORY_Spells[#All],4))</calculatedColumnFormula>
    </tableColumn>
    <tableColumn id="7" name="LVL Max3" dataDxfId="1457">
      <calculatedColumnFormula>IF($F3=0,0,IF(SUM(Paramètres!$K$6:$K$45)&lt;&gt;Paramètres!$K$3,0,VLOOKUP(MATCH(1,Paramètres!$K$6:$K$45,0),LABO_Spells[#All],4)))</calculatedColumnFormula>
    </tableColumn>
    <tableColumn id="8" name="Sort de Saut" dataDxfId="1456">
      <calculatedColumnFormula>IF(Paramètres!$L$46=0,0,VLOOKUP(Paramètres!$L$47,SPELLFACTORY_Spells[#All],5))</calculatedColumnFormula>
    </tableColumn>
    <tableColumn id="9" name="LVL Max4" dataDxfId="1455">
      <calculatedColumnFormula>IF($H3=0,0,IF(SUM(Paramètres!$K$6:$K$45)&lt;&gt;Paramètres!$K$3,0,VLOOKUP(MATCH(1,Paramètres!$K$6:$K$45,0),LABO_Spells[#All],5)))</calculatedColumnFormula>
    </tableColumn>
    <tableColumn id="10" name="Sort de Gel" dataDxfId="1454">
      <calculatedColumnFormula>IF(Paramètres!$L$46=0,0,VLOOKUP(Paramètres!$L$47,SPELLFACTORY_Spells[#All],6))</calculatedColumnFormula>
    </tableColumn>
    <tableColumn id="11" name="LVL Max5" dataDxfId="1453">
      <calculatedColumnFormula>IF($J3=0,0,IF(SUM(Paramètres!$K$6:$K$45)&lt;&gt;Paramètres!$K$3,0,VLOOKUP(MATCH(1,Paramètres!$K$6:$K$45,0),LABO_Spells[#All],6)))</calculatedColumnFormula>
    </tableColumn>
  </tableColumns>
  <tableStyleInfo name="TableStyleMedium9" showFirstColumn="0" showLastColumn="0" showRowStripes="1" showColumnStripes="0"/>
</table>
</file>

<file path=xl/tables/table13.xml><?xml version="1.0" encoding="utf-8"?>
<table xmlns="http://schemas.openxmlformats.org/spreadsheetml/2006/main" id="39" name="CHANGES_Upgrades_Spells" displayName="CHANGES_Upgrades_Spells" ref="M2:W14" totalsRowShown="0" headerRowDxfId="1452" dataDxfId="1450" headerRowBorderDxfId="1451" tableBorderDxfId="1449">
  <autoFilter ref="M2:W14"/>
  <tableColumns count="11">
    <tableColumn id="1" name="LVL" dataDxfId="1448"/>
    <tableColumn id="2" name="Sort de Foudre" dataDxfId="1447"/>
    <tableColumn id="3" name="LVL Max" dataDxfId="1446"/>
    <tableColumn id="4" name="Sort de Guérison" dataDxfId="1445"/>
    <tableColumn id="5" name="LVL Max2" dataDxfId="1444"/>
    <tableColumn id="6" name="Sort de Rage" dataDxfId="1443"/>
    <tableColumn id="7" name="LVL Max3" dataDxfId="1442"/>
    <tableColumn id="8" name="Sort de Saut" dataDxfId="1441"/>
    <tableColumn id="9" name="LVL Max4" dataDxfId="1440"/>
    <tableColumn id="10" name="Sort de Gel" dataDxfId="1439"/>
    <tableColumn id="11" name="LVL Max5" dataDxfId="1438"/>
  </tableColumns>
  <tableStyleInfo name="TableStyleMedium9" showFirstColumn="0" showLastColumn="0" showRowStripes="1" showColumnStripes="0"/>
</table>
</file>

<file path=xl/tables/table14.xml><?xml version="1.0" encoding="utf-8"?>
<table xmlns="http://schemas.openxmlformats.org/spreadsheetml/2006/main" id="32" name="AVAILABLE_Upgrades_Normal_Troops" displayName="AVAILABLE_Upgrades_Normal_Troops" ref="A32:U44" totalsRowShown="0" headerRowDxfId="1437" dataDxfId="1435" headerRowBorderDxfId="1436" tableBorderDxfId="1434">
  <autoFilter ref="A32:U44"/>
  <tableColumns count="21">
    <tableColumn id="1" name="LVL HdV" dataDxfId="1433"/>
    <tableColumn id="2" name="Barbare" dataDxfId="1432">
      <calculatedColumnFormula>IF(Paramètres!$H$46=0,0,VLOOKUP(Paramètres!$H$47,BARRACK_Normal_Troops[#All],2))</calculatedColumnFormula>
    </tableColumn>
    <tableColumn id="3" name="LVL Max" dataDxfId="1431">
      <calculatedColumnFormula>IF($B33=0,0,IF(SUM(Paramètres!$K$6:$K$45)&lt;&gt;Paramètres!$K$3,0,VLOOKUP(MATCH(1,Paramètres!$K$6:$K$45,0),LABO_Normal_Troops[#All],2)))</calculatedColumnFormula>
    </tableColumn>
    <tableColumn id="4" name="Archer" dataDxfId="1430">
      <calculatedColumnFormula>IF(Paramètres!$H$46=0,0,VLOOKUP(Paramètres!$H$47,BARRACK_Normal_Troops[#All],3))</calculatedColumnFormula>
    </tableColumn>
    <tableColumn id="5" name="LVL Max2" dataDxfId="1429">
      <calculatedColumnFormula>IF($D33=0,0,IF(SUM(Paramètres!$K$6:$K$45)&lt;&gt;Paramètres!$K$3,0,VLOOKUP(MATCH(1,Paramètres!$K$6:$K$45,0),LABO_Normal_Troops[#All],3)))</calculatedColumnFormula>
    </tableColumn>
    <tableColumn id="6" name="Géant" dataDxfId="1428">
      <calculatedColumnFormula>IF(Paramètres!$H$46=0,0,VLOOKUP(Paramètres!$H$47,BARRACK_Normal_Troops[#All],4))</calculatedColumnFormula>
    </tableColumn>
    <tableColumn id="7" name="LVL Max3" dataDxfId="1427">
      <calculatedColumnFormula>IF($F33=0,0,IF(SUM(Paramètres!$K$6:$K$45)&lt;&gt;Paramètres!$K$3,0,VLOOKUP(MATCH(1,Paramètres!$K$6:$K$45,0),LABO_Normal_Troops[#All],4)))</calculatedColumnFormula>
    </tableColumn>
    <tableColumn id="8" name="Gobelin" dataDxfId="1426">
      <calculatedColumnFormula>IF(Paramètres!$H$46=0,0,VLOOKUP(Paramètres!$H$47,BARRACK_Normal_Troops[#All],5))</calculatedColumnFormula>
    </tableColumn>
    <tableColumn id="9" name="LVL Max4" dataDxfId="1425">
      <calculatedColumnFormula>IF($H33=0,0,IF(SUM(Paramètres!$K$6:$K$45)&lt;&gt;Paramètres!$K$3,0,VLOOKUP(MATCH(1,Paramètres!$K$6:$K$45,0),LABO_Normal_Troops[#All],5)))</calculatedColumnFormula>
    </tableColumn>
    <tableColumn id="10" name="Sapeur" dataDxfId="1424">
      <calculatedColumnFormula>IF(Paramètres!$H$46=0,0,VLOOKUP(Paramètres!$H$47,BARRACK_Normal_Troops[#All],6))</calculatedColumnFormula>
    </tableColumn>
    <tableColumn id="11" name="LVL Max5" dataDxfId="1423">
      <calculatedColumnFormula>IF($J33=0,0,IF(SUM(Paramètres!$K$6:$K$45)&lt;&gt;Paramètres!$K$3,0,VLOOKUP(MATCH(1,Paramètres!$K$6:$K$45,0),LABO_Normal_Troops[#All],6)))</calculatedColumnFormula>
    </tableColumn>
    <tableColumn id="12" name="Ballon" dataDxfId="1422">
      <calculatedColumnFormula>IF(Paramètres!$H$46=0,0,VLOOKUP(Paramètres!$H$47,BARRACK_Normal_Troops[#All],7))</calculatedColumnFormula>
    </tableColumn>
    <tableColumn id="13" name="LVL Max6" dataDxfId="1421">
      <calculatedColumnFormula>IF($L33=0,0,IF(SUM(Paramètres!$K$6:$K$45)&lt;&gt;Paramètres!$K$3,0,VLOOKUP(MATCH(1,Paramètres!$K$6:$K$45,0),LABO_Normal_Troops[#All],7)))</calculatedColumnFormula>
    </tableColumn>
    <tableColumn id="14" name="Sorcier" dataDxfId="1420">
      <calculatedColumnFormula>IF(Paramètres!$H$46=0,0,VLOOKUP(Paramètres!$H$47,BARRACK_Normal_Troops[#All],8))</calculatedColumnFormula>
    </tableColumn>
    <tableColumn id="15" name="LVL Max7" dataDxfId="1419">
      <calculatedColumnFormula>IF($N33=0,0,IF(SUM(Paramètres!$K$6:$K$45)&lt;&gt;Paramètres!$K$3,0,VLOOKUP(MATCH(1,Paramètres!$K$6:$K$45,0),LABO_Normal_Troops[#All],8)))</calculatedColumnFormula>
    </tableColumn>
    <tableColumn id="16" name="Guérisseuse" dataDxfId="1418">
      <calculatedColumnFormula>IF(Paramètres!$H$46=0,0,VLOOKUP(Paramètres!$H$47,BARRACK_Normal_Troops[#All],9))</calculatedColumnFormula>
    </tableColumn>
    <tableColumn id="17" name="LVL Max8" dataDxfId="1417">
      <calculatedColumnFormula>IF($P33=0,0,IF(SUM(Paramètres!$K$6:$K$45)&lt;&gt;Paramètres!$K$3,0,VLOOKUP(MATCH(1,Paramètres!$K$6:$K$45,0),LABO_Normal_Troops[#All],9)))</calculatedColumnFormula>
    </tableColumn>
    <tableColumn id="18" name="Dragon" dataDxfId="1416">
      <calculatedColumnFormula>IF(Paramètres!$H$46=0,0,VLOOKUP(Paramètres!$H$47,BARRACK_Normal_Troops[#All],10))</calculatedColumnFormula>
    </tableColumn>
    <tableColumn id="19" name="LVL Max9" dataDxfId="1415">
      <calculatedColumnFormula>IF($R33=0,0,IF(SUM(Paramètres!$K$6:$K$45)&lt;&gt;Paramètres!$K$3,0,VLOOKUP(MATCH(1,Paramètres!$K$6:$K$45,0),LABO_Normal_Troops[#All],10)))</calculatedColumnFormula>
    </tableColumn>
    <tableColumn id="20" name="P.E.K.K.A" dataDxfId="1414">
      <calculatedColumnFormula>IF(Paramètres!$H$46=0,0,VLOOKUP(Paramètres!$H$47,BARRACK_Normal_Troops[#All],11))</calculatedColumnFormula>
    </tableColumn>
    <tableColumn id="21" name="LVL Max10" dataDxfId="1413">
      <calculatedColumnFormula>IF($T33=0,0,IF(SUM(Paramètres!$K$6:$K$45)&lt;&gt;Paramètres!$K$3,0,VLOOKUP(MATCH(1,Paramètres!$K$6:$K$45,0),LABO_Normal_Troops[#All],11)))</calculatedColumnFormula>
    </tableColumn>
  </tableColumns>
  <tableStyleInfo name="TableStyleMedium9" showFirstColumn="0" showLastColumn="0" showRowStripes="1" showColumnStripes="0"/>
</table>
</file>

<file path=xl/tables/table15.xml><?xml version="1.0" encoding="utf-8"?>
<table xmlns="http://schemas.openxmlformats.org/spreadsheetml/2006/main" id="33" name="CHANGES_Upgrades_Normal_Troops" displayName="CHANGES_Upgrades_Normal_Troops" ref="W32:AQ44" totalsRowShown="0" headerRowDxfId="1412" dataDxfId="1410" headerRowBorderDxfId="1411" tableBorderDxfId="1409">
  <autoFilter ref="W32:AQ44"/>
  <tableColumns count="21">
    <tableColumn id="1" name="LVL HdV" dataDxfId="1408"/>
    <tableColumn id="2" name="Barbare" dataDxfId="1407">
      <calculatedColumnFormula>'Améliorations - Sorts &amp; Troupes'!B33-'Améliorations - Sorts &amp; Troupes'!B32</calculatedColumnFormula>
    </tableColumn>
    <tableColumn id="3" name="LVL Max" dataDxfId="1406">
      <calculatedColumnFormula>'Améliorations - Sorts &amp; Troupes'!C33-'Améliorations - Sorts &amp; Troupes'!C32</calculatedColumnFormula>
    </tableColumn>
    <tableColumn id="4" name="Archer" dataDxfId="1405">
      <calculatedColumnFormula>'Améliorations - Sorts &amp; Troupes'!D33-'Améliorations - Sorts &amp; Troupes'!D32</calculatedColumnFormula>
    </tableColumn>
    <tableColumn id="5" name="LVL Max2" dataDxfId="1404">
      <calculatedColumnFormula>'Améliorations - Sorts &amp; Troupes'!E33-'Améliorations - Sorts &amp; Troupes'!E32</calculatedColumnFormula>
    </tableColumn>
    <tableColumn id="6" name="Géant" dataDxfId="1403">
      <calculatedColumnFormula>'Améliorations - Sorts &amp; Troupes'!F33-'Améliorations - Sorts &amp; Troupes'!F32</calculatedColumnFormula>
    </tableColumn>
    <tableColumn id="7" name="LVL Max3" dataDxfId="1402">
      <calculatedColumnFormula>'Améliorations - Sorts &amp; Troupes'!G33-'Améliorations - Sorts &amp; Troupes'!G32</calculatedColumnFormula>
    </tableColumn>
    <tableColumn id="8" name="Gobelin" dataDxfId="1401">
      <calculatedColumnFormula>'Améliorations - Sorts &amp; Troupes'!H33-'Améliorations - Sorts &amp; Troupes'!H32</calculatedColumnFormula>
    </tableColumn>
    <tableColumn id="9" name="LVL Max4" dataDxfId="1400">
      <calculatedColumnFormula>'Améliorations - Sorts &amp; Troupes'!I33-'Améliorations - Sorts &amp; Troupes'!I32</calculatedColumnFormula>
    </tableColumn>
    <tableColumn id="10" name="Sapeur" dataDxfId="1399">
      <calculatedColumnFormula>'Améliorations - Sorts &amp; Troupes'!J33-'Améliorations - Sorts &amp; Troupes'!J32</calculatedColumnFormula>
    </tableColumn>
    <tableColumn id="11" name="LVL Max5" dataDxfId="1398">
      <calculatedColumnFormula>'Améliorations - Sorts &amp; Troupes'!K33-'Améliorations - Sorts &amp; Troupes'!K32</calculatedColumnFormula>
    </tableColumn>
    <tableColumn id="12" name="Ballon" dataDxfId="1397">
      <calculatedColumnFormula>'Améliorations - Sorts &amp; Troupes'!L33-'Améliorations - Sorts &amp; Troupes'!L32</calculatedColumnFormula>
    </tableColumn>
    <tableColumn id="13" name="LVL Max6" dataDxfId="1396">
      <calculatedColumnFormula>'Améliorations - Sorts &amp; Troupes'!M33-'Améliorations - Sorts &amp; Troupes'!M32</calculatedColumnFormula>
    </tableColumn>
    <tableColumn id="14" name="Sorcier" dataDxfId="1395">
      <calculatedColumnFormula>'Améliorations - Sorts &amp; Troupes'!N33-'Améliorations - Sorts &amp; Troupes'!N32</calculatedColumnFormula>
    </tableColumn>
    <tableColumn id="15" name="LVL Max7" dataDxfId="1394">
      <calculatedColumnFormula>'Améliorations - Sorts &amp; Troupes'!O33-'Améliorations - Sorts &amp; Troupes'!O32</calculatedColumnFormula>
    </tableColumn>
    <tableColumn id="16" name="Guérisseuse" dataDxfId="1393">
      <calculatedColumnFormula>'Améliorations - Sorts &amp; Troupes'!P33-'Améliorations - Sorts &amp; Troupes'!P32</calculatedColumnFormula>
    </tableColumn>
    <tableColumn id="17" name="LVL Max8" dataDxfId="1392">
      <calculatedColumnFormula>'Améliorations - Sorts &amp; Troupes'!Q34-'Améliorations - Sorts &amp; Troupes'!Q32</calculatedColumnFormula>
    </tableColumn>
    <tableColumn id="18" name="Dragon" dataDxfId="1391">
      <calculatedColumnFormula>'Améliorations - Sorts &amp; Troupes'!R33-'Améliorations - Sorts &amp; Troupes'!R32</calculatedColumnFormula>
    </tableColumn>
    <tableColumn id="19" name="LVL Max9" dataDxfId="1390">
      <calculatedColumnFormula>'Améliorations - Sorts &amp; Troupes'!S33-'Améliorations - Sorts &amp; Troupes'!S32</calculatedColumnFormula>
    </tableColumn>
    <tableColumn id="20" name="P.E.K.K.A" dataDxfId="1389">
      <calculatedColumnFormula>'Améliorations - Sorts &amp; Troupes'!T33-'Améliorations - Sorts &amp; Troupes'!T32</calculatedColumnFormula>
    </tableColumn>
    <tableColumn id="21" name="LVL Max10" dataDxfId="1388">
      <calculatedColumnFormula>'Améliorations - Sorts &amp; Troupes'!U33-'Améliorations - Sorts &amp; Troupes'!U32</calculatedColumnFormula>
    </tableColumn>
  </tableColumns>
  <tableStyleInfo name="TableStyleMedium9" showFirstColumn="0" showLastColumn="0" showRowStripes="1" showColumnStripes="0"/>
</table>
</file>

<file path=xl/tables/table16.xml><?xml version="1.0" encoding="utf-8"?>
<table xmlns="http://schemas.openxmlformats.org/spreadsheetml/2006/main" id="50" name="AVAILABLE_Upgrades_Dark_Troops" displayName="AVAILABLE_Upgrades_Dark_Troops" ref="A47:M59" totalsRowShown="0" headerRowDxfId="1387" dataDxfId="1385" headerRowBorderDxfId="1386" tableBorderDxfId="1384">
  <autoFilter ref="A47:M59"/>
  <tableColumns count="13">
    <tableColumn id="1" name="LVL Labo" dataDxfId="1383"/>
    <tableColumn id="2" name="Serviteur" dataDxfId="1382">
      <calculatedColumnFormula>IF(Paramètres!$I$46=0,0,VLOOKUP(Paramètres!$I$47,BARRACK_DARK_Troops[#All],2))</calculatedColumnFormula>
    </tableColumn>
    <tableColumn id="3" name="LVL Max" dataDxfId="1381">
      <calculatedColumnFormula>IF($B48=0,0,IF(SUM(Paramètres!$K$6:$K$45)&lt;&gt;Paramètres!$K$3,0,VLOOKUP(MATCH(1,Paramètres!$K$6:$K$45,0),LABO_Dark_Troops[#All],2)))</calculatedColumnFormula>
    </tableColumn>
    <tableColumn id="4" name="Chevaucheur de Cochon" dataDxfId="1380">
      <calculatedColumnFormula>IF(Paramètres!$I$46=0,0,VLOOKUP(Paramètres!$I$47,BARRACK_DARK_Troops[#All],3))</calculatedColumnFormula>
    </tableColumn>
    <tableColumn id="5" name="LVL Max2" dataDxfId="1379">
      <calculatedColumnFormula>IF($D48=0,0,IF(SUM(Paramètres!$K$6:$K$45)&lt;&gt;Paramètres!$K$3,0,VLOOKUP(MATCH(1,Paramètres!$K$6:$K$45,0),LABO_Dark_Troops[#All],3)))</calculatedColumnFormula>
    </tableColumn>
    <tableColumn id="6" name="Valkyrie" dataDxfId="1378">
      <calculatedColumnFormula>IF(Paramètres!$I$46=0,0,VLOOKUP(Paramètres!$I$47,BARRACK_DARK_Troops[#All],4))</calculatedColumnFormula>
    </tableColumn>
    <tableColumn id="7" name="LVL Max3" dataDxfId="1377">
      <calculatedColumnFormula>IF($F48=0,0,IF(SUM(Paramètres!$K$6:$K$45)&lt;&gt;Paramètres!$K$3,0,VLOOKUP(MATCH(1,Paramètres!$K$6:$K$45,0),LABO_Dark_Troops[#All],4)))</calculatedColumnFormula>
    </tableColumn>
    <tableColumn id="8" name="Golem" dataDxfId="1376">
      <calculatedColumnFormula>IF(Paramètres!$I$46=0,0,VLOOKUP(Paramètres!$I$47,BARRACK_DARK_Troops[#All],5))</calculatedColumnFormula>
    </tableColumn>
    <tableColumn id="9" name="LVL Max4" dataDxfId="1375">
      <calculatedColumnFormula>IF($H48=0,0,IF(SUM(Paramètres!$K$6:$K$45)&lt;&gt;Paramètres!$K$3,0,VLOOKUP(MATCH(1,Paramètres!$K$6:$K$45,0),LABO_Dark_Troops[#All],5)))</calculatedColumnFormula>
    </tableColumn>
    <tableColumn id="12" name="Sorcière" dataDxfId="1374">
      <calculatedColumnFormula>IF(Paramètres!$I$46=0,0,VLOOKUP(Paramètres!$I$47,BARRACK_DARK_Troops[#All],6))</calculatedColumnFormula>
    </tableColumn>
    <tableColumn id="13" name="LVL Max43" dataDxfId="1373">
      <calculatedColumnFormula>IF($J48=0,0,IF(SUM(Paramètres!$K$6:$K$45)&lt;&gt;Paramètres!$K$3,0,VLOOKUP(MATCH(1,Paramètres!$K$6:$K$45,0),LABO_Dark_Troops[#All],6)))</calculatedColumnFormula>
    </tableColumn>
    <tableColumn id="10" name="Molosse de lave" dataDxfId="1372">
      <calculatedColumnFormula>IF(Paramètres!$I$46=0,0,VLOOKUP(Paramètres!$I$47,BARRACK_DARK_Troops[#All],7))</calculatedColumnFormula>
    </tableColumn>
    <tableColumn id="11" name="LVL Max5" dataDxfId="1371">
      <calculatedColumnFormula>IF($L48=0,0,IF(SUM(Paramètres!$K$6:$K$45)&lt;&gt;Paramètres!$K$3,0,VLOOKUP(MATCH(1,Paramètres!$K$6:$K$45,0),LABO_Dark_Troops[#All],7)))</calculatedColumnFormula>
    </tableColumn>
  </tableColumns>
  <tableStyleInfo name="TableStyleMedium9" showFirstColumn="0" showLastColumn="0" showRowStripes="1" showColumnStripes="0"/>
</table>
</file>

<file path=xl/tables/table17.xml><?xml version="1.0" encoding="utf-8"?>
<table xmlns="http://schemas.openxmlformats.org/spreadsheetml/2006/main" id="51" name="CHANGES_Upgrades_Dark_Troops" displayName="CHANGES_Upgrades_Dark_Troops" ref="O47:AA59" totalsRowShown="0" headerRowDxfId="1370" dataDxfId="1368" headerRowBorderDxfId="1369" tableBorderDxfId="1367">
  <autoFilter ref="O47:AA59"/>
  <tableColumns count="13">
    <tableColumn id="1" name="LVL Labo" dataDxfId="1366"/>
    <tableColumn id="2" name="Serviteur" dataDxfId="1365">
      <calculatedColumnFormula>'Améliorations - Sorts &amp; Troupes'!B48-'Améliorations - Sorts &amp; Troupes'!B47</calculatedColumnFormula>
    </tableColumn>
    <tableColumn id="3" name="LVL Max" dataDxfId="1364">
      <calculatedColumnFormula>'Améliorations - Sorts &amp; Troupes'!C48-'Améliorations - Sorts &amp; Troupes'!C47</calculatedColumnFormula>
    </tableColumn>
    <tableColumn id="4" name="Chevaucheur de Cochon" dataDxfId="1363">
      <calculatedColumnFormula>'Améliorations - Sorts &amp; Troupes'!D48-'Améliorations - Sorts &amp; Troupes'!D47</calculatedColumnFormula>
    </tableColumn>
    <tableColumn id="5" name="LVL Max2" dataDxfId="1362">
      <calculatedColumnFormula>'Améliorations - Sorts &amp; Troupes'!E48-'Améliorations - Sorts &amp; Troupes'!E47</calculatedColumnFormula>
    </tableColumn>
    <tableColumn id="6" name="Valkyrie" dataDxfId="1361">
      <calculatedColumnFormula>'Améliorations - Sorts &amp; Troupes'!F48-'Améliorations - Sorts &amp; Troupes'!F47</calculatedColumnFormula>
    </tableColumn>
    <tableColumn id="7" name="LVL Max3" dataDxfId="1360">
      <calculatedColumnFormula>'Améliorations - Sorts &amp; Troupes'!G48-'Améliorations - Sorts &amp; Troupes'!G47</calculatedColumnFormula>
    </tableColumn>
    <tableColumn id="8" name="Golem" dataDxfId="1359">
      <calculatedColumnFormula>'Améliorations - Sorts &amp; Troupes'!H48-'Améliorations - Sorts &amp; Troupes'!H47</calculatedColumnFormula>
    </tableColumn>
    <tableColumn id="9" name="LVL Max4" dataDxfId="1358">
      <calculatedColumnFormula>'Améliorations - Sorts &amp; Troupes'!I48-'Améliorations - Sorts &amp; Troupes'!I47</calculatedColumnFormula>
    </tableColumn>
    <tableColumn id="12" name="Sorcière" dataDxfId="1357"/>
    <tableColumn id="13" name="LVL Max5" dataDxfId="1356"/>
    <tableColumn id="10" name="Molosse de lave" dataDxfId="1355">
      <calculatedColumnFormula>'Améliorations - Sorts &amp; Troupes'!L48-'Améliorations - Sorts &amp; Troupes'!L47</calculatedColumnFormula>
    </tableColumn>
    <tableColumn id="11" name="LVL Max53" dataDxfId="1354">
      <calculatedColumnFormula>'Améliorations - Sorts &amp; Troupes'!M48-'Améliorations - Sorts &amp; Troupes'!M47</calculatedColumnFormula>
    </tableColumn>
  </tableColumns>
  <tableStyleInfo name="TableStyleMedium9" showFirstColumn="0" showLastColumn="0" showRowStripes="1" showColumnStripes="0"/>
</table>
</file>

<file path=xl/tables/table18.xml><?xml version="1.0" encoding="utf-8"?>
<table xmlns="http://schemas.openxmlformats.org/spreadsheetml/2006/main" id="87" name="LABO_Spells" displayName="LABO_Spells" ref="AF2:AK12" totalsRowShown="0" headerRowDxfId="1353" dataDxfId="1351" headerRowBorderDxfId="1352" tableBorderDxfId="1350" totalsRowBorderDxfId="1349">
  <autoFilter ref="AF2:AK12"/>
  <tableColumns count="6">
    <tableColumn id="1" name="LVL Laboratory" dataDxfId="1348"/>
    <tableColumn id="2" name="Sort de Foudre" dataDxfId="1347"/>
    <tableColumn id="3" name="Sort de Guérison" dataDxfId="1346"/>
    <tableColumn id="4" name="Sort de Rage" dataDxfId="1345"/>
    <tableColumn id="5" name="Sort de Saut" dataDxfId="1344"/>
    <tableColumn id="6" name="Sort de Gel" dataDxfId="1343"/>
  </tableColumns>
  <tableStyleInfo name="TableStyleMedium9" showFirstColumn="0" showLastColumn="0" showRowStripes="1" showColumnStripes="0"/>
</table>
</file>

<file path=xl/tables/table19.xml><?xml version="1.0" encoding="utf-8"?>
<table xmlns="http://schemas.openxmlformats.org/spreadsheetml/2006/main" id="88" name="LABO_Normal_Troops" displayName="LABO_Normal_Troops" ref="BE32:BO42" totalsRowShown="0" headerRowDxfId="1342" dataDxfId="1340" headerRowBorderDxfId="1341" tableBorderDxfId="1339" totalsRowBorderDxfId="1338">
  <autoFilter ref="BE32:BO42"/>
  <tableColumns count="11">
    <tableColumn id="1" name="LVL Labo" dataDxfId="1337"/>
    <tableColumn id="2" name="Barbare" dataDxfId="1336"/>
    <tableColumn id="3" name="Archer" dataDxfId="1335"/>
    <tableColumn id="4" name="Géant" dataDxfId="1334"/>
    <tableColumn id="5" name="Gobelin" dataDxfId="1333"/>
    <tableColumn id="6" name="Sapeur" dataDxfId="1332"/>
    <tableColumn id="7" name="Ballon" dataDxfId="1331"/>
    <tableColumn id="8" name="Sorcier" dataDxfId="1330"/>
    <tableColumn id="9" name="Guérisseuse" dataDxfId="1329"/>
    <tableColumn id="10" name="Dragon" dataDxfId="1328"/>
    <tableColumn id="11" name="P.E.K.K.A" dataDxfId="1327"/>
  </tableColumns>
  <tableStyleInfo name="TableStyleMedium9" showFirstColumn="0" showLastColumn="0" showRowStripes="1" showColumnStripes="0"/>
</table>
</file>

<file path=xl/tables/table20.xml><?xml version="1.0" encoding="utf-8"?>
<table xmlns="http://schemas.openxmlformats.org/spreadsheetml/2006/main" id="91" name="SPELLFACTORY_Spells" displayName="SPELLFACTORY_Spells" ref="Y2:AD10" totalsRowShown="0" headerRowDxfId="1326" dataDxfId="1324" headerRowBorderDxfId="1325" tableBorderDxfId="1323" totalsRowBorderDxfId="1322">
  <autoFilter ref="Y2:AD10"/>
  <tableColumns count="6">
    <tableColumn id="1" name="LVL Spell Factory" dataDxfId="1321"/>
    <tableColumn id="2" name="Sort de Foudre" dataDxfId="1320"/>
    <tableColumn id="3" name="Sort de Guérison" dataDxfId="1319"/>
    <tableColumn id="4" name="Sort de Rage" dataDxfId="1318"/>
    <tableColumn id="5" name="Sort de Saut" dataDxfId="1317"/>
    <tableColumn id="6" name="Sort de Gel" dataDxfId="1316"/>
  </tableColumns>
  <tableStyleInfo name="TableStyleMedium9" showFirstColumn="0" showLastColumn="0" showRowStripes="1" showColumnStripes="0"/>
</table>
</file>

<file path=xl/tables/table21.xml><?xml version="1.0" encoding="utf-8"?>
<table xmlns="http://schemas.openxmlformats.org/spreadsheetml/2006/main" id="92" name="BARRACK_Normal_Troops" displayName="BARRACK_Normal_Troops" ref="AS32:BC44" totalsRowShown="0" headerRowDxfId="1315" dataDxfId="1313" headerRowBorderDxfId="1314" tableBorderDxfId="1312" totalsRowBorderDxfId="1311">
  <autoFilter ref="AS32:BC44"/>
  <tableColumns count="11">
    <tableColumn id="1" name="LVL Barrack" dataDxfId="1310"/>
    <tableColumn id="2" name="Barbare" dataDxfId="1309"/>
    <tableColumn id="3" name="Archer" dataDxfId="1308"/>
    <tableColumn id="4" name="Géant" dataDxfId="1307"/>
    <tableColumn id="5" name="Gobelin" dataDxfId="1306"/>
    <tableColumn id="6" name="Sapeur" dataDxfId="1305"/>
    <tableColumn id="7" name="Ballon" dataDxfId="1304"/>
    <tableColumn id="8" name="Sorcier" dataDxfId="1303"/>
    <tableColumn id="9" name="Guérisseuse" dataDxfId="1302"/>
    <tableColumn id="10" name="Dragon" dataDxfId="1301"/>
    <tableColumn id="11" name="P.E.K.K.A" dataDxfId="1300"/>
  </tableColumns>
  <tableStyleInfo name="TableStyleMedium9" showFirstColumn="0" showLastColumn="0" showRowStripes="1" showColumnStripes="0"/>
</table>
</file>

<file path=xl/tables/table22.xml><?xml version="1.0" encoding="utf-8"?>
<table xmlns="http://schemas.openxmlformats.org/spreadsheetml/2006/main" id="94" name="BARRACK_DARK_Troops" displayName="BARRACK_DARK_Troops" ref="AD47:AJ55" totalsRowShown="0" headerRowDxfId="1299" dataDxfId="1297" headerRowBorderDxfId="1298" tableBorderDxfId="1296" totalsRowBorderDxfId="1295">
  <autoFilter ref="AD47:AJ55"/>
  <tableColumns count="7">
    <tableColumn id="1" name="LVL Dark Barrack" dataDxfId="1294"/>
    <tableColumn id="2" name="Serviteur" dataDxfId="1293"/>
    <tableColumn id="3" name="Chevaucheur de Cochon" dataDxfId="1292"/>
    <tableColumn id="4" name="Valkyrie" dataDxfId="1291"/>
    <tableColumn id="5" name="Golem" dataDxfId="1290"/>
    <tableColumn id="6" name="Sorcière" dataDxfId="1289"/>
    <tableColumn id="7" name="Molosse de lave" dataDxfId="1288"/>
  </tableColumns>
  <tableStyleInfo name="TableStyleMedium9" showFirstColumn="0" showLastColumn="0" showRowStripes="1" showColumnStripes="0"/>
</table>
</file>

<file path=xl/tables/table23.xml><?xml version="1.0" encoding="utf-8"?>
<table xmlns="http://schemas.openxmlformats.org/spreadsheetml/2006/main" id="93" name="LABO_Dark_Troops" displayName="LABO_Dark_Troops" ref="AL47:AR57" totalsRowShown="0" headerRowDxfId="1287" dataDxfId="1285" headerRowBorderDxfId="1286" tableBorderDxfId="1284" totalsRowBorderDxfId="1283">
  <autoFilter ref="AL47:AR57"/>
  <tableColumns count="7">
    <tableColumn id="1" name="LVL Labo" dataDxfId="1282"/>
    <tableColumn id="2" name="Serviteur" dataDxfId="1281"/>
    <tableColumn id="3" name="Chevaucheur de Cochon" dataDxfId="1280"/>
    <tableColumn id="4" name="Valkyrie" dataDxfId="1279"/>
    <tableColumn id="5" name="Golem" dataDxfId="1278"/>
    <tableColumn id="6" name="Sorcière" dataDxfId="1277"/>
    <tableColumn id="7" name="Molosse de lave" dataDxfId="1276"/>
  </tableColumns>
  <tableStyleInfo name="TableStyleMedium9" showFirstColumn="0" showLastColumn="0" showRowStripes="1" showColumnStripes="0"/>
</table>
</file>

<file path=xl/tables/table24.xml><?xml version="1.0" encoding="utf-8"?>
<table xmlns="http://schemas.openxmlformats.org/spreadsheetml/2006/main" id="96" name="SPELLFACTORY_DarkSpells" displayName="SPELLFACTORY_DarkSpells" ref="Q17:T24" totalsRowShown="0" headerRowDxfId="1275" dataDxfId="1273" headerRowBorderDxfId="1274" tableBorderDxfId="1272" totalsRowBorderDxfId="1271">
  <autoFilter ref="Q17:T24"/>
  <tableColumns count="4">
    <tableColumn id="1" name="LVL  Dark Spell Factory" dataDxfId="1270"/>
    <tableColumn id="2" name="Sort de Poison" dataDxfId="1269"/>
    <tableColumn id="3" name="Sort de Séisme" dataDxfId="1268"/>
    <tableColumn id="4" name="Sort de Hâte" dataDxfId="1267"/>
  </tableColumns>
  <tableStyleInfo name="TableStyleMedium9" showFirstColumn="0" showLastColumn="0" showRowStripes="1" showColumnStripes="0"/>
</table>
</file>

<file path=xl/tables/table25.xml><?xml version="1.0" encoding="utf-8"?>
<table xmlns="http://schemas.openxmlformats.org/spreadsheetml/2006/main" id="135" name="AVAILABLE_Upgrades_Dark_Spells" displayName="AVAILABLE_Upgrades_Dark_Spells" ref="A17:G29" totalsRowShown="0" headerRowDxfId="1266" dataDxfId="1264" headerRowBorderDxfId="1265" tableBorderDxfId="1263">
  <autoFilter ref="A17:G29"/>
  <tableColumns count="7">
    <tableColumn id="1" name="LVL" dataDxfId="1262"/>
    <tableColumn id="2" name="Sort de Poison" dataDxfId="1261">
      <calculatedColumnFormula>IF(Paramètres!$M$46=0,0,VLOOKUP(Paramètres!$M$47,SPELLFACTORY_DarkSpells[#All],2))</calculatedColumnFormula>
    </tableColumn>
    <tableColumn id="3" name="LVL Max" dataDxfId="1260">
      <calculatedColumnFormula>IF($B18=0,0,IF(SUM(Paramètres!$K$6:$K$45)&lt;&gt;Paramètres!$K$3,0,VLOOKUP(MATCH(1,Paramètres!$K$6:$K$45,0),LABO_Dark_Spells[#All],2)))</calculatedColumnFormula>
    </tableColumn>
    <tableColumn id="4" name="Sort de Séisme" dataDxfId="1259">
      <calculatedColumnFormula>IF(Paramètres!$M$46=0,0,VLOOKUP(Paramètres!$M$47,SPELLFACTORY_DarkSpells[#All],3))</calculatedColumnFormula>
    </tableColumn>
    <tableColumn id="5" name="LVL Max2" dataDxfId="1258">
      <calculatedColumnFormula>IF($D18=0,0,IF(SUM(Paramètres!$K$6:$K$45)&lt;&gt;Paramètres!$K$3,0,VLOOKUP(MATCH(1,Paramètres!$K$6:$K$45,0),LABO_Dark_Spells[#All],3)))</calculatedColumnFormula>
    </tableColumn>
    <tableColumn id="6" name="Sort de Hâte" dataDxfId="1257">
      <calculatedColumnFormula>IF(Paramètres!$M$46=0,0,VLOOKUP(Paramètres!$M$47,SPELLFACTORY_DarkSpells[#All],4))</calculatedColumnFormula>
    </tableColumn>
    <tableColumn id="7" name="LVL Max3" dataDxfId="1256">
      <calculatedColumnFormula>IF($F18=0,0,IF(SUM(Paramètres!$K$6:$K$45)&lt;&gt;Paramètres!$K$3,0,VLOOKUP(MATCH(1,Paramètres!$K$6:$K$45,0),LABO_Dark_Spells[#All],4)))</calculatedColumnFormula>
    </tableColumn>
  </tableColumns>
  <tableStyleInfo name="TableStyleMedium9" showFirstColumn="0" showLastColumn="0" showRowStripes="1" showColumnStripes="0"/>
</table>
</file>

<file path=xl/tables/table26.xml><?xml version="1.0" encoding="utf-8"?>
<table xmlns="http://schemas.openxmlformats.org/spreadsheetml/2006/main" id="136" name="CHANGES_Upgrades_Dark_Spells" displayName="CHANGES_Upgrades_Dark_Spells" ref="I17:O29" totalsRowShown="0" headerRowDxfId="1255" dataDxfId="1253" headerRowBorderDxfId="1254" tableBorderDxfId="1252">
  <autoFilter ref="I17:O29"/>
  <tableColumns count="7">
    <tableColumn id="1" name="LVL" dataDxfId="1251"/>
    <tableColumn id="2" name="Sort de Poison" dataDxfId="1250"/>
    <tableColumn id="3" name="LVL Max" dataDxfId="1249"/>
    <tableColumn id="4" name="Sort de Séisme" dataDxfId="1248"/>
    <tableColumn id="5" name="LVL Max2" dataDxfId="1247"/>
    <tableColumn id="6" name="Sort de Hâte" dataDxfId="1246"/>
    <tableColumn id="7" name="LVL Max3" dataDxfId="1245"/>
  </tableColumns>
  <tableStyleInfo name="TableStyleMedium9" showFirstColumn="0" showLastColumn="0" showRowStripes="1" showColumnStripes="0"/>
</table>
</file>

<file path=xl/tables/table27.xml><?xml version="1.0" encoding="utf-8"?>
<table xmlns="http://schemas.openxmlformats.org/spreadsheetml/2006/main" id="137" name="LABO_Dark_Spells" displayName="LABO_Dark_Spells" ref="V17:Y27" totalsRowShown="0" headerRowDxfId="1244" dataDxfId="1242" headerRowBorderDxfId="1243" tableBorderDxfId="1241" totalsRowBorderDxfId="1240">
  <autoFilter ref="V17:Y27"/>
  <tableColumns count="4">
    <tableColumn id="1" name="LVL Laboratory" dataDxfId="1239"/>
    <tableColumn id="2" name="Sort de Poison" dataDxfId="1238"/>
    <tableColumn id="3" name="Sort de Séisme" dataDxfId="1237"/>
    <tableColumn id="4" name="Sort de Hâte" dataDxfId="1236"/>
  </tableColumns>
  <tableStyleInfo name="TableStyleMedium9" showFirstColumn="0" showLastColumn="0" showRowStripes="1" showColumnStripes="0"/>
</table>
</file>

<file path=xl/tables/table28.xml><?xml version="1.0" encoding="utf-8"?>
<table xmlns="http://schemas.openxmlformats.org/spreadsheetml/2006/main" id="22" name="AVAILABLE_Heroes" displayName="AVAILABLE_Heroes" ref="A2:G14" totalsRowShown="0" headerRowDxfId="1235" dataDxfId="1233" headerRowBorderDxfId="1234" tableBorderDxfId="1232">
  <autoFilter ref="A2:G14">
    <filterColumn colId="5"/>
    <filterColumn colId="6"/>
  </autoFilter>
  <tableColumns count="7">
    <tableColumn id="1" name="LVL HdV" dataDxfId="1231"/>
    <tableColumn id="2" name="Roi des Barbares" dataDxfId="1230"/>
    <tableColumn id="3" name="LVL Max" dataDxfId="1229"/>
    <tableColumn id="4" name="Reine des Archers" dataDxfId="1228"/>
    <tableColumn id="5" name="LVL Max2" dataDxfId="1227"/>
    <tableColumn id="6" name="Grand Gardien" dataDxfId="1226"/>
    <tableColumn id="7" name="LVL Max4" dataDxfId="1225"/>
  </tableColumns>
  <tableStyleInfo name="TableStyleMedium9" showFirstColumn="0" showLastColumn="0" showRowStripes="1" showColumnStripes="0"/>
</table>
</file>

<file path=xl/tables/table29.xml><?xml version="1.0" encoding="utf-8"?>
<table xmlns="http://schemas.openxmlformats.org/spreadsheetml/2006/main" id="30" name="CHANGES_Heroes" displayName="CHANGES_Heroes" ref="I2:O14" totalsRowShown="0" headerRowDxfId="1224" dataDxfId="1222" headerRowBorderDxfId="1223" tableBorderDxfId="1221">
  <autoFilter ref="I2:O14">
    <filterColumn colId="5"/>
    <filterColumn colId="6"/>
  </autoFilter>
  <tableColumns count="7">
    <tableColumn id="1" name="LVL HdV" dataDxfId="1220"/>
    <tableColumn id="2" name="Roi des Barbares" dataDxfId="1219">
      <calculatedColumnFormula>B3-B2</calculatedColumnFormula>
    </tableColumn>
    <tableColumn id="3" name="LVL Max" dataDxfId="1218">
      <calculatedColumnFormula>C3-C2</calculatedColumnFormula>
    </tableColumn>
    <tableColumn id="4" name="Reine des Archers" dataDxfId="1217">
      <calculatedColumnFormula>D3-D2</calculatedColumnFormula>
    </tableColumn>
    <tableColumn id="5" name="LVL Max2" dataDxfId="1216">
      <calculatedColumnFormula>E3-E2</calculatedColumnFormula>
    </tableColumn>
    <tableColumn id="6" name="Grand Gardien" dataDxfId="1215"/>
    <tableColumn id="7" name="LVL Max4" dataDxfId="1214"/>
  </tableColumns>
  <tableStyleInfo name="TableStyleMedium9" showFirstColumn="0" showLastColumn="0" showRowStripes="1" showColumnStripes="0"/>
</table>
</file>

<file path=xl/tables/table30.xml><?xml version="1.0" encoding="utf-8"?>
<table xmlns="http://schemas.openxmlformats.org/spreadsheetml/2006/main" id="6" name="COSTS_Barrack" displayName="COSTS_Barrack" ref="D20:F30" totalsRowShown="0" headerRowDxfId="1213" dataDxfId="1211" headerRowBorderDxfId="1212" tableBorderDxfId="1210">
  <autoFilter ref="D20:F30"/>
  <tableColumns count="3">
    <tableColumn id="1" name="LVL" dataDxfId="1209"/>
    <tableColumn id="2" name="Coût" dataDxfId="1208"/>
    <tableColumn id="3" name="Temps" dataDxfId="1207"/>
  </tableColumns>
  <tableStyleInfo name="TableStyleMedium9" showFirstColumn="0" showLastColumn="0" showRowStripes="1" showColumnStripes="0"/>
</table>
</file>

<file path=xl/tables/table31.xml><?xml version="1.0" encoding="utf-8"?>
<table xmlns="http://schemas.openxmlformats.org/spreadsheetml/2006/main" id="7" name="COSTS_Dark_Elixir_Storage" displayName="COSTS_Dark_Elixir_Storage" ref="J3:L9" totalsRowShown="0" headerRowDxfId="1206" dataDxfId="1204" headerRowBorderDxfId="1205" tableBorderDxfId="1203">
  <autoFilter ref="J3:L9"/>
  <tableColumns count="3">
    <tableColumn id="1" name="LVL" dataDxfId="1202"/>
    <tableColumn id="2" name="Coût" dataDxfId="1201"/>
    <tableColumn id="4" name="Temps" dataDxfId="1200"/>
  </tableColumns>
  <tableStyleInfo name="TableStyleMedium9" showFirstColumn="0" showLastColumn="0" showRowStripes="1" showColumnStripes="0"/>
</table>
</file>

<file path=xl/tables/table32.xml><?xml version="1.0" encoding="utf-8"?>
<table xmlns="http://schemas.openxmlformats.org/spreadsheetml/2006/main" id="9" name="COSTS_Dark_Barrack" displayName="COSTS_Dark_Barrack" ref="A20:C26" totalsRowShown="0" headerRowDxfId="1199" dataDxfId="1197" headerRowBorderDxfId="1198" tableBorderDxfId="1196" totalsRowBorderDxfId="1195">
  <autoFilter ref="A20:C26"/>
  <tableColumns count="3">
    <tableColumn id="1" name="LVL" dataDxfId="1194"/>
    <tableColumn id="2" name="Coût" dataDxfId="1193"/>
    <tableColumn id="4" name="Temps" dataDxfId="1192"/>
  </tableColumns>
  <tableStyleInfo name="TableStyleMedium9" showFirstColumn="0" showLastColumn="0" showRowStripes="1" showColumnStripes="0"/>
</table>
</file>

<file path=xl/tables/table33.xml><?xml version="1.0" encoding="utf-8"?>
<table xmlns="http://schemas.openxmlformats.org/spreadsheetml/2006/main" id="10" name="COSTS_Gold_Mine" displayName="COSTS_Gold_Mine" ref="A3:C15" totalsRowShown="0" headerRowDxfId="1191" dataDxfId="1189" headerRowBorderDxfId="1190" tableBorderDxfId="1188" totalsRowBorderDxfId="1187">
  <autoFilter ref="A3:C15"/>
  <tableColumns count="3">
    <tableColumn id="1" name="LVL" dataDxfId="1186"/>
    <tableColumn id="2" name="Coût" dataDxfId="1185"/>
    <tableColumn id="4" name="Temps" dataDxfId="1184"/>
  </tableColumns>
  <tableStyleInfo name="TableStyleMedium9" showFirstColumn="0" showLastColumn="0" showRowStripes="1" showColumnStripes="0"/>
</table>
</file>

<file path=xl/tables/table34.xml><?xml version="1.0" encoding="utf-8"?>
<table xmlns="http://schemas.openxmlformats.org/spreadsheetml/2006/main" id="11" name="COSTS_Elixir_Collector" displayName="COSTS_Elixir_Collector" ref="M3:O15" totalsRowShown="0" headerRowDxfId="1183" dataDxfId="1181" headerRowBorderDxfId="1182" tableBorderDxfId="1180" totalsRowBorderDxfId="1179">
  <autoFilter ref="M3:O15"/>
  <tableColumns count="3">
    <tableColumn id="1" name="LVL" dataDxfId="1178"/>
    <tableColumn id="2" name="Coût" dataDxfId="1177"/>
    <tableColumn id="4" name="Temps" dataDxfId="1176"/>
  </tableColumns>
  <tableStyleInfo name="TableStyleMedium9" showFirstColumn="0" showLastColumn="0" showRowStripes="1" showColumnStripes="0"/>
</table>
</file>

<file path=xl/tables/table35.xml><?xml version="1.0" encoding="utf-8"?>
<table xmlns="http://schemas.openxmlformats.org/spreadsheetml/2006/main" id="12" name="COSTS_Dark_Elixir_Drill" displayName="COSTS_Dark_Elixir_Drill" ref="D3:F9" totalsRowShown="0" headerRowDxfId="1175" dataDxfId="1173" headerRowBorderDxfId="1174" tableBorderDxfId="1172" totalsRowBorderDxfId="1171">
  <autoFilter ref="D3:F9"/>
  <tableColumns count="3">
    <tableColumn id="1" name="LVL" dataDxfId="1170"/>
    <tableColumn id="2" name="Coût" dataDxfId="1169"/>
    <tableColumn id="4" name="Temps" dataDxfId="1168"/>
  </tableColumns>
  <tableStyleInfo name="TableStyleMedium9" showFirstColumn="0" showLastColumn="0" showRowStripes="1" showColumnStripes="0"/>
</table>
</file>

<file path=xl/tables/table36.xml><?xml version="1.0" encoding="utf-8"?>
<table xmlns="http://schemas.openxmlformats.org/spreadsheetml/2006/main" id="13" name="COSTS_Gold_Storage" displayName="COSTS_Gold_Storage" ref="G3:I15" totalsRowShown="0" headerRowDxfId="1167" dataDxfId="1165" headerRowBorderDxfId="1166" tableBorderDxfId="1164" totalsRowBorderDxfId="1163">
  <autoFilter ref="G3:I15"/>
  <tableColumns count="3">
    <tableColumn id="1" name="LVL" dataDxfId="1162"/>
    <tableColumn id="2" name="Coût" dataDxfId="1161"/>
    <tableColumn id="4" name="Temps" dataDxfId="1160"/>
  </tableColumns>
  <tableStyleInfo name="TableStyleMedium9" showFirstColumn="0" showLastColumn="0" showRowStripes="1" showColumnStripes="0"/>
</table>
</file>

<file path=xl/tables/table37.xml><?xml version="1.0" encoding="utf-8"?>
<table xmlns="http://schemas.openxmlformats.org/spreadsheetml/2006/main" id="14" name="COSTS_Elixir_Storage" displayName="COSTS_Elixir_Storage" ref="P3:R15" totalsRowShown="0" headerRowDxfId="1159" dataDxfId="1157" headerRowBorderDxfId="1158" tableBorderDxfId="1156" totalsRowBorderDxfId="1155">
  <autoFilter ref="P3:R15"/>
  <tableColumns count="3">
    <tableColumn id="1" name="LVL" dataDxfId="1154"/>
    <tableColumn id="2" name="Coût" dataDxfId="1153"/>
    <tableColumn id="4" name="Temps" dataDxfId="1152"/>
  </tableColumns>
  <tableStyleInfo name="TableStyleMedium9" showFirstColumn="0" showLastColumn="0" showRowStripes="1" showColumnStripes="0"/>
</table>
</file>

<file path=xl/tables/table38.xml><?xml version="1.0" encoding="utf-8"?>
<table xmlns="http://schemas.openxmlformats.org/spreadsheetml/2006/main" id="15" name="COSTS_Army_Camp" displayName="COSTS_Army_Camp" ref="G20:I28" totalsRowShown="0" headerRowDxfId="1151" dataDxfId="1149" headerRowBorderDxfId="1150" tableBorderDxfId="1148" totalsRowBorderDxfId="1147">
  <autoFilter ref="G20:I28"/>
  <tableColumns count="3">
    <tableColumn id="1" name="LVL" dataDxfId="1146"/>
    <tableColumn id="2" name="Coût" dataDxfId="1145"/>
    <tableColumn id="4" name="Temps" dataDxfId="1144"/>
  </tableColumns>
  <tableStyleInfo name="TableStyleMedium9" showFirstColumn="0" showLastColumn="0" showRowStripes="1" showColumnStripes="0"/>
</table>
</file>

<file path=xl/tables/table39.xml><?xml version="1.0" encoding="utf-8"?>
<table xmlns="http://schemas.openxmlformats.org/spreadsheetml/2006/main" id="16" name="COSTS_Laboratory" displayName="COSTS_Laboratory" ref="J20:L29" totalsRowShown="0" headerRowDxfId="1143" dataDxfId="1141" headerRowBorderDxfId="1142" tableBorderDxfId="1140" totalsRowBorderDxfId="1139">
  <autoFilter ref="J20:L29"/>
  <tableColumns count="3">
    <tableColumn id="1" name="LVL" dataDxfId="1138"/>
    <tableColumn id="2" name="Coût" dataDxfId="1137"/>
    <tableColumn id="4" name="Temps" dataDxfId="1136"/>
  </tableColumns>
  <tableStyleInfo name="TableStyleMedium9" showFirstColumn="0" showLastColumn="0" showRowStripes="1" showColumnStripes="0"/>
</table>
</file>

<file path=xl/tables/table40.xml><?xml version="1.0" encoding="utf-8"?>
<table xmlns="http://schemas.openxmlformats.org/spreadsheetml/2006/main" id="17" name="COSTS_Spell_Factory" displayName="COSTS_Spell_Factory" ref="M20:O25" totalsRowShown="0" headerRowDxfId="1135" dataDxfId="1133" headerRowBorderDxfId="1134" tableBorderDxfId="1132" totalsRowBorderDxfId="1131">
  <autoFilter ref="M20:O25"/>
  <tableColumns count="3">
    <tableColumn id="1" name="LVL" dataDxfId="1130"/>
    <tableColumn id="2" name="Coût" dataDxfId="1129"/>
    <tableColumn id="4" name="Temps" dataDxfId="1128"/>
  </tableColumns>
  <tableStyleInfo name="TableStyleMedium9" showFirstColumn="0" showLastColumn="0" showRowStripes="1" showColumnStripes="0"/>
</table>
</file>

<file path=xl/tables/table41.xml><?xml version="1.0" encoding="utf-8"?>
<table xmlns="http://schemas.openxmlformats.org/spreadsheetml/2006/main" id="18" name="COSTS_Clan_Castle" displayName="COSTS_Clan_Castle" ref="A64:C70" totalsRowShown="0" headerRowDxfId="1127" dataDxfId="1125" headerRowBorderDxfId="1126" tableBorderDxfId="1124" totalsRowBorderDxfId="1123">
  <autoFilter ref="A64:C70"/>
  <tableColumns count="3">
    <tableColumn id="1" name="LVL" dataDxfId="1122"/>
    <tableColumn id="2" name="Coût" dataDxfId="1121"/>
    <tableColumn id="4" name="Temps" dataDxfId="1120"/>
  </tableColumns>
  <tableStyleInfo name="TableStyleMedium9" showFirstColumn="0" showLastColumn="0" showRowStripes="1" showColumnStripes="0"/>
</table>
</file>

<file path=xl/tables/table42.xml><?xml version="1.0" encoding="utf-8"?>
<table xmlns="http://schemas.openxmlformats.org/spreadsheetml/2006/main" id="8" name="COSTS_Wizard_Tower" displayName="COSTS_Wizard_Tower" ref="P35:R44" totalsRowShown="0" headerRowDxfId="1119" dataDxfId="1117" headerRowBorderDxfId="1118" tableBorderDxfId="1116">
  <autoFilter ref="P35:R44"/>
  <tableColumns count="3">
    <tableColumn id="1" name="LVL" dataDxfId="1115"/>
    <tableColumn id="2" name="Coût" dataDxfId="1114"/>
    <tableColumn id="3" name="Temps" dataDxfId="1113"/>
  </tableColumns>
  <tableStyleInfo name="TableStyleMedium9" showFirstColumn="0" showLastColumn="0" showRowStripes="1" showColumnStripes="0"/>
</table>
</file>

<file path=xl/tables/table43.xml><?xml version="1.0" encoding="utf-8"?>
<table xmlns="http://schemas.openxmlformats.org/spreadsheetml/2006/main" id="19" name="COSTS_Mortar" displayName="COSTS_Mortar" ref="J35:L43" totalsRowShown="0" headerRowDxfId="1112" dataDxfId="1110" headerRowBorderDxfId="1111" tableBorderDxfId="1109">
  <autoFilter ref="J35:L43"/>
  <tableColumns count="3">
    <tableColumn id="1" name="LVL" dataDxfId="1108"/>
    <tableColumn id="2" name="Coût" dataDxfId="1107"/>
    <tableColumn id="4" name="Temps" dataDxfId="1106"/>
  </tableColumns>
  <tableStyleInfo name="TableStyleMedium9" showFirstColumn="0" showLastColumn="0" showRowStripes="1" showColumnStripes="0"/>
</table>
</file>

<file path=xl/tables/table44.xml><?xml version="1.0" encoding="utf-8"?>
<table xmlns="http://schemas.openxmlformats.org/spreadsheetml/2006/main" id="20" name="COSTS_Air_Defense" displayName="COSTS_Air_Defense" ref="M35:O43" totalsRowShown="0" headerRowDxfId="1105" headerRowBorderDxfId="1104" tableBorderDxfId="1103">
  <autoFilter ref="M35:O43"/>
  <tableColumns count="3">
    <tableColumn id="1" name="LVL" dataDxfId="1102"/>
    <tableColumn id="2" name="Coût" dataDxfId="1101"/>
    <tableColumn id="4" name="Temps" dataDxfId="1100"/>
  </tableColumns>
  <tableStyleInfo name="TableStyleMedium9" showFirstColumn="0" showLastColumn="0" showRowStripes="1" showColumnStripes="0"/>
</table>
</file>

<file path=xl/tables/table45.xml><?xml version="1.0" encoding="utf-8"?>
<table xmlns="http://schemas.openxmlformats.org/spreadsheetml/2006/main" id="21" name="COSTS_Cannon" displayName="COSTS_Cannon" ref="D35:F48" totalsRowShown="0" headerRowDxfId="1099" dataDxfId="1097" headerRowBorderDxfId="1098" tableBorderDxfId="1096" totalsRowBorderDxfId="1095">
  <autoFilter ref="D35:F48"/>
  <tableColumns count="3">
    <tableColumn id="1" name="LVL" dataDxfId="1094"/>
    <tableColumn id="2" name="Coût" dataDxfId="1093"/>
    <tableColumn id="4" name="Temps" dataDxfId="1092"/>
  </tableColumns>
  <tableStyleInfo name="TableStyleMedium9" showFirstColumn="0" showLastColumn="0" showRowStripes="1" showColumnStripes="0"/>
</table>
</file>

<file path=xl/tables/table46.xml><?xml version="1.0" encoding="utf-8"?>
<table xmlns="http://schemas.openxmlformats.org/spreadsheetml/2006/main" id="23" name="COSTS_Archer_Tower" displayName="COSTS_Archer_Tower" ref="G35:I48" totalsRowShown="0" headerRowDxfId="1091" dataDxfId="1089" headerRowBorderDxfId="1090" tableBorderDxfId="1088" totalsRowBorderDxfId="1087">
  <autoFilter ref="G35:I48"/>
  <tableColumns count="3">
    <tableColumn id="1" name="LVL" dataDxfId="1086"/>
    <tableColumn id="2" name="Coût" dataDxfId="1085"/>
    <tableColumn id="4" name="Temps" dataDxfId="1084"/>
  </tableColumns>
  <tableStyleInfo name="TableStyleMedium9" showFirstColumn="0" showLastColumn="0" showRowStripes="1" showColumnStripes="0"/>
</table>
</file>

<file path=xl/tables/table47.xml><?xml version="1.0" encoding="utf-8"?>
<table xmlns="http://schemas.openxmlformats.org/spreadsheetml/2006/main" id="24" name="COSTS_Wall" displayName="COSTS_Wall" ref="A35:C46" totalsRowShown="0" headerRowDxfId="1083" dataDxfId="1081" headerRowBorderDxfId="1082" tableBorderDxfId="1080" totalsRowBorderDxfId="1079">
  <autoFilter ref="A35:C46"/>
  <tableColumns count="3">
    <tableColumn id="1" name="LVL" dataDxfId="1078"/>
    <tableColumn id="2" name="Coût" dataDxfId="1077"/>
    <tableColumn id="4" name="Temps" dataDxfId="1076"/>
  </tableColumns>
  <tableStyleInfo name="TableStyleMedium9" showFirstColumn="0" showLastColumn="0" showRowStripes="1" showColumnStripes="0"/>
</table>
</file>

<file path=xl/tables/table48.xml><?xml version="1.0" encoding="utf-8"?>
<table xmlns="http://schemas.openxmlformats.org/spreadsheetml/2006/main" id="26" name="COSTS_Hidden_Tesla" displayName="COSTS_Hidden_Tesla" ref="V35:X43" totalsRowShown="0" headerRowDxfId="1075" dataDxfId="1073" headerRowBorderDxfId="1074" tableBorderDxfId="1072" totalsRowBorderDxfId="1071">
  <autoFilter ref="V35:X43"/>
  <tableColumns count="3">
    <tableColumn id="1" name="LVL" dataDxfId="1070"/>
    <tableColumn id="2" name="Coût" dataDxfId="1069"/>
    <tableColumn id="4" name="Temps" dataDxfId="1068"/>
  </tableColumns>
  <tableStyleInfo name="TableStyleMedium9" showFirstColumn="0" showLastColumn="0" showRowStripes="1" showColumnStripes="0"/>
</table>
</file>

<file path=xl/tables/table49.xml><?xml version="1.0" encoding="utf-8"?>
<table xmlns="http://schemas.openxmlformats.org/spreadsheetml/2006/main" id="27" name="COSTS_XBow" displayName="COSTS_XBow" ref="Y35:AA39" totalsRowShown="0" headerRowDxfId="1067" dataDxfId="1065" headerRowBorderDxfId="1066" tableBorderDxfId="1064" totalsRowBorderDxfId="1063">
  <autoFilter ref="Y35:AA39"/>
  <tableColumns count="3">
    <tableColumn id="1" name="LVL" dataDxfId="1062"/>
    <tableColumn id="2" name="Coût" dataDxfId="1061"/>
    <tableColumn id="4" name="Temps" dataDxfId="1060"/>
  </tableColumns>
  <tableStyleInfo name="TableStyleMedium9" showFirstColumn="0" showLastColumn="0" showRowStripes="1" showColumnStripes="0"/>
</table>
</file>

<file path=xl/tables/table50.xml><?xml version="1.0" encoding="utf-8"?>
<table xmlns="http://schemas.openxmlformats.org/spreadsheetml/2006/main" id="28" name="COSTS_Inferno_Tower" displayName="COSTS_Inferno_Tower" ref="AB35:AD38" totalsRowShown="0" headerRowDxfId="1059" dataDxfId="1057" headerRowBorderDxfId="1058" tableBorderDxfId="1056" totalsRowBorderDxfId="1055">
  <autoFilter ref="AB35:AD38"/>
  <tableColumns count="3">
    <tableColumn id="1" name="LVL" dataDxfId="1054"/>
    <tableColumn id="2" name="Coût" dataDxfId="1053"/>
    <tableColumn id="4" name="Temps" dataDxfId="1052"/>
  </tableColumns>
  <tableStyleInfo name="TableStyleMedium9" showFirstColumn="0" showLastColumn="0" showRowStripes="1" showColumnStripes="0"/>
</table>
</file>

<file path=xl/tables/table51.xml><?xml version="1.0" encoding="utf-8"?>
<table xmlns="http://schemas.openxmlformats.org/spreadsheetml/2006/main" id="25" name="COSTS_Barbarian_King" displayName="COSTS_Barbarian_King" ref="A123:C163" totalsRowShown="0" headerRowDxfId="1051" dataDxfId="1049" headerRowBorderDxfId="1050" tableBorderDxfId="1048" totalsRowBorderDxfId="1047">
  <autoFilter ref="A123:C163"/>
  <tableColumns count="3">
    <tableColumn id="1" name="LVL" dataDxfId="1046"/>
    <tableColumn id="2" name="Coût" dataDxfId="1045"/>
    <tableColumn id="4" name="Temps" dataDxfId="1044"/>
  </tableColumns>
  <tableStyleInfo name="TableStyleMedium9" showFirstColumn="0" showLastColumn="0" showRowStripes="1" showColumnStripes="0"/>
</table>
</file>

<file path=xl/tables/table52.xml><?xml version="1.0" encoding="utf-8"?>
<table xmlns="http://schemas.openxmlformats.org/spreadsheetml/2006/main" id="29" name="COSTS_Archer_Queen" displayName="COSTS_Archer_Queen" ref="D123:F163" totalsRowShown="0" headerRowDxfId="1043" dataDxfId="1041" headerRowBorderDxfId="1042" tableBorderDxfId="1040" totalsRowBorderDxfId="1039">
  <autoFilter ref="D123:F163"/>
  <tableColumns count="3">
    <tableColumn id="1" name="LVL" dataDxfId="1038"/>
    <tableColumn id="2" name="Coût" dataDxfId="1037"/>
    <tableColumn id="4" name="Temps" dataDxfId="1036"/>
  </tableColumns>
  <tableStyleInfo name="TableStyleMedium9" showFirstColumn="0" showLastColumn="0" showRowStripes="1" showColumnStripes="0"/>
</table>
</file>

<file path=xl/tables/table53.xml><?xml version="1.0" encoding="utf-8"?>
<table xmlns="http://schemas.openxmlformats.org/spreadsheetml/2006/main" id="31" name="COSTS_Town_Home" displayName="COSTS_Town_Home" ref="D64:F75" totalsRowShown="0" headerRowDxfId="1035" dataDxfId="1033" headerRowBorderDxfId="1034" tableBorderDxfId="1032" totalsRowBorderDxfId="1031">
  <autoFilter ref="D64:F75"/>
  <tableColumns count="3">
    <tableColumn id="1" name="LVL" dataDxfId="1030"/>
    <tableColumn id="2" name="Coût" dataDxfId="1029"/>
    <tableColumn id="4" name="Temps" dataDxfId="1028"/>
  </tableColumns>
  <tableStyleInfo name="TableStyleMedium9" showFirstColumn="0" showLastColumn="0" showRowStripes="1" showColumnStripes="0"/>
</table>
</file>

<file path=xl/tables/table54.xml><?xml version="1.0" encoding="utf-8"?>
<table xmlns="http://schemas.openxmlformats.org/spreadsheetml/2006/main" id="53" name="COSTS_Balloon" displayName="COSTS_Balloon" ref="P91:R97" totalsRowShown="0" headerRowDxfId="1027" dataDxfId="1025" headerRowBorderDxfId="1026" tableBorderDxfId="1024">
  <autoFilter ref="P91:R97"/>
  <tableColumns count="3">
    <tableColumn id="1" name="LVL" dataDxfId="1023"/>
    <tableColumn id="2" name="Coût" dataDxfId="1022"/>
    <tableColumn id="3" name="Temps" dataDxfId="1021"/>
  </tableColumns>
  <tableStyleInfo name="TableStyleMedium9" showFirstColumn="0" showLastColumn="0" showRowStripes="1" showColumnStripes="0"/>
</table>
</file>

<file path=xl/tables/table55.xml><?xml version="1.0" encoding="utf-8"?>
<table xmlns="http://schemas.openxmlformats.org/spreadsheetml/2006/main" id="54" name="COSTS_Giant" displayName="COSTS_Giant" ref="J91:L98" totalsRowShown="0" headerRowDxfId="1020" dataDxfId="1018" headerRowBorderDxfId="1019" tableBorderDxfId="1017">
  <autoFilter ref="J91:L98"/>
  <tableColumns count="3">
    <tableColumn id="1" name="LVL" dataDxfId="1016"/>
    <tableColumn id="2" name="Coût" dataDxfId="1015"/>
    <tableColumn id="4" name="Temps" dataDxfId="1014"/>
  </tableColumns>
  <tableStyleInfo name="TableStyleMedium9" showFirstColumn="0" showLastColumn="0" showRowStripes="1" showColumnStripes="0"/>
</table>
</file>

<file path=xl/tables/table56.xml><?xml version="1.0" encoding="utf-8"?>
<table xmlns="http://schemas.openxmlformats.org/spreadsheetml/2006/main" id="55" name="COSTS_Wall_Breaker" displayName="COSTS_Wall_Breaker" ref="M91:O97" totalsRowShown="0" headerRowDxfId="1013" dataDxfId="1011" headerRowBorderDxfId="1012" tableBorderDxfId="1010">
  <autoFilter ref="M91:O97"/>
  <tableColumns count="3">
    <tableColumn id="1" name="LVL" dataDxfId="1009"/>
    <tableColumn id="2" name="Coût" dataDxfId="1008"/>
    <tableColumn id="4" name="Temps" dataDxfId="1007"/>
  </tableColumns>
  <tableStyleInfo name="TableStyleMedium9" showFirstColumn="0" showLastColumn="0" showRowStripes="1" showColumnStripes="0"/>
</table>
</file>

<file path=xl/tables/table57.xml><?xml version="1.0" encoding="utf-8"?>
<table xmlns="http://schemas.openxmlformats.org/spreadsheetml/2006/main" id="56" name="COSTS_Barbarian" displayName="COSTS_Barbarian" ref="A91:C98" totalsRowShown="0" headerRowDxfId="1006" dataDxfId="1004" headerRowBorderDxfId="1005" tableBorderDxfId="1003" totalsRowBorderDxfId="1002">
  <autoFilter ref="A91:C98"/>
  <tableColumns count="3">
    <tableColumn id="1" name="LVL" dataDxfId="1001"/>
    <tableColumn id="2" name="Coût" dataDxfId="1000"/>
    <tableColumn id="4" name="Temps" dataDxfId="999"/>
  </tableColumns>
  <tableStyleInfo name="TableStyleMedium9" showFirstColumn="0" showLastColumn="0" showRowStripes="1" showColumnStripes="0"/>
</table>
</file>

<file path=xl/tables/table58.xml><?xml version="1.0" encoding="utf-8"?>
<table xmlns="http://schemas.openxmlformats.org/spreadsheetml/2006/main" id="58" name="COSTS_Archer" displayName="COSTS_Archer" ref="D91:F98" totalsRowShown="0" headerRowDxfId="998" dataDxfId="996" headerRowBorderDxfId="997" tableBorderDxfId="995" totalsRowBorderDxfId="994">
  <autoFilter ref="D91:F98"/>
  <tableColumns count="3">
    <tableColumn id="1" name="LVL" dataDxfId="993"/>
    <tableColumn id="2" name="Coût" dataDxfId="992"/>
    <tableColumn id="4" name="Temps" dataDxfId="991"/>
  </tableColumns>
  <tableStyleInfo name="TableStyleMedium9" showFirstColumn="0" showLastColumn="0" showRowStripes="1" showColumnStripes="0"/>
</table>
</file>

<file path=xl/tables/table59.xml><?xml version="1.0" encoding="utf-8"?>
<table xmlns="http://schemas.openxmlformats.org/spreadsheetml/2006/main" id="59" name="COSTS_Goblin" displayName="COSTS_Goblin" ref="G91:I97" totalsRowShown="0" headerRowDxfId="990" dataDxfId="988" headerRowBorderDxfId="989" tableBorderDxfId="987" totalsRowBorderDxfId="986">
  <autoFilter ref="G91:I97"/>
  <tableColumns count="3">
    <tableColumn id="1" name="LVL" dataDxfId="985"/>
    <tableColumn id="2" name="Coût" dataDxfId="984"/>
    <tableColumn id="4" name="Temps" dataDxfId="983"/>
  </tableColumns>
  <tableStyleInfo name="TableStyleMedium9" showFirstColumn="0" showLastColumn="0" showRowStripes="1" showColumnStripes="0"/>
</table>
</file>

<file path=xl/tables/table60.xml><?xml version="1.0" encoding="utf-8"?>
<table xmlns="http://schemas.openxmlformats.org/spreadsheetml/2006/main" id="61" name="COSTS_Wizard" displayName="COSTS_Wizard" ref="S91:U97" totalsRowShown="0" headerRowDxfId="982" dataDxfId="980" headerRowBorderDxfId="981" tableBorderDxfId="979" totalsRowBorderDxfId="978">
  <autoFilter ref="S91:U97"/>
  <tableColumns count="3">
    <tableColumn id="1" name="LVL" dataDxfId="977"/>
    <tableColumn id="2" name="Coût" dataDxfId="976"/>
    <tableColumn id="4" name="Temps" dataDxfId="975"/>
  </tableColumns>
  <tableStyleInfo name="TableStyleMedium9" showFirstColumn="0" showLastColumn="0" showRowStripes="1" showColumnStripes="0"/>
</table>
</file>

<file path=xl/tables/table61.xml><?xml version="1.0" encoding="utf-8"?>
<table xmlns="http://schemas.openxmlformats.org/spreadsheetml/2006/main" id="62" name="COSTS_Healer" displayName="COSTS_Healer" ref="V91:X95" totalsRowShown="0" headerRowDxfId="974" dataDxfId="972" headerRowBorderDxfId="973" tableBorderDxfId="971" totalsRowBorderDxfId="970">
  <autoFilter ref="V91:X95"/>
  <tableColumns count="3">
    <tableColumn id="1" name="LVL" dataDxfId="969"/>
    <tableColumn id="2" name="Coût" dataDxfId="968"/>
    <tableColumn id="4" name="Temps" dataDxfId="967"/>
  </tableColumns>
  <tableStyleInfo name="TableStyleMedium9" showFirstColumn="0" showLastColumn="0" showRowStripes="1" showColumnStripes="0"/>
</table>
</file>

<file path=xl/tables/table62.xml><?xml version="1.0" encoding="utf-8"?>
<table xmlns="http://schemas.openxmlformats.org/spreadsheetml/2006/main" id="63" name="COSTS_Dragon" displayName="COSTS_Dragon" ref="Y91:AA96" totalsRowShown="0" headerRowDxfId="966" dataDxfId="964" headerRowBorderDxfId="965" tableBorderDxfId="963" totalsRowBorderDxfId="962">
  <autoFilter ref="Y91:AA96"/>
  <tableColumns count="3">
    <tableColumn id="1" name="LVL" dataDxfId="961"/>
    <tableColumn id="2" name="Coût" dataDxfId="960"/>
    <tableColumn id="4" name="Temps" dataDxfId="959"/>
  </tableColumns>
  <tableStyleInfo name="TableStyleMedium9" showFirstColumn="0" showLastColumn="0" showRowStripes="1" showColumnStripes="0"/>
</table>
</file>

<file path=xl/tables/table63.xml><?xml version="1.0" encoding="utf-8"?>
<table xmlns="http://schemas.openxmlformats.org/spreadsheetml/2006/main" id="66" name="COSTS_PEKKA" displayName="COSTS_PEKKA" ref="AB91:AD96" totalsRowShown="0" headerRowDxfId="958" dataDxfId="956" headerRowBorderDxfId="957" tableBorderDxfId="955" totalsRowBorderDxfId="954">
  <autoFilter ref="AB91:AD96"/>
  <tableColumns count="3">
    <tableColumn id="1" name="LVL" dataDxfId="953"/>
    <tableColumn id="2" name="Coût" dataDxfId="952"/>
    <tableColumn id="4" name="Temps" dataDxfId="951"/>
  </tableColumns>
  <tableStyleInfo name="TableStyleMedium9" showFirstColumn="0" showLastColumn="0" showRowStripes="1" showColumnStripes="0"/>
</table>
</file>

<file path=xl/tables/table64.xml><?xml version="1.0" encoding="utf-8"?>
<table xmlns="http://schemas.openxmlformats.org/spreadsheetml/2006/main" id="34" name="COSTS_Spell_Lightning" displayName="COSTS_Spell_Lightning" ref="A79:C86" totalsRowShown="0" headerRowDxfId="950" dataDxfId="948" headerRowBorderDxfId="949" tableBorderDxfId="947" totalsRowBorderDxfId="946">
  <autoFilter ref="A79:C86"/>
  <tableColumns count="3">
    <tableColumn id="1" name="LVL" dataDxfId="945"/>
    <tableColumn id="2" name="Coût" dataDxfId="944"/>
    <tableColumn id="4" name="Temps" dataDxfId="943"/>
  </tableColumns>
  <tableStyleInfo name="TableStyleMedium9" showFirstColumn="0" showLastColumn="0" showRowStripes="1" showColumnStripes="0"/>
</table>
</file>

<file path=xl/tables/table65.xml><?xml version="1.0" encoding="utf-8"?>
<table xmlns="http://schemas.openxmlformats.org/spreadsheetml/2006/main" id="35" name="COSTS_Spell_Healing" displayName="COSTS_Spell_Healing" ref="D79:F85" totalsRowShown="0" headerRowDxfId="942" dataDxfId="940" headerRowBorderDxfId="941" tableBorderDxfId="939" totalsRowBorderDxfId="938">
  <autoFilter ref="D79:F85"/>
  <tableColumns count="3">
    <tableColumn id="1" name="LVL" dataDxfId="937"/>
    <tableColumn id="2" name="Coût" dataDxfId="936"/>
    <tableColumn id="4" name="Temps" dataDxfId="935"/>
  </tableColumns>
  <tableStyleInfo name="TableStyleMedium9" showFirstColumn="0" showLastColumn="0" showRowStripes="1" showColumnStripes="0"/>
</table>
</file>

<file path=xl/tables/table66.xml><?xml version="1.0" encoding="utf-8"?>
<table xmlns="http://schemas.openxmlformats.org/spreadsheetml/2006/main" id="36" name="COSTS_Spell_Rage" displayName="COSTS_Spell_Rage" ref="G79:I84" totalsRowShown="0" headerRowDxfId="934" dataDxfId="932" headerRowBorderDxfId="933" tableBorderDxfId="931" totalsRowBorderDxfId="930">
  <autoFilter ref="G79:I84"/>
  <tableColumns count="3">
    <tableColumn id="1" name="LVL" dataDxfId="929"/>
    <tableColumn id="2" name="Coût" dataDxfId="928"/>
    <tableColumn id="4" name="Temps" dataDxfId="927"/>
  </tableColumns>
  <tableStyleInfo name="TableStyleMedium9" showFirstColumn="0" showLastColumn="0" showRowStripes="1" showColumnStripes="0"/>
</table>
</file>

<file path=xl/tables/table67.xml><?xml version="1.0" encoding="utf-8"?>
<table xmlns="http://schemas.openxmlformats.org/spreadsheetml/2006/main" id="37" name="COSTS_Spell_Jump" displayName="COSTS_Spell_Jump" ref="J79:L82" totalsRowShown="0" headerRowDxfId="926" dataDxfId="924" headerRowBorderDxfId="925" tableBorderDxfId="923" totalsRowBorderDxfId="922">
  <autoFilter ref="J79:L82"/>
  <tableColumns count="3">
    <tableColumn id="1" name="LVL" dataDxfId="921"/>
    <tableColumn id="2" name="Coût" dataDxfId="920"/>
    <tableColumn id="4" name="Temps" dataDxfId="919"/>
  </tableColumns>
  <tableStyleInfo name="TableStyleMedium9" showFirstColumn="0" showLastColumn="0" showRowStripes="1" showColumnStripes="0"/>
</table>
</file>

<file path=xl/tables/table68.xml><?xml version="1.0" encoding="utf-8"?>
<table xmlns="http://schemas.openxmlformats.org/spreadsheetml/2006/main" id="41" name="COSTS_Golem" displayName="COSTS_Golem" ref="J112:L117" totalsRowShown="0" headerRowDxfId="918" dataDxfId="916" headerRowBorderDxfId="917" tableBorderDxfId="915">
  <autoFilter ref="J112:L117"/>
  <tableColumns count="3">
    <tableColumn id="1" name="LVL" dataDxfId="914"/>
    <tableColumn id="2" name="Coût" dataDxfId="913"/>
    <tableColumn id="4" name="Temps" dataDxfId="912"/>
  </tableColumns>
  <tableStyleInfo name="TableStyleMedium9" showFirstColumn="0" showLastColumn="0" showRowStripes="1" showColumnStripes="0"/>
</table>
</file>

<file path=xl/tables/table69.xml><?xml version="1.0" encoding="utf-8"?>
<table xmlns="http://schemas.openxmlformats.org/spreadsheetml/2006/main" id="43" name="COSTS_Minion" displayName="COSTS_Minion" ref="A112:C119" totalsRowShown="0" headerRowDxfId="911" dataDxfId="909" headerRowBorderDxfId="910" tableBorderDxfId="908" totalsRowBorderDxfId="907">
  <autoFilter ref="A112:C119"/>
  <tableColumns count="3">
    <tableColumn id="1" name="LVL" dataDxfId="906"/>
    <tableColumn id="2" name="Coût" dataDxfId="905"/>
    <tableColumn id="4" name="Temps" dataDxfId="904"/>
  </tableColumns>
  <tableStyleInfo name="TableStyleMedium9" showFirstColumn="0" showLastColumn="0" showRowStripes="1" showColumnStripes="0"/>
</table>
</file>

<file path=xl/tables/table70.xml><?xml version="1.0" encoding="utf-8"?>
<table xmlns="http://schemas.openxmlformats.org/spreadsheetml/2006/main" id="44" name="COSTS_Hog_Rider" displayName="COSTS_Hog_Rider" ref="D112:F117" totalsRowShown="0" headerRowDxfId="903" dataDxfId="901" headerRowBorderDxfId="902" tableBorderDxfId="900" totalsRowBorderDxfId="899">
  <autoFilter ref="D112:F117"/>
  <tableColumns count="3">
    <tableColumn id="1" name="LVL" dataDxfId="898"/>
    <tableColumn id="2" name="Coût" dataDxfId="897"/>
    <tableColumn id="4" name="Temps" dataDxfId="896"/>
  </tableColumns>
  <tableStyleInfo name="TableStyleMedium9" showFirstColumn="0" showLastColumn="0" showRowStripes="1" showColumnStripes="0"/>
</table>
</file>

<file path=xl/tables/table71.xml><?xml version="1.0" encoding="utf-8"?>
<table xmlns="http://schemas.openxmlformats.org/spreadsheetml/2006/main" id="45" name="COSTS_Valkyrie" displayName="COSTS_Valkyrie" ref="G112:I116" totalsRowShown="0" headerRowDxfId="895" dataDxfId="893" headerRowBorderDxfId="894" tableBorderDxfId="892" totalsRowBorderDxfId="891">
  <autoFilter ref="G112:I116"/>
  <tableColumns count="3">
    <tableColumn id="1" name="LVL" dataDxfId="890"/>
    <tableColumn id="2" name="Coût" dataDxfId="889"/>
    <tableColumn id="4" name="Temps" dataDxfId="888"/>
  </tableColumns>
  <tableStyleInfo name="TableStyleMedium9" showFirstColumn="0" showLastColumn="0" showRowStripes="1" showColumnStripes="0"/>
</table>
</file>

<file path=xl/tables/table72.xml><?xml version="1.0" encoding="utf-8"?>
<table xmlns="http://schemas.openxmlformats.org/spreadsheetml/2006/main" id="40" name="COSTS_Spell_Freeze" displayName="COSTS_Spell_Freeze" ref="M79:O84" totalsRowShown="0" headerRowDxfId="887" dataDxfId="885" headerRowBorderDxfId="886" tableBorderDxfId="884" totalsRowBorderDxfId="883">
  <autoFilter ref="M79:O84"/>
  <tableColumns count="3">
    <tableColumn id="1" name="LVL" dataDxfId="882"/>
    <tableColumn id="2" name="Coût" dataDxfId="881"/>
    <tableColumn id="4" name="Temps" dataDxfId="880"/>
  </tableColumns>
  <tableStyleInfo name="TableStyleMedium9" showFirstColumn="0" showLastColumn="0" showRowStripes="1" showColumnStripes="0"/>
</table>
</file>

<file path=xl/tables/table73.xml><?xml version="1.0" encoding="utf-8"?>
<table xmlns="http://schemas.openxmlformats.org/spreadsheetml/2006/main" id="75" name="COSTS_Witch" displayName="COSTS_Witch" ref="M112:O115" totalsRowShown="0" headerRowDxfId="879" dataDxfId="877" headerRowBorderDxfId="878" tableBorderDxfId="876">
  <autoFilter ref="M112:O115"/>
  <tableColumns count="3">
    <tableColumn id="1" name="LVL" dataDxfId="875"/>
    <tableColumn id="2" name="Coût" dataDxfId="874"/>
    <tableColumn id="4" name="Temps" dataDxfId="873"/>
  </tableColumns>
  <tableStyleInfo name="TableStyleMedium9" showFirstColumn="0" showLastColumn="0" showRowStripes="1" showColumnStripes="0"/>
</table>
</file>

<file path=xl/tables/table74.xml><?xml version="1.0" encoding="utf-8"?>
<table xmlns="http://schemas.openxmlformats.org/spreadsheetml/2006/main" id="79" name="COSTS_Giant_Bomb" displayName="COSTS_Giant_Bomb" ref="G53:I57" totalsRowShown="0" headerRowDxfId="872" headerRowBorderDxfId="871" tableBorderDxfId="870">
  <autoFilter ref="G53:I57"/>
  <tableColumns count="3">
    <tableColumn id="1" name="LVL" dataDxfId="869"/>
    <tableColumn id="2" name="Coût" dataDxfId="868"/>
    <tableColumn id="4" name="Temps" dataDxfId="867"/>
  </tableColumns>
  <tableStyleInfo name="TableStyleMedium9" showFirstColumn="0" showLastColumn="0" showRowStripes="1" showColumnStripes="0"/>
</table>
</file>

<file path=xl/tables/table75.xml><?xml version="1.0" encoding="utf-8"?>
<table xmlns="http://schemas.openxmlformats.org/spreadsheetml/2006/main" id="81" name="COSTS_Spring_Trap" displayName="COSTS_Spring_Trap" ref="D53:F54" totalsRowShown="0" headerRowDxfId="866" headerRowBorderDxfId="865" tableBorderDxfId="864">
  <autoFilter ref="D53:F54"/>
  <tableColumns count="3">
    <tableColumn id="1" name="LVL" dataDxfId="863"/>
    <tableColumn id="2" name="Coût" dataDxfId="862"/>
    <tableColumn id="4" name="Temps" dataDxfId="861"/>
  </tableColumns>
  <tableStyleInfo name="TableStyleMedium9" showFirstColumn="0" showLastColumn="0" showRowStripes="1" showColumnStripes="0"/>
</table>
</file>

<file path=xl/tables/table76.xml><?xml version="1.0" encoding="utf-8"?>
<table xmlns="http://schemas.openxmlformats.org/spreadsheetml/2006/main" id="80" name="COSTS_Bomb" displayName="COSTS_Bomb" ref="A53:C59" totalsRowShown="0" headerRowDxfId="860" headerRowBorderDxfId="859" tableBorderDxfId="858" totalsRowBorderDxfId="857">
  <autoFilter ref="A53:C59"/>
  <tableColumns count="3">
    <tableColumn id="1" name="LVL" dataDxfId="856"/>
    <tableColumn id="2" name="Coût" dataDxfId="855"/>
    <tableColumn id="3" name="Temps" dataDxfId="854"/>
  </tableColumns>
  <tableStyleInfo name="TableStyleMedium15" showFirstColumn="0" showLastColumn="0" showRowStripes="1" showColumnStripes="0"/>
</table>
</file>

<file path=xl/tables/table77.xml><?xml version="1.0" encoding="utf-8"?>
<table xmlns="http://schemas.openxmlformats.org/spreadsheetml/2006/main" id="82" name="COST_Air_Bomb" displayName="COST_Air_Bomb" ref="J53:L57" totalsRowShown="0" headerRowBorderDxfId="853" tableBorderDxfId="852">
  <autoFilter ref="J53:L57"/>
  <tableColumns count="3">
    <tableColumn id="1" name="LVL" dataDxfId="851"/>
    <tableColumn id="2" name="Coût" dataDxfId="850"/>
    <tableColumn id="3" name="Temps" dataDxfId="849"/>
  </tableColumns>
  <tableStyleInfo name="TableStyleLight9" showFirstColumn="0" showLastColumn="0" showRowStripes="1" showColumnStripes="0"/>
</table>
</file>

<file path=xl/tables/table78.xml><?xml version="1.0" encoding="utf-8"?>
<table xmlns="http://schemas.openxmlformats.org/spreadsheetml/2006/main" id="83" name="COST_Seeking_Air_Mine" displayName="COST_Seeking_Air_Mine" ref="M53:O56" totalsRowShown="0" headerRowBorderDxfId="848" tableBorderDxfId="847">
  <autoFilter ref="M53:O56"/>
  <tableColumns count="3">
    <tableColumn id="1" name="LVL" dataDxfId="846"/>
    <tableColumn id="2" name="Coût" dataDxfId="845"/>
    <tableColumn id="3" name="Temps" dataDxfId="844"/>
  </tableColumns>
  <tableStyleInfo name="TableStyleLight9" showFirstColumn="0" showLastColumn="0" showRowStripes="1" showColumnStripes="0"/>
</table>
</file>

<file path=xl/tables/table79.xml><?xml version="1.0" encoding="utf-8"?>
<table xmlns="http://schemas.openxmlformats.org/spreadsheetml/2006/main" id="84" name="COST_Skeleton_Trap" displayName="COST_Skeleton_Trap" ref="P53:R56" totalsRowShown="0" headerRowBorderDxfId="843" tableBorderDxfId="842">
  <autoFilter ref="P53:R56"/>
  <tableColumns count="3">
    <tableColumn id="1" name="LVL" dataDxfId="841"/>
    <tableColumn id="2" name="Coût" dataDxfId="840"/>
    <tableColumn id="3" name="Temps" dataDxfId="839"/>
  </tableColumns>
  <tableStyleInfo name="TableStyleLight9" showFirstColumn="0" showLastColumn="0" showRowStripes="1" showColumnStripes="0"/>
</table>
</file>

<file path=xl/tables/table80.xml><?xml version="1.0" encoding="utf-8"?>
<table xmlns="http://schemas.openxmlformats.org/spreadsheetml/2006/main" id="90" name="COSTS_Lava_Hound" displayName="COSTS_Lava_Hound" ref="P112:R115" totalsRowShown="0" headerRowBorderDxfId="838" tableBorderDxfId="837">
  <autoFilter ref="P112:R115"/>
  <tableColumns count="3">
    <tableColumn id="1" name="LVL" dataDxfId="836"/>
    <tableColumn id="2" name="Coût" dataDxfId="835"/>
    <tableColumn id="3" name="Temps" dataDxfId="834"/>
  </tableColumns>
  <tableStyleInfo name="TableStyleLight1" showFirstColumn="0" showLastColumn="0" showRowStripes="1" showColumnStripes="0"/>
</table>
</file>

<file path=xl/tables/table81.xml><?xml version="1.0" encoding="utf-8"?>
<table xmlns="http://schemas.openxmlformats.org/spreadsheetml/2006/main" id="86" name="COSTS_Air_Sweeper" displayName="COSTS_Air_Sweeper" ref="S35:U41" totalsRowShown="0" headerRowDxfId="833" dataDxfId="831" headerRowBorderDxfId="832" tableBorderDxfId="830" totalsRowBorderDxfId="829">
  <autoFilter ref="S35:U41"/>
  <tableColumns count="3">
    <tableColumn id="1" name="LVL" dataDxfId="828"/>
    <tableColumn id="2" name="Coût" dataDxfId="827"/>
    <tableColumn id="4" name="Temps" dataDxfId="826"/>
  </tableColumns>
  <tableStyleInfo name="TableStyleMedium9" showFirstColumn="0" showLastColumn="0" showRowStripes="1" showColumnStripes="0"/>
</table>
</file>

<file path=xl/tables/table82.xml><?xml version="1.0" encoding="utf-8"?>
<table xmlns="http://schemas.openxmlformats.org/spreadsheetml/2006/main" id="138" name="COSTS_Dark_Spell_Factory" displayName="COSTS_Dark_Spell_Factory" ref="P20:R23" totalsRowShown="0" headerRowDxfId="825" dataDxfId="823" headerRowBorderDxfId="824" tableBorderDxfId="822" totalsRowBorderDxfId="821">
  <autoFilter ref="P20:R23"/>
  <tableColumns count="3">
    <tableColumn id="1" name="LVL" dataDxfId="820"/>
    <tableColumn id="2" name="Coût" dataDxfId="819"/>
    <tableColumn id="4" name="Temps" dataDxfId="818"/>
  </tableColumns>
  <tableStyleInfo name="TableStyleMedium9" showFirstColumn="0" showLastColumn="0" showRowStripes="1" showColumnStripes="0"/>
</table>
</file>

<file path=xl/tables/table83.xml><?xml version="1.0" encoding="utf-8"?>
<table xmlns="http://schemas.openxmlformats.org/spreadsheetml/2006/main" id="141" name="COSTS_Spell_Poison" displayName="COSTS_Spell_Poison" ref="A103:C107" totalsRowShown="0" headerRowDxfId="817" dataDxfId="815" headerRowBorderDxfId="816" tableBorderDxfId="814" totalsRowBorderDxfId="813">
  <autoFilter ref="A103:C107"/>
  <tableColumns count="3">
    <tableColumn id="1" name="LVL" dataDxfId="812"/>
    <tableColumn id="2" name="Coût" dataDxfId="811"/>
    <tableColumn id="4" name="Temps" dataDxfId="810"/>
  </tableColumns>
  <tableStyleInfo name="TableStyleMedium9" showFirstColumn="0" showLastColumn="0" showRowStripes="1" showColumnStripes="0"/>
</table>
</file>

<file path=xl/tables/table84.xml><?xml version="1.0" encoding="utf-8"?>
<table xmlns="http://schemas.openxmlformats.org/spreadsheetml/2006/main" id="142" name="COSTS_Spell_Earthquake" displayName="COSTS_Spell_Earthquake" ref="D103:F107" totalsRowShown="0" headerRowDxfId="809" dataDxfId="807" headerRowBorderDxfId="808" tableBorderDxfId="806" totalsRowBorderDxfId="805">
  <autoFilter ref="D103:F107"/>
  <tableColumns count="3">
    <tableColumn id="1" name="LVL" dataDxfId="804"/>
    <tableColumn id="2" name="Coût" dataDxfId="803"/>
    <tableColumn id="4" name="Temps" dataDxfId="802"/>
  </tableColumns>
  <tableStyleInfo name="TableStyleMedium9" showFirstColumn="0" showLastColumn="0" showRowStripes="1" showColumnStripes="0"/>
</table>
</file>

<file path=xl/tables/table85.xml><?xml version="1.0" encoding="utf-8"?>
<table xmlns="http://schemas.openxmlformats.org/spreadsheetml/2006/main" id="143" name="COSTS_Spell_Haste" displayName="COSTS_Spell_Haste" ref="G103:I107" totalsRowShown="0" headerRowDxfId="801" dataDxfId="799" headerRowBorderDxfId="800" tableBorderDxfId="798" totalsRowBorderDxfId="797">
  <autoFilter ref="G103:I107"/>
  <tableColumns count="3">
    <tableColumn id="1" name="LVL" dataDxfId="796"/>
    <tableColumn id="2" name="Coût" dataDxfId="795"/>
    <tableColumn id="4" name="Temps" dataDxfId="794"/>
  </tableColumns>
  <tableStyleInfo name="TableStyleMedium9" showFirstColumn="0" showLastColumn="0" showRowStripes="1" showColumnStripes="0"/>
</table>
</file>

<file path=xl/tables/table86.xml><?xml version="1.0" encoding="utf-8"?>
<table xmlns="http://schemas.openxmlformats.org/spreadsheetml/2006/main" id="155" name="COSTS_Grand_Warden" displayName="COSTS_Grand_Warden" ref="G123:I143" totalsRowShown="0" headerRowDxfId="793" dataDxfId="791" headerRowBorderDxfId="792" tableBorderDxfId="790" totalsRowBorderDxfId="789">
  <autoFilter ref="G123:I143"/>
  <tableColumns count="3">
    <tableColumn id="1" name="LVL" dataDxfId="788"/>
    <tableColumn id="2" name="Coût" dataDxfId="787"/>
    <tableColumn id="4" name="Temps" dataDxfId="786"/>
  </tableColumns>
  <tableStyleInfo name="TableStyleMedium9" showFirstColumn="0" showLastColumn="0" showRowStripes="1" showColumnStripes="0"/>
</table>
</file>

<file path=xl/tables/table87.xml><?xml version="1.0" encoding="utf-8"?>
<table xmlns="http://schemas.openxmlformats.org/spreadsheetml/2006/main" id="153" name="COSTS_Defense_Aigle" displayName="COSTS_Defense_Aigle" ref="AE35:AG37" totalsRowShown="0" headerRowDxfId="785" dataDxfId="783" headerRowBorderDxfId="784" tableBorderDxfId="782" totalsRowBorderDxfId="781">
  <autoFilter ref="AE35:AG37"/>
  <tableColumns count="3">
    <tableColumn id="1" name="LVL" dataDxfId="780"/>
    <tableColumn id="2" name="Coût" dataDxfId="779"/>
    <tableColumn id="4" name="Temps" dataDxfId="778"/>
  </tableColumns>
  <tableStyleInfo name="TableStyleMedium9" showFirstColumn="0" showLastColumn="0" showRowStripes="1" showColumnStripes="0"/>
</table>
</file>

<file path=xl/tables/table88.xml><?xml version="1.0" encoding="utf-8"?>
<table xmlns="http://schemas.openxmlformats.org/spreadsheetml/2006/main" id="57" name="EARNINGS_Gold_Mine" displayName="EARNINGS_Gold_Mine" ref="A4:C16" totalsRowShown="0" headerRowDxfId="777" dataDxfId="775" headerRowBorderDxfId="776" tableBorderDxfId="774" totalsRowBorderDxfId="773">
  <autoFilter ref="A4:C16"/>
  <tableColumns count="3">
    <tableColumn id="1" name="LVL" dataDxfId="772"/>
    <tableColumn id="2" name="Production" dataDxfId="771"/>
    <tableColumn id="4" name="Capacité" dataDxfId="770"/>
  </tableColumns>
  <tableStyleInfo name="TableStyleMedium9" showFirstColumn="0" showLastColumn="0" showRowStripes="1" showColumnStripes="0"/>
</table>
</file>

<file path=xl/tables/table89.xml><?xml version="1.0" encoding="utf-8"?>
<table xmlns="http://schemas.openxmlformats.org/spreadsheetml/2006/main" id="60" name="EARNINGS_Elixir_Collector" displayName="EARNINGS_Elixir_Collector" ref="F4:H16" totalsRowShown="0" headerRowDxfId="769" dataDxfId="767" headerRowBorderDxfId="768" tableBorderDxfId="766" totalsRowBorderDxfId="765">
  <autoFilter ref="F4:H16"/>
  <tableColumns count="3">
    <tableColumn id="1" name="LVL" dataDxfId="764"/>
    <tableColumn id="2" name="Production" dataDxfId="763"/>
    <tableColumn id="4" name="Capacité" dataDxfId="762"/>
  </tableColumns>
  <tableStyleInfo name="TableStyleMedium9" showFirstColumn="0" showLastColumn="0" showRowStripes="1" showColumnStripes="0"/>
</table>
</file>

<file path=xl/tables/table90.xml><?xml version="1.0" encoding="utf-8"?>
<table xmlns="http://schemas.openxmlformats.org/spreadsheetml/2006/main" id="64" name="EARNINGS_Dark_Elixir_Drill" displayName="EARNINGS_Dark_Elixir_Drill" ref="K4:M10" totalsRowShown="0" headerRowDxfId="761" dataDxfId="759" headerRowBorderDxfId="760" tableBorderDxfId="758" totalsRowBorderDxfId="757">
  <autoFilter ref="K4:M10"/>
  <tableColumns count="3">
    <tableColumn id="1" name="LVL" dataDxfId="756"/>
    <tableColumn id="2" name="Production" dataDxfId="755"/>
    <tableColumn id="4" name="Capacité" dataDxfId="754"/>
  </tableColumns>
  <tableStyleInfo name="TableStyleMedium9" showFirstColumn="0" showLastColumn="0" showRowStripes="1" showColumnStripes="0"/>
</table>
</file>

<file path=xl/tables/table91.xml><?xml version="1.0" encoding="utf-8"?>
<table xmlns="http://schemas.openxmlformats.org/spreadsheetml/2006/main" id="65" name="EARNINGS_Gold_Storage" displayName="EARNINGS_Gold_Storage" ref="D4:E16" totalsRowShown="0" headerRowDxfId="753" dataDxfId="751" headerRowBorderDxfId="752" tableBorderDxfId="750" totalsRowBorderDxfId="749">
  <autoFilter ref="D4:E16"/>
  <tableColumns count="2">
    <tableColumn id="1" name="LVL" dataDxfId="748"/>
    <tableColumn id="4" name="Capacité" dataDxfId="747"/>
  </tableColumns>
  <tableStyleInfo name="TableStyleMedium9" showFirstColumn="0" showLastColumn="0" showRowStripes="1" showColumnStripes="0"/>
</table>
</file>

<file path=xl/tables/table92.xml><?xml version="1.0" encoding="utf-8"?>
<table xmlns="http://schemas.openxmlformats.org/spreadsheetml/2006/main" id="67" name="EARNINGS_Elixir_Storage" displayName="EARNINGS_Elixir_Storage" ref="I4:J16" totalsRowShown="0" headerRowDxfId="746" dataDxfId="744" headerRowBorderDxfId="745" tableBorderDxfId="743" totalsRowBorderDxfId="742">
  <autoFilter ref="I4:J16"/>
  <tableColumns count="2">
    <tableColumn id="1" name="LVL" dataDxfId="741"/>
    <tableColumn id="4" name="Capacité" dataDxfId="740"/>
  </tableColumns>
  <tableStyleInfo name="TableStyleMedium9" showFirstColumn="0" showLastColumn="0" showRowStripes="1" showColumnStripes="0"/>
</table>
</file>

<file path=xl/tables/table93.xml><?xml version="1.0" encoding="utf-8"?>
<table xmlns="http://schemas.openxmlformats.org/spreadsheetml/2006/main" id="68" name="EARNINGS_Dark_Elixir_Storage" displayName="EARNINGS_Dark_Elixir_Storage" ref="N4:O10" totalsRowShown="0" headerRowDxfId="739" dataDxfId="737" headerRowBorderDxfId="738" tableBorderDxfId="736" totalsRowBorderDxfId="735">
  <autoFilter ref="N4:O10"/>
  <tableColumns count="2">
    <tableColumn id="1" name="LVL" dataDxfId="734"/>
    <tableColumn id="4" name="Capacité" dataDxfId="733"/>
  </tableColumns>
  <tableStyleInfo name="TableStyleMedium9" showFirstColumn="0" showLastColumn="0" showRowStripes="1" showColumnStripes="0"/>
</table>
</file>

<file path=xl/tables/table94.xml><?xml version="1.0" encoding="utf-8"?>
<table xmlns="http://schemas.openxmlformats.org/spreadsheetml/2006/main" id="152" name="EARNINGS_HDV" displayName="EARNINGS_HDV" ref="P3:S14" totalsRowShown="0" headerRowDxfId="732" dataDxfId="730" headerRowBorderDxfId="731" tableBorderDxfId="729" totalsRowBorderDxfId="728">
  <autoFilter ref="P3:S14">
    <filterColumn colId="2"/>
    <filterColumn colId="3"/>
  </autoFilter>
  <tableColumns count="4">
    <tableColumn id="1" name="LVL" dataDxfId="727"/>
    <tableColumn id="4" name="OR" dataDxfId="726"/>
    <tableColumn id="3" name="Elixir rose" dataDxfId="725">
      <calculatedColumnFormula>EARNINGS_HDV[[#This Row],[OR]]</calculatedColumnFormula>
    </tableColumn>
    <tableColumn id="2" name="Elixir noir" dataDxfId="724"/>
  </tableColumns>
  <tableStyleInfo name="TableStyleMedium9" showFirstColumn="0" showLastColumn="0" showRowStripes="1" showColumnStripes="0"/>
</table>
</file>

<file path=xl/tables/table95.xml><?xml version="1.0" encoding="utf-8"?>
<table xmlns="http://schemas.openxmlformats.org/spreadsheetml/2006/main" id="69" name="LEAGUES_Bonus" displayName="LEAGUES_Bonus" ref="A2:E25" totalsRowShown="0" headerRowDxfId="723" dataDxfId="721" headerRowBorderDxfId="722" tableBorderDxfId="720" totalsRowBorderDxfId="719">
  <autoFilter ref="A2:E25"/>
  <tableColumns count="5">
    <tableColumn id="1" name="Classement" dataDxfId="718">
      <calculatedColumnFormula>IF(AND(Paramètres!$BL$2&gt;=B3,Paramètres!$BL$2&lt;B4),1,"")</calculatedColumnFormula>
    </tableColumn>
    <tableColumn id="2" name="Trophy" dataDxfId="717"/>
    <tableColumn id="3" name="Bonus d'Or" dataDxfId="716"/>
    <tableColumn id="4" name="Bonus d'Élixir" dataDxfId="715">
      <calculatedColumnFormula>LEAGUES_Bonus[[#This Row],[Bonus d''Or]]</calculatedColumnFormula>
    </tableColumn>
    <tableColumn id="5" name="Bonus d'Élixir Noir" dataDxfId="714"/>
  </tableColumns>
  <tableStyleInfo name="TableStyleMedium9" showFirstColumn="0" showLastColumn="0" showRowStripes="1" showColumnStripes="0"/>
</table>
</file>

<file path=xl/tables/table96.xml><?xml version="1.0" encoding="utf-8"?>
<table xmlns="http://schemas.openxmlformats.org/spreadsheetml/2006/main" id="70" name="LEAGUES_Loot_Multiplier" displayName="LEAGUES_Loot_Multiplier" ref="G2:I23" totalsRowShown="0" headerRowDxfId="713" dataDxfId="711" headerRowBorderDxfId="712" tableBorderDxfId="710" totalsRowBorderDxfId="709">
  <autoFilter ref="G2:I23"/>
  <tableColumns count="3">
    <tableColumn id="1" name="Classement" dataDxfId="708">
      <calculatedColumnFormula>IF(AND('Combats - Loots'!$D$2&gt;=H3,'Combats - Loots'!$D$2&lt;H4),1,"")</calculatedColumnFormula>
    </tableColumn>
    <tableColumn id="2" name="Trophy Difference" dataDxfId="707"/>
    <tableColumn id="4" name="Multiplicateur de Loot" dataDxfId="706"/>
  </tableColumns>
  <tableStyleInfo name="TableStyleMedium9" showFirstColumn="0" showLastColumn="0" showRowStripes="1" showColumnStripes="0"/>
</table>
</file>

<file path=xl/tables/table97.xml><?xml version="1.0" encoding="utf-8"?>
<table xmlns="http://schemas.openxmlformats.org/spreadsheetml/2006/main" id="95" name="LEAGUES_Find" displayName="LEAGUES_Find" ref="K2:L13" totalsRowShown="0" headerRowDxfId="705" dataDxfId="703" headerRowBorderDxfId="704" tableBorderDxfId="702" totalsRowBorderDxfId="701">
  <autoFilter ref="K2:L13"/>
  <tableColumns count="2">
    <tableColumn id="1" name="HDV" dataDxfId="700">
      <calculatedColumnFormula>IF(AND('Combats - Loots'!$D$2&gt;=L3,'Combats - Loots'!$D$2&lt;L4),1,"")</calculatedColumnFormula>
    </tableColumn>
    <tableColumn id="2" name="Coût en or" dataDxfId="699"/>
  </tableColumns>
  <tableStyleInfo name="TableStyleMedium9" showFirstColumn="0" showLastColumn="0" showRowStripes="1" showColumnStripes="0"/>
</table>
</file>

<file path=xl/tables/table98.xml><?xml version="1.0" encoding="utf-8"?>
<table xmlns="http://schemas.openxmlformats.org/spreadsheetml/2006/main" id="98" name="TRAINING_Barbarian" displayName="TRAINING_Barbarian" ref="A16:D23" totalsRowShown="0" headerRowDxfId="698" dataDxfId="696" headerRowBorderDxfId="697" tableBorderDxfId="695" totalsRowBorderDxfId="694">
  <autoFilter ref="A16:D23"/>
  <tableColumns count="4">
    <tableColumn id="1" name="LVL" dataDxfId="693"/>
    <tableColumn id="3" name="Espace" dataDxfId="692"/>
    <tableColumn id="2" name="Coût" dataDxfId="691"/>
    <tableColumn id="4" name="Temps" dataDxfId="690"/>
  </tableColumns>
  <tableStyleInfo name="TableStyleMedium9" showFirstColumn="0" showLastColumn="0" showRowStripes="1" showColumnStripes="0"/>
</table>
</file>

<file path=xl/tables/table99.xml><?xml version="1.0" encoding="utf-8"?>
<table xmlns="http://schemas.openxmlformats.org/spreadsheetml/2006/main" id="114" name="TRAINING_Archer" displayName="TRAINING_Archer" ref="E16:H23" totalsRowShown="0" headerRowDxfId="689" dataDxfId="687" headerRowBorderDxfId="688" tableBorderDxfId="686">
  <autoFilter ref="E16:H23"/>
  <tableColumns count="4">
    <tableColumn id="1" name="LVL" dataDxfId="685"/>
    <tableColumn id="3" name="Espace" dataDxfId="684"/>
    <tableColumn id="2" name="Coût" dataDxfId="683"/>
    <tableColumn id="4" name="Temps" dataDxfId="682"/>
  </tableColumns>
  <tableStyleInfo name="TableStyleMedium9" showFirstColumn="0" showLastColumn="0" showRowStripes="1" showColumnStripes="0"/>
</table>
</file>

<file path=xl/tables/table100.xml><?xml version="1.0" encoding="utf-8"?>
<table xmlns="http://schemas.openxmlformats.org/spreadsheetml/2006/main" id="115" name="TRAINING_Goblin" displayName="TRAINING_Goblin" ref="I16:L22" totalsRowShown="0" headerRowDxfId="681" dataDxfId="679" headerRowBorderDxfId="680" tableBorderDxfId="678">
  <autoFilter ref="I16:L22"/>
  <tableColumns count="4">
    <tableColumn id="1" name="LVL" dataDxfId="677"/>
    <tableColumn id="3" name="Espace" dataDxfId="676"/>
    <tableColumn id="2" name="Coût" dataDxfId="675"/>
    <tableColumn id="4" name="Temps" dataDxfId="674"/>
  </tableColumns>
  <tableStyleInfo name="TableStyleMedium9" showFirstColumn="0" showLastColumn="0" showRowStripes="1" showColumnStripes="0"/>
</table>
</file>

<file path=xl/tables/table101.xml><?xml version="1.0" encoding="utf-8"?>
<table xmlns="http://schemas.openxmlformats.org/spreadsheetml/2006/main" id="116" name="TRAINING_Giant" displayName="TRAINING_Giant" ref="M16:P23" totalsRowShown="0" headerRowDxfId="673" dataDxfId="671" headerRowBorderDxfId="672" tableBorderDxfId="670">
  <autoFilter ref="M16:P23"/>
  <tableColumns count="4">
    <tableColumn id="1" name="LVL" dataDxfId="669"/>
    <tableColumn id="3" name="Espace" dataDxfId="668"/>
    <tableColumn id="2" name="Coût" dataDxfId="667"/>
    <tableColumn id="4" name="Temps" dataDxfId="666"/>
  </tableColumns>
  <tableStyleInfo name="TableStyleMedium9" showFirstColumn="0" showLastColumn="0" showRowStripes="1" showColumnStripes="0"/>
</table>
</file>

<file path=xl/tables/table102.xml><?xml version="1.0" encoding="utf-8"?>
<table xmlns="http://schemas.openxmlformats.org/spreadsheetml/2006/main" id="117" name="TRAINING_Wall_Breaker" displayName="TRAINING_Wall_Breaker" ref="Q16:T22" totalsRowShown="0" headerRowDxfId="665" dataDxfId="663" headerRowBorderDxfId="664" tableBorderDxfId="662">
  <autoFilter ref="Q16:T22"/>
  <tableColumns count="4">
    <tableColumn id="1" name="LVL" dataDxfId="661"/>
    <tableColumn id="3" name="Espace" dataDxfId="660"/>
    <tableColumn id="2" name="Coût" dataDxfId="659"/>
    <tableColumn id="4" name="Temps" dataDxfId="658"/>
  </tableColumns>
  <tableStyleInfo name="TableStyleMedium9" showFirstColumn="0" showLastColumn="0" showRowStripes="1" showColumnStripes="0"/>
</table>
</file>

<file path=xl/tables/table103.xml><?xml version="1.0" encoding="utf-8"?>
<table xmlns="http://schemas.openxmlformats.org/spreadsheetml/2006/main" id="118" name="TRAINING_Balloon" displayName="TRAINING_Balloon" ref="U16:X22" totalsRowShown="0" headerRowDxfId="657" dataDxfId="655" headerRowBorderDxfId="656" tableBorderDxfId="654">
  <autoFilter ref="U16:X22"/>
  <tableColumns count="4">
    <tableColumn id="1" name="LVL" dataDxfId="653"/>
    <tableColumn id="3" name="Espace" dataDxfId="652"/>
    <tableColumn id="2" name="Coût" dataDxfId="651"/>
    <tableColumn id="4" name="Temps" dataDxfId="650"/>
  </tableColumns>
  <tableStyleInfo name="TableStyleMedium9" showFirstColumn="0" showLastColumn="0" showRowStripes="1" showColumnStripes="0"/>
</table>
</file>

<file path=xl/tables/table104.xml><?xml version="1.0" encoding="utf-8"?>
<table xmlns="http://schemas.openxmlformats.org/spreadsheetml/2006/main" id="119" name="TRAINING_Wizard" displayName="TRAINING_Wizard" ref="Y16:AB22" totalsRowShown="0" headerRowDxfId="649" dataDxfId="647" headerRowBorderDxfId="648" tableBorderDxfId="646">
  <autoFilter ref="Y16:AB22"/>
  <tableColumns count="4">
    <tableColumn id="1" name="LVL" dataDxfId="645"/>
    <tableColumn id="3" name="Espace" dataDxfId="644"/>
    <tableColumn id="2" name="Coût" dataDxfId="643"/>
    <tableColumn id="4" name="Temps" dataDxfId="642"/>
  </tableColumns>
  <tableStyleInfo name="TableStyleMedium9" showFirstColumn="0" showLastColumn="0" showRowStripes="1" showColumnStripes="0"/>
</table>
</file>

<file path=xl/tables/table105.xml><?xml version="1.0" encoding="utf-8"?>
<table xmlns="http://schemas.openxmlformats.org/spreadsheetml/2006/main" id="120" name="TRAINING_Healer" displayName="TRAINING_Healer" ref="AC16:AF20" totalsRowShown="0" headerRowDxfId="641" dataDxfId="639" headerRowBorderDxfId="640" tableBorderDxfId="638">
  <autoFilter ref="AC16:AF20"/>
  <tableColumns count="4">
    <tableColumn id="1" name="LVL" dataDxfId="637"/>
    <tableColumn id="3" name="Espace" dataDxfId="636"/>
    <tableColumn id="2" name="Coût" dataDxfId="635"/>
    <tableColumn id="4" name="Temps" dataDxfId="634"/>
  </tableColumns>
  <tableStyleInfo name="TableStyleMedium9" showFirstColumn="0" showLastColumn="0" showRowStripes="1" showColumnStripes="0"/>
</table>
</file>

<file path=xl/tables/table106.xml><?xml version="1.0" encoding="utf-8"?>
<table xmlns="http://schemas.openxmlformats.org/spreadsheetml/2006/main" id="121" name="TRAINING_Dragon" displayName="TRAINING_Dragon" ref="AG16:AJ21" totalsRowShown="0" headerRowDxfId="633" dataDxfId="631" headerRowBorderDxfId="632" tableBorderDxfId="630" totalsRowBorderDxfId="629">
  <autoFilter ref="AG16:AJ21"/>
  <tableColumns count="4">
    <tableColumn id="1" name="LVL" dataDxfId="628"/>
    <tableColumn id="3" name="Espace" dataDxfId="627"/>
    <tableColumn id="2" name="Coût" dataDxfId="626"/>
    <tableColumn id="4" name="Temps" dataDxfId="625"/>
  </tableColumns>
  <tableStyleInfo name="TableStyleMedium9" showFirstColumn="0" showLastColumn="0" showRowStripes="1" showColumnStripes="0"/>
</table>
</file>

<file path=xl/tables/table107.xml><?xml version="1.0" encoding="utf-8"?>
<table xmlns="http://schemas.openxmlformats.org/spreadsheetml/2006/main" id="122" name="TRAINING_PEKKA" displayName="TRAINING_PEKKA" ref="AK16:AN21" totalsRowShown="0" headerRowDxfId="624" dataDxfId="622" headerRowBorderDxfId="623" tableBorderDxfId="621">
  <autoFilter ref="AK16:AN21"/>
  <tableColumns count="4">
    <tableColumn id="1" name="LVL" dataDxfId="620"/>
    <tableColumn id="3" name="Espace" dataDxfId="619"/>
    <tableColumn id="2" name="Coût" dataDxfId="618"/>
    <tableColumn id="4" name="Temps" dataDxfId="617"/>
  </tableColumns>
  <tableStyleInfo name="TableStyleMedium9" showFirstColumn="0" showLastColumn="0" showRowStripes="1" showColumnStripes="0"/>
</table>
</file>

<file path=xl/tables/table108.xml><?xml version="1.0" encoding="utf-8"?>
<table xmlns="http://schemas.openxmlformats.org/spreadsheetml/2006/main" id="123" name="TRAINING_Minion" displayName="TRAINING_Minion" ref="A29:D36" totalsRowShown="0" headerRowDxfId="616" dataDxfId="614" headerRowBorderDxfId="615" tableBorderDxfId="613">
  <autoFilter ref="A29:D36"/>
  <tableColumns count="4">
    <tableColumn id="1" name="LVL" dataDxfId="612"/>
    <tableColumn id="3" name="Espace" dataDxfId="611"/>
    <tableColumn id="2" name="Coût" dataDxfId="610"/>
    <tableColumn id="4" name="Temps" dataDxfId="609"/>
  </tableColumns>
  <tableStyleInfo name="TableStyleMedium9" showFirstColumn="0" showLastColumn="0" showRowStripes="1" showColumnStripes="0"/>
</table>
</file>

<file path=xl/tables/table109.xml><?xml version="1.0" encoding="utf-8"?>
<table xmlns="http://schemas.openxmlformats.org/spreadsheetml/2006/main" id="124" name="TRAINING_Hog_Rider" displayName="TRAINING_Hog_Rider" ref="E29:H34" totalsRowShown="0" headerRowDxfId="608" dataDxfId="606" headerRowBorderDxfId="607" tableBorderDxfId="605">
  <autoFilter ref="E29:H34"/>
  <tableColumns count="4">
    <tableColumn id="1" name="LVL" dataDxfId="604"/>
    <tableColumn id="3" name="Espace" dataDxfId="603"/>
    <tableColumn id="2" name="Coût" dataDxfId="602"/>
    <tableColumn id="4" name="Temps" dataDxfId="601"/>
  </tableColumns>
  <tableStyleInfo name="TableStyleMedium9" showFirstColumn="0" showLastColumn="0" showRowStripes="1" showColumnStripes="0"/>
</table>
</file>

<file path=xl/tables/table110.xml><?xml version="1.0" encoding="utf-8"?>
<table xmlns="http://schemas.openxmlformats.org/spreadsheetml/2006/main" id="125" name="TRAINING_Valkyrie" displayName="TRAINING_Valkyrie" ref="I29:L33" totalsRowShown="0" headerRowDxfId="600" dataDxfId="598" headerRowBorderDxfId="599" tableBorderDxfId="597">
  <autoFilter ref="I29:L33"/>
  <tableColumns count="4">
    <tableColumn id="1" name="LVL" dataDxfId="596"/>
    <tableColumn id="3" name="Espace" dataDxfId="595"/>
    <tableColumn id="2" name="Coût" dataDxfId="594"/>
    <tableColumn id="4" name="Temps" dataDxfId="593"/>
  </tableColumns>
  <tableStyleInfo name="TableStyleMedium9" showFirstColumn="0" showLastColumn="0" showRowStripes="1" showColumnStripes="0"/>
</table>
</file>

<file path=xl/tables/table111.xml><?xml version="1.0" encoding="utf-8"?>
<table xmlns="http://schemas.openxmlformats.org/spreadsheetml/2006/main" id="126" name="TRAINING_Golem" displayName="TRAINING_Golem" ref="M29:P34" totalsRowShown="0" headerRowDxfId="592" dataDxfId="590" headerRowBorderDxfId="591" tableBorderDxfId="589">
  <autoFilter ref="M29:P34"/>
  <tableColumns count="4">
    <tableColumn id="1" name="LVL" dataDxfId="588"/>
    <tableColumn id="3" name="Espace" dataDxfId="587"/>
    <tableColumn id="2" name="Coût" dataDxfId="586"/>
    <tableColumn id="4" name="Temps" dataDxfId="585"/>
  </tableColumns>
  <tableStyleInfo name="TableStyleMedium9" showFirstColumn="0" showLastColumn="0" showRowStripes="1" showColumnStripes="0"/>
</table>
</file>

<file path=xl/tables/table112.xml><?xml version="1.0" encoding="utf-8"?>
<table xmlns="http://schemas.openxmlformats.org/spreadsheetml/2006/main" id="127" name="TRAINING_Spell_Lightning" displayName="TRAINING_Spell_Lightning" ref="A4:D11" totalsRowShown="0" headerRowDxfId="584" dataDxfId="582" headerRowBorderDxfId="583" tableBorderDxfId="581">
  <autoFilter ref="A4:D11"/>
  <tableColumns count="4">
    <tableColumn id="1" name="LVL" dataDxfId="580"/>
    <tableColumn id="3" name="Espace" dataDxfId="579"/>
    <tableColumn id="2" name="Coût" dataDxfId="578"/>
    <tableColumn id="4" name="Temps" dataDxfId="577"/>
  </tableColumns>
  <tableStyleInfo name="TableStyleMedium9" showFirstColumn="0" showLastColumn="0" showRowStripes="1" showColumnStripes="0"/>
</table>
</file>

<file path=xl/tables/table113.xml><?xml version="1.0" encoding="utf-8"?>
<table xmlns="http://schemas.openxmlformats.org/spreadsheetml/2006/main" id="128" name="TRAINING_Spell_Healing" displayName="TRAINING_Spell_Healing" ref="E4:H10" totalsRowShown="0" headerRowDxfId="576" dataDxfId="574" headerRowBorderDxfId="575" tableBorderDxfId="573">
  <autoFilter ref="E4:H10"/>
  <tableColumns count="4">
    <tableColumn id="1" name="LVL" dataDxfId="572"/>
    <tableColumn id="3" name="Espace" dataDxfId="571"/>
    <tableColumn id="2" name="Coût" dataDxfId="570"/>
    <tableColumn id="4" name="Temps" dataDxfId="569"/>
  </tableColumns>
  <tableStyleInfo name="TableStyleMedium9" showFirstColumn="0" showLastColumn="0" showRowStripes="1" showColumnStripes="0"/>
</table>
</file>

<file path=xl/tables/table114.xml><?xml version="1.0" encoding="utf-8"?>
<table xmlns="http://schemas.openxmlformats.org/spreadsheetml/2006/main" id="129" name="TRAINING_Spell_Rage" displayName="TRAINING_Spell_Rage" ref="I4:L9" totalsRowShown="0" headerRowDxfId="568" dataDxfId="566" headerRowBorderDxfId="567" tableBorderDxfId="565">
  <autoFilter ref="I4:L9"/>
  <tableColumns count="4">
    <tableColumn id="1" name="LVL" dataDxfId="564"/>
    <tableColumn id="3" name="Espace" dataDxfId="563"/>
    <tableColumn id="2" name="Coût" dataDxfId="562"/>
    <tableColumn id="4" name="Temps" dataDxfId="561"/>
  </tableColumns>
  <tableStyleInfo name="TableStyleMedium9" showFirstColumn="0" showLastColumn="0" showRowStripes="1" showColumnStripes="0"/>
</table>
</file>

<file path=xl/tables/table115.xml><?xml version="1.0" encoding="utf-8"?>
<table xmlns="http://schemas.openxmlformats.org/spreadsheetml/2006/main" id="130" name="TRAINING_Spell_Jump" displayName="TRAINING_Spell_Jump" ref="M4:P7" totalsRowShown="0" headerRowDxfId="560" dataDxfId="558" headerRowBorderDxfId="559" tableBorderDxfId="557">
  <autoFilter ref="M4:P7"/>
  <tableColumns count="4">
    <tableColumn id="1" name="LVL" dataDxfId="556"/>
    <tableColumn id="3" name="Espace" dataDxfId="555"/>
    <tableColumn id="2" name="Coût" dataDxfId="554"/>
    <tableColumn id="4" name="Temps" dataDxfId="553"/>
  </tableColumns>
  <tableStyleInfo name="TableStyleMedium9" showFirstColumn="0" showLastColumn="0" showRowStripes="1" showColumnStripes="0"/>
</table>
</file>

<file path=xl/tables/table116.xml><?xml version="1.0" encoding="utf-8"?>
<table xmlns="http://schemas.openxmlformats.org/spreadsheetml/2006/main" id="131" name="TRAINING_Spell_Freeze" displayName="TRAINING_Spell_Freeze" ref="Q4:T9" totalsRowShown="0" headerRowDxfId="552" dataDxfId="550" headerRowBorderDxfId="551" tableBorderDxfId="549">
  <autoFilter ref="Q4:T9"/>
  <tableColumns count="4">
    <tableColumn id="1" name="LVL" dataDxfId="548"/>
    <tableColumn id="3" name="Espace" dataDxfId="547"/>
    <tableColumn id="2" name="Coût" dataDxfId="546"/>
    <tableColumn id="4" name="Temps" dataDxfId="545"/>
  </tableColumns>
  <tableStyleInfo name="TableStyleMedium9" showFirstColumn="0" showLastColumn="0" showRowStripes="1" showColumnStripes="0"/>
</table>
</file>

<file path=xl/tables/table117.xml><?xml version="1.0" encoding="utf-8"?>
<table xmlns="http://schemas.openxmlformats.org/spreadsheetml/2006/main" id="71" name="TRAINING_Barrack" displayName="TRAINING_Barrack" ref="AI29:AJ40" totalsRowShown="0" headerRowDxfId="544" dataDxfId="542" headerRowBorderDxfId="543">
  <autoFilter ref="AI29:AJ40"/>
  <tableColumns count="2">
    <tableColumn id="1" name="LVL" dataDxfId="541"/>
    <tableColumn id="2" name="Capacité" dataDxfId="540"/>
  </tableColumns>
  <tableStyleInfo name="TableStyleMedium9" showFirstColumn="0" showLastColumn="0" showRowStripes="1" showColumnStripes="0"/>
</table>
</file>

<file path=xl/tables/table118.xml><?xml version="1.0" encoding="utf-8"?>
<table xmlns="http://schemas.openxmlformats.org/spreadsheetml/2006/main" id="72" name="TRAINING_Spell_Factory" displayName="TRAINING_Spell_Factory" ref="AC29:AD35" totalsRowShown="0" headerRowDxfId="539" dataDxfId="537" headerRowBorderDxfId="538">
  <autoFilter ref="AC29:AD35"/>
  <tableColumns count="2">
    <tableColumn id="1" name="LVL" dataDxfId="536"/>
    <tableColumn id="2" name="Capacité" dataDxfId="535"/>
  </tableColumns>
  <tableStyleInfo name="TableStyleMedium9" showFirstColumn="0" showLastColumn="0" showRowStripes="1" showColumnStripes="0"/>
</table>
</file>

<file path=xl/tables/table119.xml><?xml version="1.0" encoding="utf-8"?>
<table xmlns="http://schemas.openxmlformats.org/spreadsheetml/2006/main" id="73" name="TRAINING_Dark_Barrack" displayName="TRAINING_Dark_Barrack" ref="AE29:AF36" totalsRowShown="0" headerRowDxfId="534" headerRowBorderDxfId="533">
  <autoFilter ref="AE29:AF36"/>
  <tableColumns count="2">
    <tableColumn id="1" name="LVL" dataDxfId="532"/>
    <tableColumn id="2" name="Capacité" dataDxfId="531"/>
  </tableColumns>
  <tableStyleInfo name="TableStyleMedium9" showFirstColumn="0" showLastColumn="0" showRowStripes="1" showColumnStripes="0"/>
</table>
</file>

<file path=xl/tables/table120.xml><?xml version="1.0" encoding="utf-8"?>
<table xmlns="http://schemas.openxmlformats.org/spreadsheetml/2006/main" id="74" name="TRAINING_Army_Camp" displayName="TRAINING_Army_Camp" ref="AG29:AH38" totalsRowShown="0" headerRowDxfId="530" dataDxfId="528" headerRowBorderDxfId="529">
  <autoFilter ref="AG29:AH38"/>
  <tableColumns count="2">
    <tableColumn id="1" name="LVL" dataDxfId="527"/>
    <tableColumn id="2" name="Capacité" dataDxfId="526"/>
  </tableColumns>
  <tableStyleInfo name="TableStyleMedium9" showFirstColumn="0" showLastColumn="0" showRowStripes="1" showColumnStripes="0"/>
</table>
</file>

<file path=xl/tables/table121.xml><?xml version="1.0" encoding="utf-8"?>
<table xmlns="http://schemas.openxmlformats.org/spreadsheetml/2006/main" id="78" name="TRAINING_Witch" displayName="TRAINING_Witch" ref="Q29:T32" totalsRowShown="0" headerRowDxfId="525" dataDxfId="523" headerRowBorderDxfId="524" tableBorderDxfId="522">
  <autoFilter ref="Q29:T32"/>
  <tableColumns count="4">
    <tableColumn id="1" name="LVL" dataDxfId="521"/>
    <tableColumn id="3" name="Espace" dataDxfId="520"/>
    <tableColumn id="2" name="Coût" dataDxfId="519"/>
    <tableColumn id="4" name="Temps" dataDxfId="518"/>
  </tableColumns>
  <tableStyleInfo name="TableStyleMedium9" showFirstColumn="0" showLastColumn="0" showRowStripes="1" showColumnStripes="0"/>
</table>
</file>

<file path=xl/tables/table122.xml><?xml version="1.0" encoding="utf-8"?>
<table xmlns="http://schemas.openxmlformats.org/spreadsheetml/2006/main" id="49" name="TRAINING_Lava_Hound" displayName="TRAINING_Lava_Hound" ref="U29:X32" totalsRowShown="0" headerRowDxfId="517" dataDxfId="515" headerRowBorderDxfId="516" tableBorderDxfId="514">
  <autoFilter ref="U29:X32"/>
  <tableColumns count="4">
    <tableColumn id="1" name="LVL" dataDxfId="513"/>
    <tableColumn id="3" name="Espace" dataDxfId="512"/>
    <tableColumn id="2" name="Coût" dataDxfId="511"/>
    <tableColumn id="4" name="Temps" dataDxfId="510"/>
  </tableColumns>
  <tableStyleInfo name="TableStyleMedium9" showFirstColumn="0" showLastColumn="0" showRowStripes="1" showColumnStripes="0"/>
</table>
</file>

<file path=xl/tables/table123.xml><?xml version="1.0" encoding="utf-8"?>
<table xmlns="http://schemas.openxmlformats.org/spreadsheetml/2006/main" id="146" name="TRAINING_Spell_Poison" displayName="TRAINING_Spell_Poison" ref="Y4:AB8" totalsRowShown="0" headerRowDxfId="509" dataDxfId="507" headerRowBorderDxfId="508" tableBorderDxfId="506">
  <autoFilter ref="Y4:AB8"/>
  <tableColumns count="4">
    <tableColumn id="1" name="LVL" dataDxfId="505"/>
    <tableColumn id="3" name="Espace" dataDxfId="504"/>
    <tableColumn id="2" name="Coût" dataDxfId="503"/>
    <tableColumn id="4" name="Temps" dataDxfId="502"/>
  </tableColumns>
  <tableStyleInfo name="TableStyleMedium9" showFirstColumn="0" showLastColumn="0" showRowStripes="1" showColumnStripes="0"/>
</table>
</file>

<file path=xl/tables/table124.xml><?xml version="1.0" encoding="utf-8"?>
<table xmlns="http://schemas.openxmlformats.org/spreadsheetml/2006/main" id="147" name="TRAINING_Spell_Earthquake" displayName="TRAINING_Spell_Earthquake" ref="AC4:AF8" totalsRowShown="0" headerRowDxfId="501" dataDxfId="499" headerRowBorderDxfId="500" tableBorderDxfId="498">
  <autoFilter ref="AC4:AF8"/>
  <tableColumns count="4">
    <tableColumn id="1" name="LVL" dataDxfId="497"/>
    <tableColumn id="3" name="Espace" dataDxfId="496"/>
    <tableColumn id="2" name="Coût" dataDxfId="495"/>
    <tableColumn id="4" name="Temps" dataDxfId="494"/>
  </tableColumns>
  <tableStyleInfo name="TableStyleMedium9" showFirstColumn="0" showLastColumn="0" showRowStripes="1" showColumnStripes="0"/>
</table>
</file>

<file path=xl/tables/table125.xml><?xml version="1.0" encoding="utf-8"?>
<table xmlns="http://schemas.openxmlformats.org/spreadsheetml/2006/main" id="148" name="TRAINING_Spell_Haste" displayName="TRAINING_Spell_Haste" ref="AG4:AJ8" totalsRowShown="0" headerRowDxfId="493" dataDxfId="491" headerRowBorderDxfId="492" tableBorderDxfId="490">
  <autoFilter ref="AG4:AJ8"/>
  <tableColumns count="4">
    <tableColumn id="1" name="LVL" dataDxfId="489"/>
    <tableColumn id="3" name="Espace" dataDxfId="488"/>
    <tableColumn id="2" name="Coût" dataDxfId="487"/>
    <tableColumn id="4" name="Temps" dataDxfId="486"/>
  </tableColumns>
  <tableStyleInfo name="TableStyleMedium9" showFirstColumn="0" showLastColumn="0" showRowStripes="1" showColumnStripes="0"/>
</table>
</file>

<file path=xl/tables/table126.xml><?xml version="1.0" encoding="utf-8"?>
<table xmlns="http://schemas.openxmlformats.org/spreadsheetml/2006/main" id="151" name="TRAINING_Dark_Spell_Factory" displayName="TRAINING_Dark_Spell_Factory" ref="AA29:AB33" totalsRowShown="0" headerRowDxfId="485" dataDxfId="483" headerRowBorderDxfId="484">
  <autoFilter ref="AA29:AB33"/>
  <tableColumns count="2">
    <tableColumn id="1" name="LVL" dataDxfId="482"/>
    <tableColumn id="2" name="Capacité" dataDxfId="481"/>
  </tableColumns>
  <tableStyleInfo name="TableStyleMedium9" showFirstColumn="0" showLastColumn="0" showRowStripes="1" showColumnStripes="0"/>
</table>
</file>

<file path=xl/tables/table127.xml><?xml version="1.0" encoding="utf-8"?>
<table xmlns="http://schemas.openxmlformats.org/spreadsheetml/2006/main" id="76" name="CALENDRIER" displayName="CALENDRIER" ref="A1:A1000" totalsRowShown="0" headerRowDxfId="480" dataDxfId="478" headerRowBorderDxfId="479" tableBorderDxfId="477">
  <autoFilter ref="A1:A1000"/>
  <tableColumns count="1">
    <tableColumn id="1" name="Calendrier" dataDxfId="476">
      <calculatedColumnFormula>$A1+#REF!</calculatedColumnFormula>
    </tableColumn>
  </tableColumns>
  <tableStyleInfo name="TableStyleMedium9" showFirstColumn="0" showLastColumn="0" showRowStripes="1" showColumnStripes="0"/>
</table>
</file>

<file path=xl/tables/table128.xml><?xml version="1.0" encoding="utf-8"?>
<table xmlns="http://schemas.openxmlformats.org/spreadsheetml/2006/main" id="77" name="TRANSLATION" displayName="TRANSLATION" ref="A2:B269" totalsRowShown="0" headerRowDxfId="475" dataDxfId="473" headerRowBorderDxfId="474" tableBorderDxfId="472" totalsRowBorderDxfId="471">
  <autoFilter ref="A2:B269">
    <filterColumn colId="1"/>
  </autoFilter>
  <sortState ref="A3:B267">
    <sortCondition ref="A2:A267"/>
  </sortState>
  <tableColumns count="2">
    <tableColumn id="1" name="Français - FR" dataDxfId="470"/>
    <tableColumn id="2" name="English - EN" dataDxfId="469"/>
  </tableColumns>
  <tableStyleInfo name="TableStyleMedium9" showFirstColumn="0" showLastColumn="0" showRowStripes="1" showColumnStripes="0"/>
</table>
</file>

<file path=xl/tables/table129.xml><?xml version="1.0" encoding="utf-8"?>
<table xmlns="http://schemas.openxmlformats.org/spreadsheetml/2006/main" id="85" name="CHANGELOG86" displayName="CHANGELOG86" ref="A2:F66" totalsRowShown="0" headerRowDxfId="467" dataDxfId="465" headerRowBorderDxfId="466" tableBorderDxfId="464" totalsRowBorderDxfId="463">
  <autoFilter ref="A2:F66"/>
  <tableColumns count="6">
    <tableColumn id="1" name="Version" dataDxfId="462"/>
    <tableColumn id="5" name="Date" dataDxfId="461"/>
    <tableColumn id="2" name="Nom de Fichier" dataDxfId="460">
      <calculatedColumnFormula>"COC - Cost &amp; Time Calcultator " &amp; A3 &amp; ".xlsx"</calculatedColumnFormula>
    </tableColumn>
    <tableColumn id="6" name="Description " dataDxfId="459"/>
    <tableColumn id="3" name="Description" dataDxfId="458"/>
    <tableColumn id="4" name="Téléchargement" dataDxfId="457"/>
  </tableColumns>
  <tableStyleInfo name="TableStyleMedium9" showFirstColumn="0" showLastColumn="0" showRowStripes="1" showColumnStripes="0"/>
</table>
</file>

<file path=xl/tables/table130.xml><?xml version="1.0" encoding="utf-8"?>
<table xmlns="http://schemas.openxmlformats.org/spreadsheetml/2006/main" id="97" name="VALUE_Barbarian" displayName="VALUE_Barbarian" ref="A27:D34" totalsRowShown="0" headerRowDxfId="456" headerRowBorderDxfId="455" tableBorderDxfId="454" totalsRowBorderDxfId="453">
  <autoFilter ref="A27:D34"/>
  <tableColumns count="4">
    <tableColumn id="1" name="LVL" dataDxfId="452"/>
    <tableColumn id="3" name="Rang" dataDxfId="451">
      <calculatedColumnFormula>Paramètres!AO6</calculatedColumnFormula>
    </tableColumn>
    <tableColumn id="2" name="Valeur" dataDxfId="450" dataCellStyle="Milliers"/>
    <tableColumn id="4" name="Total" dataDxfId="449">
      <calculatedColumnFormula>VALUE_Barbarian[[#This Row],[Valeur]]*VALUE_Barbarian[[#This Row],[Rang]]</calculatedColumnFormula>
    </tableColumn>
  </tableColumns>
  <tableStyleInfo name="TableStyleMedium9" showFirstColumn="0" showLastColumn="0" showRowStripes="1" showColumnStripes="0"/>
</table>
</file>

<file path=xl/tables/table131.xml><?xml version="1.0" encoding="utf-8"?>
<table xmlns="http://schemas.openxmlformats.org/spreadsheetml/2006/main" id="99" name="VALUE_Archer" displayName="VALUE_Archer" ref="E27:H34" totalsRowShown="0" headerRowDxfId="448" dataDxfId="446" headerRowBorderDxfId="447" tableBorderDxfId="445">
  <autoFilter ref="E27:H34"/>
  <tableColumns count="4">
    <tableColumn id="1" name="LVL" dataDxfId="444"/>
    <tableColumn id="3" name="Rang" dataDxfId="443">
      <calculatedColumnFormula>Paramètres!AP6</calculatedColumnFormula>
    </tableColumn>
    <tableColumn id="2" name="Valeur" dataDxfId="442" dataCellStyle="Milliers"/>
    <tableColumn id="4" name="Total" dataDxfId="441">
      <calculatedColumnFormula>VALUE_Archer[[#This Row],[Valeur]]*VALUE_Archer[[#This Row],[Rang]]</calculatedColumnFormula>
    </tableColumn>
  </tableColumns>
  <tableStyleInfo name="TableStyleMedium9" showFirstColumn="0" showLastColumn="0" showRowStripes="1" showColumnStripes="0"/>
</table>
</file>

<file path=xl/tables/table132.xml><?xml version="1.0" encoding="utf-8"?>
<table xmlns="http://schemas.openxmlformats.org/spreadsheetml/2006/main" id="100" name="VALUE_Goblin" displayName="VALUE_Goblin" ref="I27:L33" totalsRowShown="0" headerRowDxfId="440" headerRowBorderDxfId="439" tableBorderDxfId="438">
  <autoFilter ref="I27:L33"/>
  <tableColumns count="4">
    <tableColumn id="1" name="LVL" dataDxfId="437"/>
    <tableColumn id="3" name="Rang" dataDxfId="436">
      <calculatedColumnFormula>Paramètres!AQ6</calculatedColumnFormula>
    </tableColumn>
    <tableColumn id="2" name="Valeur" dataDxfId="435" dataCellStyle="Milliers"/>
    <tableColumn id="4" name="Total" dataDxfId="434">
      <calculatedColumnFormula>VALUE_Goblin[[#This Row],[Valeur]]*VALUE_Goblin[[#This Row],[Rang]]</calculatedColumnFormula>
    </tableColumn>
  </tableColumns>
  <tableStyleInfo name="TableStyleMedium9" showFirstColumn="0" showLastColumn="0" showRowStripes="1" showColumnStripes="0"/>
</table>
</file>

<file path=xl/tables/table133.xml><?xml version="1.0" encoding="utf-8"?>
<table xmlns="http://schemas.openxmlformats.org/spreadsheetml/2006/main" id="101" name="VALUE_Giant" displayName="VALUE_Giant" ref="M27:P34" totalsRowShown="0" headerRowDxfId="433" dataDxfId="431" headerRowBorderDxfId="432" tableBorderDxfId="430">
  <autoFilter ref="M27:P34"/>
  <tableColumns count="4">
    <tableColumn id="1" name="LVL" dataDxfId="429"/>
    <tableColumn id="3" name="Rang" dataDxfId="428">
      <calculatedColumnFormula>Paramètres!AR6</calculatedColumnFormula>
    </tableColumn>
    <tableColumn id="2" name="Valeur" dataDxfId="427" dataCellStyle="Milliers"/>
    <tableColumn id="4" name="Total" dataDxfId="426">
      <calculatedColumnFormula>VALUE_Giant[[#This Row],[Valeur]]*VALUE_Giant[[#This Row],[Rang]]</calculatedColumnFormula>
    </tableColumn>
  </tableColumns>
  <tableStyleInfo name="TableStyleMedium9" showFirstColumn="0" showLastColumn="0" showRowStripes="1" showColumnStripes="0"/>
</table>
</file>

<file path=xl/tables/table134.xml><?xml version="1.0" encoding="utf-8"?>
<table xmlns="http://schemas.openxmlformats.org/spreadsheetml/2006/main" id="102" name="VALUE_Wall_Breaker" displayName="VALUE_Wall_Breaker" ref="Q27:T33" totalsRowShown="0" headerRowDxfId="425" dataDxfId="423" headerRowBorderDxfId="424" tableBorderDxfId="422">
  <autoFilter ref="Q27:T33"/>
  <tableColumns count="4">
    <tableColumn id="1" name="LVL" dataDxfId="421"/>
    <tableColumn id="3" name="Rang" dataDxfId="420">
      <calculatedColumnFormula>Paramètres!AS6</calculatedColumnFormula>
    </tableColumn>
    <tableColumn id="2" name="Valeur" dataDxfId="419" dataCellStyle="Milliers"/>
    <tableColumn id="4" name="Total" dataDxfId="418">
      <calculatedColumnFormula>VALUE_Wall_Breaker[[#This Row],[Valeur]]*VALUE_Wall_Breaker[[#This Row],[Rang]]</calculatedColumnFormula>
    </tableColumn>
  </tableColumns>
  <tableStyleInfo name="TableStyleMedium9" showFirstColumn="0" showLastColumn="0" showRowStripes="1" showColumnStripes="0"/>
</table>
</file>

<file path=xl/tables/table135.xml><?xml version="1.0" encoding="utf-8"?>
<table xmlns="http://schemas.openxmlformats.org/spreadsheetml/2006/main" id="103" name="VALUE_Balloon" displayName="VALUE_Balloon" ref="U27:X33" totalsRowShown="0" headerRowDxfId="417" dataDxfId="415" headerRowBorderDxfId="416" tableBorderDxfId="414">
  <autoFilter ref="U27:X33"/>
  <tableColumns count="4">
    <tableColumn id="1" name="LVL" dataDxfId="413"/>
    <tableColumn id="3" name="Rang" dataDxfId="412">
      <calculatedColumnFormula>Paramètres!AT6</calculatedColumnFormula>
    </tableColumn>
    <tableColumn id="2" name="Valeur" dataDxfId="411" dataCellStyle="Milliers"/>
    <tableColumn id="4" name="Total" dataDxfId="410">
      <calculatedColumnFormula>VALUE_Balloon[[#This Row],[Valeur]]*VALUE_Balloon[[#This Row],[Rang]]</calculatedColumnFormula>
    </tableColumn>
  </tableColumns>
  <tableStyleInfo name="TableStyleMedium9" showFirstColumn="0" showLastColumn="0" showRowStripes="1" showColumnStripes="0"/>
</table>
</file>

<file path=xl/tables/table136.xml><?xml version="1.0" encoding="utf-8"?>
<table xmlns="http://schemas.openxmlformats.org/spreadsheetml/2006/main" id="104" name="VALUE_Wizard" displayName="VALUE_Wizard" ref="Y27:AB33" totalsRowShown="0" headerRowDxfId="409" dataDxfId="407" headerRowBorderDxfId="408" tableBorderDxfId="406">
  <autoFilter ref="Y27:AB33"/>
  <tableColumns count="4">
    <tableColumn id="1" name="LVL" dataDxfId="405"/>
    <tableColumn id="3" name="Rang" dataDxfId="404">
      <calculatedColumnFormula>Paramètres!AU6</calculatedColumnFormula>
    </tableColumn>
    <tableColumn id="2" name="Valeur" dataDxfId="403" dataCellStyle="Milliers"/>
    <tableColumn id="4" name="Total" dataDxfId="402">
      <calculatedColumnFormula>VALUE_Wizard[[#This Row],[Valeur]]*VALUE_Wizard[[#This Row],[Rang]]</calculatedColumnFormula>
    </tableColumn>
  </tableColumns>
  <tableStyleInfo name="TableStyleMedium9" showFirstColumn="0" showLastColumn="0" showRowStripes="1" showColumnStripes="0"/>
</table>
</file>

<file path=xl/tables/table137.xml><?xml version="1.0" encoding="utf-8"?>
<table xmlns="http://schemas.openxmlformats.org/spreadsheetml/2006/main" id="105" name="VALUE_Healer" displayName="VALUE_Healer" ref="AC27:AF31" totalsRowShown="0" headerRowDxfId="401" dataDxfId="399" headerRowBorderDxfId="400" tableBorderDxfId="398">
  <autoFilter ref="AC27:AF31"/>
  <tableColumns count="4">
    <tableColumn id="1" name="LVL" dataDxfId="397"/>
    <tableColumn id="3" name="Rang" dataDxfId="396">
      <calculatedColumnFormula>Paramètres!AV6</calculatedColumnFormula>
    </tableColumn>
    <tableColumn id="2" name="Valeur" dataDxfId="395" dataCellStyle="Milliers"/>
    <tableColumn id="4" name="Total" dataDxfId="394">
      <calculatedColumnFormula>VALUE_Healer[[#This Row],[Valeur]]*VALUE_Healer[[#This Row],[Rang]]</calculatedColumnFormula>
    </tableColumn>
  </tableColumns>
  <tableStyleInfo name="TableStyleMedium9" showFirstColumn="0" showLastColumn="0" showRowStripes="1" showColumnStripes="0"/>
</table>
</file>

<file path=xl/tables/table138.xml><?xml version="1.0" encoding="utf-8"?>
<table xmlns="http://schemas.openxmlformats.org/spreadsheetml/2006/main" id="106" name="VALUE_Dragon" displayName="VALUE_Dragon" ref="AG27:AJ32" totalsRowShown="0" headerRowDxfId="393" headerRowBorderDxfId="392" tableBorderDxfId="391" totalsRowBorderDxfId="390">
  <autoFilter ref="AG27:AJ32"/>
  <tableColumns count="4">
    <tableColumn id="1" name="LVL" dataDxfId="389"/>
    <tableColumn id="3" name="Rang" dataDxfId="388">
      <calculatedColumnFormula>Paramètres!AW6</calculatedColumnFormula>
    </tableColumn>
    <tableColumn id="2" name="Valeur" dataDxfId="387" dataCellStyle="Milliers"/>
    <tableColumn id="4" name="Total" dataDxfId="386">
      <calculatedColumnFormula>VALUE_Dragon[[#This Row],[Valeur]]*VALUE_Dragon[[#This Row],[Rang]]</calculatedColumnFormula>
    </tableColumn>
  </tableColumns>
  <tableStyleInfo name="TableStyleMedium9" showFirstColumn="0" showLastColumn="0" showRowStripes="1" showColumnStripes="0"/>
</table>
</file>

<file path=xl/tables/table139.xml><?xml version="1.0" encoding="utf-8"?>
<table xmlns="http://schemas.openxmlformats.org/spreadsheetml/2006/main" id="107" name="VALUE_PEKKA" displayName="VALUE_PEKKA" ref="AK27:AN32" totalsRowShown="0" headerRowDxfId="385" dataDxfId="383" headerRowBorderDxfId="384" tableBorderDxfId="382">
  <autoFilter ref="AK27:AN32"/>
  <tableColumns count="4">
    <tableColumn id="1" name="LVL" dataDxfId="381"/>
    <tableColumn id="3" name="Rang" dataDxfId="380">
      <calculatedColumnFormula>Paramètres!AX6</calculatedColumnFormula>
    </tableColumn>
    <tableColumn id="2" name="Valeur" dataDxfId="379"/>
    <tableColumn id="4" name="Total" dataDxfId="378">
      <calculatedColumnFormula>VALUE_PEKKA[[#This Row],[Valeur]]*VALUE_PEKKA[[#This Row],[Rang]]</calculatedColumnFormula>
    </tableColumn>
  </tableColumns>
  <tableStyleInfo name="TableStyleMedium9" showFirstColumn="0" showLastColumn="0" showRowStripes="1" showColumnStripes="0"/>
</table>
</file>

<file path=xl/tables/table140.xml><?xml version="1.0" encoding="utf-8"?>
<table xmlns="http://schemas.openxmlformats.org/spreadsheetml/2006/main" id="108" name="VALUE_Minion" displayName="VALUE_Minion" ref="A39:D45" totalsRowShown="0" headerRowDxfId="377" dataDxfId="375" headerRowBorderDxfId="376" tableBorderDxfId="374">
  <autoFilter ref="A39:D45"/>
  <tableColumns count="4">
    <tableColumn id="1" name="LVL" dataDxfId="373"/>
    <tableColumn id="3" name="Rang" dataDxfId="372">
      <calculatedColumnFormula>Paramètres!AY6</calculatedColumnFormula>
    </tableColumn>
    <tableColumn id="2" name="Valeur" dataDxfId="371" dataCellStyle="Milliers"/>
    <tableColumn id="4" name="Total" dataDxfId="370">
      <calculatedColumnFormula>VALUE_Minion[[#This Row],[Valeur]]*VALUE_Minion[[#This Row],[Rang]]</calculatedColumnFormula>
    </tableColumn>
  </tableColumns>
  <tableStyleInfo name="TableStyleMedium9" showFirstColumn="0" showLastColumn="0" showRowStripes="1" showColumnStripes="0"/>
</table>
</file>

<file path=xl/tables/table141.xml><?xml version="1.0" encoding="utf-8"?>
<table xmlns="http://schemas.openxmlformats.org/spreadsheetml/2006/main" id="109" name="VALUE_Hog_Rider" displayName="VALUE_Hog_Rider" ref="E39:H44" totalsRowShown="0" headerRowDxfId="369" dataDxfId="367" headerRowBorderDxfId="368" tableBorderDxfId="366">
  <autoFilter ref="E39:H44"/>
  <tableColumns count="4">
    <tableColumn id="1" name="LVL" dataDxfId="365"/>
    <tableColumn id="3" name="Rang" dataDxfId="364">
      <calculatedColumnFormula>Paramètres!AZ6</calculatedColumnFormula>
    </tableColumn>
    <tableColumn id="2" name="Valeur" dataDxfId="363" dataCellStyle="Milliers"/>
    <tableColumn id="4" name="Total" dataDxfId="362">
      <calculatedColumnFormula>VALUE_Hog_Rider[[#This Row],[Valeur]]*VALUE_Hog_Rider[[#This Row],[Rang]]</calculatedColumnFormula>
    </tableColumn>
  </tableColumns>
  <tableStyleInfo name="TableStyleMedium9" showFirstColumn="0" showLastColumn="0" showRowStripes="1" showColumnStripes="0"/>
</table>
</file>

<file path=xl/tables/table142.xml><?xml version="1.0" encoding="utf-8"?>
<table xmlns="http://schemas.openxmlformats.org/spreadsheetml/2006/main" id="110" name="VALUE_Valkyrie" displayName="VALUE_Valkyrie" ref="I39:L43" totalsRowShown="0" headerRowDxfId="361" dataDxfId="359" headerRowBorderDxfId="360" tableBorderDxfId="358">
  <autoFilter ref="I39:L43"/>
  <tableColumns count="4">
    <tableColumn id="1" name="LVL" dataDxfId="357"/>
    <tableColumn id="3" name="Rang" dataDxfId="356">
      <calculatedColumnFormula>Paramètres!BA6</calculatedColumnFormula>
    </tableColumn>
    <tableColumn id="2" name="Valeur" dataDxfId="355" dataCellStyle="Milliers"/>
    <tableColumn id="4" name="Total" dataDxfId="354">
      <calculatedColumnFormula>VALUE_Valkyrie[[#This Row],[Valeur]]*VALUE_Valkyrie[[#This Row],[Rang]]</calculatedColumnFormula>
    </tableColumn>
  </tableColumns>
  <tableStyleInfo name="TableStyleMedium9" showFirstColumn="0" showLastColumn="0" showRowStripes="1" showColumnStripes="0"/>
</table>
</file>

<file path=xl/tables/table143.xml><?xml version="1.0" encoding="utf-8"?>
<table xmlns="http://schemas.openxmlformats.org/spreadsheetml/2006/main" id="111" name="VALUE_Golem" displayName="VALUE_Golem" ref="M39:P44" totalsRowShown="0" headerRowDxfId="353" dataDxfId="351" headerRowBorderDxfId="352" tableBorderDxfId="350">
  <autoFilter ref="M39:P44"/>
  <tableColumns count="4">
    <tableColumn id="1" name="LVL" dataDxfId="349"/>
    <tableColumn id="3" name="Rang" dataDxfId="348">
      <calculatedColumnFormula>Paramètres!BB6</calculatedColumnFormula>
    </tableColumn>
    <tableColumn id="2" name="Valeur" dataDxfId="347"/>
    <tableColumn id="4" name="Total" dataDxfId="346">
      <calculatedColumnFormula>VALUE_Golem[[#This Row],[Valeur]]*VALUE_Golem[[#This Row],[Rang]]</calculatedColumnFormula>
    </tableColumn>
  </tableColumns>
  <tableStyleInfo name="TableStyleMedium9" showFirstColumn="0" showLastColumn="0" showRowStripes="1" showColumnStripes="0"/>
</table>
</file>

<file path=xl/tables/table144.xml><?xml version="1.0" encoding="utf-8"?>
<table xmlns="http://schemas.openxmlformats.org/spreadsheetml/2006/main" id="112" name="VALUE_Spell_Lightning" displayName="VALUE_Spell_Lightning" ref="A15:D22" totalsRowShown="0" headerRowDxfId="345" dataDxfId="343" headerRowBorderDxfId="344" tableBorderDxfId="342">
  <autoFilter ref="A15:D22"/>
  <tableColumns count="4">
    <tableColumn id="1" name="LVL" dataDxfId="341"/>
    <tableColumn id="3" name="Rang" dataDxfId="340">
      <calculatedColumnFormula>Paramètres!AG6</calculatedColumnFormula>
    </tableColumn>
    <tableColumn id="2" name="Valeur" dataDxfId="339"/>
    <tableColumn id="4" name="Total" dataDxfId="338">
      <calculatedColumnFormula>VALUE_Spell_Lightning[[#This Row],[Valeur]]*VALUE_Spell_Lightning[[#This Row],[Rang]]</calculatedColumnFormula>
    </tableColumn>
  </tableColumns>
  <tableStyleInfo name="TableStyleMedium9" showFirstColumn="0" showLastColumn="0" showRowStripes="1" showColumnStripes="0"/>
</table>
</file>

<file path=xl/tables/table145.xml><?xml version="1.0" encoding="utf-8"?>
<table xmlns="http://schemas.openxmlformats.org/spreadsheetml/2006/main" id="113" name="VALUE_Spell_Healing" displayName="VALUE_Spell_Healing" ref="E15:H21" totalsRowShown="0" headerRowDxfId="337" dataDxfId="335" headerRowBorderDxfId="336" tableBorderDxfId="334">
  <autoFilter ref="E15:H21"/>
  <tableColumns count="4">
    <tableColumn id="1" name="LVL" dataDxfId="333"/>
    <tableColumn id="3" name="Rang" dataDxfId="332">
      <calculatedColumnFormula>Paramètres!AH6</calculatedColumnFormula>
    </tableColumn>
    <tableColumn id="2" name="Valeur" dataDxfId="331"/>
    <tableColumn id="4" name="Total" dataDxfId="330">
      <calculatedColumnFormula>VALUE_Spell_Healing[[#This Row],[Valeur]]*VALUE_Spell_Healing[[#This Row],[Rang]]</calculatedColumnFormula>
    </tableColumn>
  </tableColumns>
  <tableStyleInfo name="TableStyleMedium9" showFirstColumn="0" showLastColumn="0" showRowStripes="1" showColumnStripes="0"/>
</table>
</file>

<file path=xl/tables/table146.xml><?xml version="1.0" encoding="utf-8"?>
<table xmlns="http://schemas.openxmlformats.org/spreadsheetml/2006/main" id="132" name="VALUE_Spell_Rage" displayName="VALUE_Spell_Rage" ref="I15:L20" totalsRowShown="0" headerRowDxfId="329" dataDxfId="327" headerRowBorderDxfId="328" tableBorderDxfId="326">
  <autoFilter ref="I15:L20"/>
  <tableColumns count="4">
    <tableColumn id="1" name="LVL" dataDxfId="325"/>
    <tableColumn id="3" name="Rang" dataDxfId="324">
      <calculatedColumnFormula>Paramètres!AI6</calculatedColumnFormula>
    </tableColumn>
    <tableColumn id="2" name="Valeur" dataDxfId="323"/>
    <tableColumn id="4" name="Total" dataDxfId="322">
      <calculatedColumnFormula>VALUE_Spell_Rage[[#This Row],[Valeur]]*VALUE_Spell_Rage[[#This Row],[Rang]]</calculatedColumnFormula>
    </tableColumn>
  </tableColumns>
  <tableStyleInfo name="TableStyleMedium9" showFirstColumn="0" showLastColumn="0" showRowStripes="1" showColumnStripes="0"/>
</table>
</file>

<file path=xl/tables/table147.xml><?xml version="1.0" encoding="utf-8"?>
<table xmlns="http://schemas.openxmlformats.org/spreadsheetml/2006/main" id="133" name="VALUE_Spell_Jump" displayName="VALUE_Spell_Jump" ref="M15:P18" totalsRowShown="0" headerRowDxfId="321" dataDxfId="319" headerRowBorderDxfId="320" tableBorderDxfId="318">
  <autoFilter ref="M15:P18"/>
  <tableColumns count="4">
    <tableColumn id="1" name="LVL" dataDxfId="317"/>
    <tableColumn id="3" name="Rang" dataDxfId="316">
      <calculatedColumnFormula>Paramètres!AJ6</calculatedColumnFormula>
    </tableColumn>
    <tableColumn id="2" name="Valeur" dataDxfId="315" dataCellStyle="Milliers"/>
    <tableColumn id="4" name="Total" dataDxfId="314">
      <calculatedColumnFormula>VALUE_Spell_Jump[[#This Row],[Valeur]]*VALUE_Spell_Jump[[#This Row],[Rang]]</calculatedColumnFormula>
    </tableColumn>
  </tableColumns>
  <tableStyleInfo name="TableStyleMedium9" showFirstColumn="0" showLastColumn="0" showRowStripes="1" showColumnStripes="0"/>
</table>
</file>

<file path=xl/tables/table148.xml><?xml version="1.0" encoding="utf-8"?>
<table xmlns="http://schemas.openxmlformats.org/spreadsheetml/2006/main" id="134" name="VALUE_Spell_Freeze" displayName="VALUE_Spell_Freeze" ref="Q15:T20" totalsRowShown="0" headerRowDxfId="313" dataDxfId="311" headerRowBorderDxfId="312" tableBorderDxfId="310">
  <autoFilter ref="Q15:T20"/>
  <tableColumns count="4">
    <tableColumn id="1" name="LVL" dataDxfId="309"/>
    <tableColumn id="3" name="Rang" dataDxfId="308">
      <calculatedColumnFormula>Paramètres!AK6</calculatedColumnFormula>
    </tableColumn>
    <tableColumn id="2" name="Valeur" dataDxfId="307"/>
    <tableColumn id="4" name="Total" dataDxfId="306">
      <calculatedColumnFormula>VALUE_Spell_Freeze[[#This Row],[Valeur]]*VALUE_Spell_Freeze[[#This Row],[Rang]]</calculatedColumnFormula>
    </tableColumn>
  </tableColumns>
  <tableStyleInfo name="TableStyleMedium9" showFirstColumn="0" showLastColumn="0" showRowStripes="1" showColumnStripes="0"/>
</table>
</file>

<file path=xl/tables/table149.xml><?xml version="1.0" encoding="utf-8"?>
<table xmlns="http://schemas.openxmlformats.org/spreadsheetml/2006/main" id="139" name="VALUE_Witch" displayName="VALUE_Witch" ref="Q39:T41" totalsRowShown="0" headerRowDxfId="305" dataDxfId="303" headerRowBorderDxfId="304" tableBorderDxfId="302">
  <autoFilter ref="Q39:T41"/>
  <tableColumns count="4">
    <tableColumn id="1" name="LVL" dataDxfId="301"/>
    <tableColumn id="3" name="Rang" dataDxfId="300">
      <calculatedColumnFormula>Paramètres!BC6</calculatedColumnFormula>
    </tableColumn>
    <tableColumn id="2" name="Valeur" dataDxfId="299" dataCellStyle="Milliers"/>
    <tableColumn id="4" name="Total" dataDxfId="298">
      <calculatedColumnFormula>VALUE_Witch[[#This Row],[Valeur]]*VALUE_Witch[[#This Row],[Rang]]</calculatedColumnFormula>
    </tableColumn>
  </tableColumns>
  <tableStyleInfo name="TableStyleMedium9" showFirstColumn="0" showLastColumn="0" showRowStripes="1" showColumnStripes="0"/>
</table>
</file>

<file path=xl/tables/table150.xml><?xml version="1.0" encoding="utf-8"?>
<table xmlns="http://schemas.openxmlformats.org/spreadsheetml/2006/main" id="140" name="VALUE_Lava_Hound" displayName="VALUE_Lava_Hound" ref="U39:X42" totalsRowShown="0" headerRowDxfId="297" dataDxfId="295" headerRowBorderDxfId="296" tableBorderDxfId="294">
  <autoFilter ref="U39:X42"/>
  <tableColumns count="4">
    <tableColumn id="1" name="LVL" dataDxfId="293"/>
    <tableColumn id="3" name="Rang" dataDxfId="292">
      <calculatedColumnFormula>Paramètres!BD6</calculatedColumnFormula>
    </tableColumn>
    <tableColumn id="2" name="Valeur" dataDxfId="291" dataCellStyle="Milliers"/>
    <tableColumn id="4" name="Total" dataDxfId="290">
      <calculatedColumnFormula>VALUE_Lava_Hound[[#This Row],[Valeur]]*VALUE_Lava_Hound[[#This Row],[Rang]]</calculatedColumnFormula>
    </tableColumn>
  </tableColumns>
  <tableStyleInfo name="TableStyleMedium9" showFirstColumn="0" showLastColumn="0" showRowStripes="1" showColumnStripes="0"/>
</table>
</file>

<file path=xl/tables/table151.xml><?xml version="1.0" encoding="utf-8"?>
<table xmlns="http://schemas.openxmlformats.org/spreadsheetml/2006/main" id="193" name="VALUE_Barrack" displayName="VALUE_Barrack" ref="Q96:T106" totalsRowShown="0" dataDxfId="288" headerRowBorderDxfId="289" tableBorderDxfId="287">
  <autoFilter ref="Q96:T106"/>
  <tableColumns count="4">
    <tableColumn id="1" name="LVL" dataDxfId="286"/>
    <tableColumn id="4" name="Rang" dataDxfId="285">
      <calculatedColumnFormula>Paramètres!H6</calculatedColumnFormula>
    </tableColumn>
    <tableColumn id="2" name="Valeur" dataDxfId="284"/>
    <tableColumn id="3" name="Total" dataDxfId="283">
      <calculatedColumnFormula>VALUE_Barrack[[#This Row],[Valeur]]*VALUE_Barrack[[#This Row],[Rang]]</calculatedColumnFormula>
    </tableColumn>
  </tableColumns>
  <tableStyleInfo name="TableStyleMedium9" showFirstColumn="0" showLastColumn="0" showRowStripes="1" showColumnStripes="0"/>
</table>
</file>

<file path=xl/tables/table152.xml><?xml version="1.0" encoding="utf-8"?>
<table xmlns="http://schemas.openxmlformats.org/spreadsheetml/2006/main" id="194" name="VALUE_Dark_Elixir_Storage" displayName="VALUE_Dark_Elixir_Storage" ref="Y79:AB85" totalsRowShown="0" dataDxfId="281" headerRowBorderDxfId="282" tableBorderDxfId="280">
  <autoFilter ref="Y79:AB85"/>
  <tableColumns count="4">
    <tableColumn id="1" name="LVL" dataDxfId="279"/>
    <tableColumn id="3" name="Rang" dataDxfId="278">
      <calculatedColumnFormula>Paramètres!G6</calculatedColumnFormula>
    </tableColumn>
    <tableColumn id="2" name="Valeur" dataDxfId="277"/>
    <tableColumn id="4" name="Total" dataDxfId="276">
      <calculatedColumnFormula>VALUE_Dark_Elixir_Storage[[#This Row],[Valeur]]*VALUE_Dark_Elixir_Storage[[#This Row],[Rang]]</calculatedColumnFormula>
    </tableColumn>
  </tableColumns>
  <tableStyleInfo name="TableStyleMedium9" showFirstColumn="0" showLastColumn="0" showRowStripes="1" showColumnStripes="0"/>
</table>
</file>

<file path=xl/tables/table153.xml><?xml version="1.0" encoding="utf-8"?>
<table xmlns="http://schemas.openxmlformats.org/spreadsheetml/2006/main" id="195" name="VALUE_Dark_Barrack" displayName="VALUE_Dark_Barrack" ref="M96:P102" totalsRowShown="0" dataDxfId="274" headerRowBorderDxfId="275" tableBorderDxfId="273" totalsRowBorderDxfId="272">
  <autoFilter ref="M96:P102"/>
  <tableColumns count="4">
    <tableColumn id="1" name="LVL" dataDxfId="271"/>
    <tableColumn id="3" name="Rang" dataDxfId="270">
      <calculatedColumnFormula>Paramètres!I6</calculatedColumnFormula>
    </tableColumn>
    <tableColumn id="2" name="Valeur" dataDxfId="269"/>
    <tableColumn id="4" name="Total" dataDxfId="268">
      <calculatedColumnFormula>VALUE_Dark_Barrack[[#This Row],[Valeur]]*VALUE_Dark_Barrack[[#This Row],[Rang]]</calculatedColumnFormula>
    </tableColumn>
  </tableColumns>
  <tableStyleInfo name="TableStyleMedium9" showFirstColumn="0" showLastColumn="0" showRowStripes="1" showColumnStripes="0"/>
</table>
</file>

<file path=xl/tables/table154.xml><?xml version="1.0" encoding="utf-8"?>
<table xmlns="http://schemas.openxmlformats.org/spreadsheetml/2006/main" id="196" name="VALUE_Gold_Mine" displayName="VALUE_Gold_Mine" ref="M79:P91" totalsRowShown="0" headerRowDxfId="267" dataDxfId="265" headerRowBorderDxfId="266" tableBorderDxfId="264" totalsRowBorderDxfId="263">
  <autoFilter ref="M79:P91"/>
  <tableColumns count="4">
    <tableColumn id="1" name="LVL" dataDxfId="262"/>
    <tableColumn id="3" name="Rang" dataDxfId="261">
      <calculatedColumnFormula>Paramètres!B6</calculatedColumnFormula>
    </tableColumn>
    <tableColumn id="2" name="Valeur" dataDxfId="260"/>
    <tableColumn id="4" name="Total" dataDxfId="259">
      <calculatedColumnFormula>VALUE_Gold_Mine[[#This Row],[Valeur]]*VALUE_Gold_Mine[[#This Row],[Rang]]</calculatedColumnFormula>
    </tableColumn>
  </tableColumns>
  <tableStyleInfo name="TableStyleMedium9" showFirstColumn="0" showLastColumn="0" showRowStripes="1" showColumnStripes="0"/>
</table>
</file>

<file path=xl/tables/table155.xml><?xml version="1.0" encoding="utf-8"?>
<table xmlns="http://schemas.openxmlformats.org/spreadsheetml/2006/main" id="197" name="VALUE_Elixir_Collector" displayName="VALUE_Elixir_Collector" ref="AC79:AF91" totalsRowShown="0" dataDxfId="257" headerRowBorderDxfId="258" tableBorderDxfId="256" totalsRowBorderDxfId="255">
  <autoFilter ref="AC79:AF91"/>
  <tableColumns count="4">
    <tableColumn id="1" name="LVL" dataDxfId="254"/>
    <tableColumn id="3" name="Rang" dataDxfId="253">
      <calculatedColumnFormula>Paramètres!C6</calculatedColumnFormula>
    </tableColumn>
    <tableColumn id="2" name="Valeur" dataDxfId="252"/>
    <tableColumn id="4" name="Total" dataDxfId="251">
      <calculatedColumnFormula>VALUE_Elixir_Collector[[#This Row],[Valeur]]*VALUE_Elixir_Collector[[#This Row],[Rang]]</calculatedColumnFormula>
    </tableColumn>
  </tableColumns>
  <tableStyleInfo name="TableStyleMedium9" showFirstColumn="0" showLastColumn="0" showRowStripes="1" showColumnStripes="0"/>
</table>
</file>

<file path=xl/tables/table156.xml><?xml version="1.0" encoding="utf-8"?>
<table xmlns="http://schemas.openxmlformats.org/spreadsheetml/2006/main" id="198" name="VALUE_Dark_Elixir_Drill" displayName="VALUE_Dark_Elixir_Drill" ref="Q79:T85" totalsRowShown="0" dataDxfId="249" headerRowBorderDxfId="250" tableBorderDxfId="248" totalsRowBorderDxfId="247">
  <autoFilter ref="Q79:T85"/>
  <tableColumns count="4">
    <tableColumn id="1" name="LVL" dataDxfId="246"/>
    <tableColumn id="3" name="Rang" dataDxfId="245">
      <calculatedColumnFormula>Paramètres!D6</calculatedColumnFormula>
    </tableColumn>
    <tableColumn id="2" name="Valeur" dataDxfId="244"/>
    <tableColumn id="4" name="Total" dataDxfId="243">
      <calculatedColumnFormula>VALUE_Dark_Elixir_Drill[[#This Row],[Valeur]]*VALUE_Dark_Elixir_Drill[[#This Row],[Rang]]</calculatedColumnFormula>
    </tableColumn>
  </tableColumns>
  <tableStyleInfo name="TableStyleMedium9" showFirstColumn="0" showLastColumn="0" showRowStripes="1" showColumnStripes="0"/>
</table>
</file>

<file path=xl/tables/table157.xml><?xml version="1.0" encoding="utf-8"?>
<table xmlns="http://schemas.openxmlformats.org/spreadsheetml/2006/main" id="199" name="VALUE_Gold_Storage" displayName="VALUE_Gold_Storage" ref="U79:X90" totalsRowShown="0" dataDxfId="241" headerRowBorderDxfId="242" tableBorderDxfId="240" totalsRowBorderDxfId="239">
  <autoFilter ref="U79:X90"/>
  <tableColumns count="4">
    <tableColumn id="1" name="LVL" dataDxfId="238"/>
    <tableColumn id="3" name="Rang" dataDxfId="237">
      <calculatedColumnFormula>Paramètres!E6</calculatedColumnFormula>
    </tableColumn>
    <tableColumn id="2" name="Valeur" dataDxfId="236"/>
    <tableColumn id="4" name="Total" dataDxfId="235">
      <calculatedColumnFormula>VALUE_Gold_Storage[[#This Row],[Valeur]]*VALUE_Gold_Storage[[#This Row],[Rang]]</calculatedColumnFormula>
    </tableColumn>
  </tableColumns>
  <tableStyleInfo name="TableStyleMedium9" showFirstColumn="0" showLastColumn="0" showRowStripes="1" showColumnStripes="0"/>
</table>
</file>

<file path=xl/tables/table158.xml><?xml version="1.0" encoding="utf-8"?>
<table xmlns="http://schemas.openxmlformats.org/spreadsheetml/2006/main" id="200" name="VALUE_Elixir_Storage" displayName="VALUE_Elixir_Storage" ref="AG79:AJ90" totalsRowShown="0" dataDxfId="233" headerRowBorderDxfId="234" tableBorderDxfId="232" totalsRowBorderDxfId="231">
  <autoFilter ref="AG79:AJ90"/>
  <tableColumns count="4">
    <tableColumn id="1" name="LVL" dataDxfId="230"/>
    <tableColumn id="3" name="Rang" dataDxfId="229">
      <calculatedColumnFormula>Paramètres!F6</calculatedColumnFormula>
    </tableColumn>
    <tableColumn id="2" name="Valeur" dataDxfId="228"/>
    <tableColumn id="4" name="Total" dataDxfId="227">
      <calculatedColumnFormula>VALUE_Elixir_Storage[[#This Row],[Valeur]]*VALUE_Elixir_Storage[[#This Row],[Rang]]</calculatedColumnFormula>
    </tableColumn>
  </tableColumns>
  <tableStyleInfo name="TableStyleMedium9" showFirstColumn="0" showLastColumn="0" showRowStripes="1" showColumnStripes="0"/>
</table>
</file>

<file path=xl/tables/table159.xml><?xml version="1.0" encoding="utf-8"?>
<table xmlns="http://schemas.openxmlformats.org/spreadsheetml/2006/main" id="201" name="VALUE_Army_Camp" displayName="VALUE_Army_Camp" ref="U96:X104" totalsRowShown="0" dataDxfId="225" headerRowBorderDxfId="226" tableBorderDxfId="224" totalsRowBorderDxfId="223">
  <autoFilter ref="U96:X104"/>
  <tableColumns count="4">
    <tableColumn id="1" name="LVL" dataDxfId="222"/>
    <tableColumn id="3" name="Rang" dataDxfId="221">
      <calculatedColumnFormula>Paramètres!J6</calculatedColumnFormula>
    </tableColumn>
    <tableColumn id="2" name="Valeur" dataDxfId="220"/>
    <tableColumn id="4" name="Total" dataDxfId="219">
      <calculatedColumnFormula>VALUE_Army_Camp[[#This Row],[Valeur]]*VALUE_Army_Camp[[#This Row],[Rang]]</calculatedColumnFormula>
    </tableColumn>
  </tableColumns>
  <tableStyleInfo name="TableStyleMedium9" showFirstColumn="0" showLastColumn="0" showRowStripes="1" showColumnStripes="0"/>
</table>
</file>

<file path=xl/tables/table160.xml><?xml version="1.0" encoding="utf-8"?>
<table xmlns="http://schemas.openxmlformats.org/spreadsheetml/2006/main" id="202" name="VALUE_Laboratory" displayName="VALUE_Laboratory" ref="Y96:AB104" totalsRowShown="0" dataDxfId="217" headerRowBorderDxfId="218" tableBorderDxfId="216" totalsRowBorderDxfId="215">
  <autoFilter ref="Y96:AB104"/>
  <tableColumns count="4">
    <tableColumn id="1" name="LVL" dataDxfId="214"/>
    <tableColumn id="3" name="Rang" dataDxfId="213">
      <calculatedColumnFormula>Paramètres!K6</calculatedColumnFormula>
    </tableColumn>
    <tableColumn id="2" name="Valeur" dataDxfId="212"/>
    <tableColumn id="4" name="Total" dataDxfId="211">
      <calculatedColumnFormula>VALUE_Laboratory[[#This Row],[Valeur]]*VALUE_Laboratory[[#This Row],[Rang]]</calculatedColumnFormula>
    </tableColumn>
  </tableColumns>
  <tableStyleInfo name="TableStyleMedium9" showFirstColumn="0" showLastColumn="0" showRowStripes="1" showColumnStripes="0"/>
</table>
</file>

<file path=xl/tables/table161.xml><?xml version="1.0" encoding="utf-8"?>
<table xmlns="http://schemas.openxmlformats.org/spreadsheetml/2006/main" id="203" name="VALUE_Spell_Factory" displayName="VALUE_Spell_Factory" ref="AC96:AF101" totalsRowShown="0" headerRowBorderDxfId="210" tableBorderDxfId="209" totalsRowBorderDxfId="208">
  <autoFilter ref="AC96:AF101"/>
  <tableColumns count="4">
    <tableColumn id="1" name="LVL" dataDxfId="207"/>
    <tableColumn id="3" name="Rang" dataDxfId="206">
      <calculatedColumnFormula>Paramètres!L6</calculatedColumnFormula>
    </tableColumn>
    <tableColumn id="2" name="Valeur" dataDxfId="205" dataCellStyle="Milliers"/>
    <tableColumn id="4" name="Total" dataDxfId="204">
      <calculatedColumnFormula>VALUE_Spell_Factory[[#This Row],[Valeur]]*VALUE_Spell_Factory[[#This Row],[Rang]]</calculatedColumnFormula>
    </tableColumn>
  </tableColumns>
  <tableStyleInfo name="TableStyleMedium9" showFirstColumn="0" showLastColumn="0" showRowStripes="1" showColumnStripes="0"/>
</table>
</file>

<file path=xl/tables/table162.xml><?xml version="1.0" encoding="utf-8"?>
<table xmlns="http://schemas.openxmlformats.org/spreadsheetml/2006/main" id="204" name="VALUE_Clan_Castle" displayName="VALUE_Clan_Castle" ref="AC109:AF115" totalsRowShown="0" dataDxfId="202" headerRowBorderDxfId="203" tableBorderDxfId="201" totalsRowBorderDxfId="200">
  <autoFilter ref="AC109:AF115"/>
  <tableColumns count="4">
    <tableColumn id="1" name="LVL" dataDxfId="199"/>
    <tableColumn id="3" name="Rang" dataDxfId="198">
      <calculatedColumnFormula>Paramètres!AE6</calculatedColumnFormula>
    </tableColumn>
    <tableColumn id="2" name="Valeur" dataDxfId="197"/>
    <tableColumn id="4" name="Total" dataDxfId="196">
      <calculatedColumnFormula>VALUE_Clan_Castle[[#This Row],[Valeur]]*VALUE_Clan_Castle[[#This Row],[Rang]]</calculatedColumnFormula>
    </tableColumn>
  </tableColumns>
  <tableStyleInfo name="TableStyleMedium9" showFirstColumn="0" showLastColumn="0" showRowStripes="1" showColumnStripes="0"/>
</table>
</file>

<file path=xl/tables/table163.xml><?xml version="1.0" encoding="utf-8"?>
<table xmlns="http://schemas.openxmlformats.org/spreadsheetml/2006/main" id="205" name="VALUE_Wizard_Tower" displayName="VALUE_Wizard_Tower" ref="U50:X58" totalsRowShown="0" headerRowDxfId="195" dataDxfId="193" headerRowBorderDxfId="194" tableBorderDxfId="192">
  <autoFilter ref="U50:X58"/>
  <tableColumns count="4">
    <tableColumn id="1" name="LVL" dataDxfId="191"/>
    <tableColumn id="4" name="Rang" dataDxfId="190">
      <calculatedColumnFormula>Paramètres!S6</calculatedColumnFormula>
    </tableColumn>
    <tableColumn id="2" name="Valeur" dataDxfId="189" dataCellStyle="Milliers"/>
    <tableColumn id="3" name="Total" dataDxfId="188">
      <calculatedColumnFormula>VALUE_Wizard_Tower[[#This Row],[Valeur]]*VALUE_Wizard_Tower[[#This Row],[Rang]]</calculatedColumnFormula>
    </tableColumn>
  </tableColumns>
  <tableStyleInfo name="TableStyleMedium9" showFirstColumn="0" showLastColumn="0" showRowStripes="1" showColumnStripes="0"/>
</table>
</file>

<file path=xl/tables/table164.xml><?xml version="1.0" encoding="utf-8"?>
<table xmlns="http://schemas.openxmlformats.org/spreadsheetml/2006/main" id="206" name="VALUE_Mortar" displayName="VALUE_Mortar" ref="M50:P58" totalsRowShown="0" headerRowDxfId="187" dataDxfId="185" headerRowBorderDxfId="186" tableBorderDxfId="184">
  <autoFilter ref="M50:P58"/>
  <tableColumns count="4">
    <tableColumn id="1" name="LVL" dataDxfId="183"/>
    <tableColumn id="3" name="Rang" dataDxfId="182">
      <calculatedColumnFormula>Paramètres!Q6</calculatedColumnFormula>
    </tableColumn>
    <tableColumn id="2" name="Valeur" dataDxfId="181" dataCellStyle="Milliers"/>
    <tableColumn id="4" name="Total" dataDxfId="180">
      <calculatedColumnFormula>VALUE_Mortar[[#This Row],[Valeur]]*VALUE_Mortar[[#This Row],[Rang]]</calculatedColumnFormula>
    </tableColumn>
  </tableColumns>
  <tableStyleInfo name="TableStyleMedium9" showFirstColumn="0" showLastColumn="0" showRowStripes="1" showColumnStripes="0"/>
</table>
</file>

<file path=xl/tables/table165.xml><?xml version="1.0" encoding="utf-8"?>
<table xmlns="http://schemas.openxmlformats.org/spreadsheetml/2006/main" id="207" name="VALUE_Air_Defense" displayName="VALUE_Air_Defense" ref="Q50:T58" totalsRowShown="0" headerRowDxfId="179" headerRowBorderDxfId="178" tableBorderDxfId="177">
  <autoFilter ref="Q50:T58"/>
  <tableColumns count="4">
    <tableColumn id="1" name="LVL" dataDxfId="176"/>
    <tableColumn id="3" name="Rang" dataDxfId="175">
      <calculatedColumnFormula>Paramètres!R6</calculatedColumnFormula>
    </tableColumn>
    <tableColumn id="2" name="Valeur" dataDxfId="174" dataCellStyle="Milliers"/>
    <tableColumn id="4" name="Total" dataDxfId="173">
      <calculatedColumnFormula>VALUE_Air_Defense[[#This Row],[Valeur]]*VALUE_Air_Defense[[#This Row],[Rang]]</calculatedColumnFormula>
    </tableColumn>
  </tableColumns>
  <tableStyleInfo name="TableStyleMedium9" showFirstColumn="0" showLastColumn="0" showRowStripes="1" showColumnStripes="0"/>
</table>
</file>

<file path=xl/tables/table166.xml><?xml version="1.0" encoding="utf-8"?>
<table xmlns="http://schemas.openxmlformats.org/spreadsheetml/2006/main" id="208" name="VALUE_Cannon" displayName="VALUE_Cannon" ref="E50:H63" totalsRowShown="0" headerRowDxfId="172" dataDxfId="170" headerRowBorderDxfId="171" tableBorderDxfId="169" totalsRowBorderDxfId="168">
  <autoFilter ref="E50:H63"/>
  <tableColumns count="4">
    <tableColumn id="1" name="LVL" dataDxfId="167"/>
    <tableColumn id="3" name="Rang" dataDxfId="166">
      <calculatedColumnFormula>Paramètres!O6</calculatedColumnFormula>
    </tableColumn>
    <tableColumn id="2" name="Valeur" dataDxfId="165" dataCellStyle="Milliers"/>
    <tableColumn id="4" name="Total" dataDxfId="164">
      <calculatedColumnFormula>VALUE_Cannon[[#This Row],[Valeur]]*VALUE_Cannon[[#This Row],[Rang]]</calculatedColumnFormula>
    </tableColumn>
  </tableColumns>
  <tableStyleInfo name="TableStyleMedium9" showFirstColumn="0" showLastColumn="0" showRowStripes="1" showColumnStripes="0"/>
</table>
</file>

<file path=xl/tables/table167.xml><?xml version="1.0" encoding="utf-8"?>
<table xmlns="http://schemas.openxmlformats.org/spreadsheetml/2006/main" id="209" name="VALUE_Archer_Tower" displayName="VALUE_Archer_Tower" ref="I50:L63" totalsRowShown="0" headerRowDxfId="163" dataDxfId="161" headerRowBorderDxfId="162" tableBorderDxfId="160" totalsRowBorderDxfId="159">
  <autoFilter ref="I50:L63"/>
  <tableColumns count="4">
    <tableColumn id="1" name="LVL" dataDxfId="158"/>
    <tableColumn id="3" name="Rang" dataDxfId="157">
      <calculatedColumnFormula>Paramètres!P6</calculatedColumnFormula>
    </tableColumn>
    <tableColumn id="2" name="Valeur" dataDxfId="156" dataCellStyle="Milliers"/>
    <tableColumn id="4" name="Total" dataDxfId="155">
      <calculatedColumnFormula>VALUE_Archer_Tower[[#This Row],[Valeur]]*VALUE_Archer_Tower[[#This Row],[Rang]]</calculatedColumnFormula>
    </tableColumn>
  </tableColumns>
  <tableStyleInfo name="TableStyleMedium9" showFirstColumn="0" showLastColumn="0" showRowStripes="1" showColumnStripes="0"/>
</table>
</file>

<file path=xl/tables/table168.xml><?xml version="1.0" encoding="utf-8"?>
<table xmlns="http://schemas.openxmlformats.org/spreadsheetml/2006/main" id="210" name="VALUE_Wall" displayName="VALUE_Wall" ref="A50:D61" totalsRowShown="0" headerRowDxfId="154" dataDxfId="152" headerRowBorderDxfId="153" tableBorderDxfId="151" totalsRowBorderDxfId="150">
  <autoFilter ref="A50:D61"/>
  <tableColumns count="4">
    <tableColumn id="1" name="LVL" dataDxfId="149"/>
    <tableColumn id="3" name="Rang" dataDxfId="148">
      <calculatedColumnFormula>Paramètres!N6</calculatedColumnFormula>
    </tableColumn>
    <tableColumn id="2" name="Valeur" dataDxfId="147" dataCellStyle="Milliers"/>
    <tableColumn id="4" name="Total" dataDxfId="146">
      <calculatedColumnFormula>VALUE_Wall[[#This Row],[Valeur]]*VALUE_Wall[[#This Row],[Rang]]</calculatedColumnFormula>
    </tableColumn>
  </tableColumns>
  <tableStyleInfo name="TableStyleMedium9" showFirstColumn="0" showLastColumn="0" showRowStripes="1" showColumnStripes="0"/>
</table>
</file>

<file path=xl/tables/table169.xml><?xml version="1.0" encoding="utf-8"?>
<table xmlns="http://schemas.openxmlformats.org/spreadsheetml/2006/main" id="211" name="VALUE_Hidden_Tesla" displayName="VALUE_Hidden_Tesla" ref="AC50:AF58" totalsRowShown="0" headerRowDxfId="145" dataDxfId="143" headerRowBorderDxfId="144" tableBorderDxfId="142" totalsRowBorderDxfId="141">
  <autoFilter ref="AC50:AF58"/>
  <tableColumns count="4">
    <tableColumn id="1" name="LVL" dataDxfId="140"/>
    <tableColumn id="3" name="Rang" dataDxfId="139">
      <calculatedColumnFormula>Paramètres!U6</calculatedColumnFormula>
    </tableColumn>
    <tableColumn id="2" name="Valeur" dataDxfId="138" dataCellStyle="Milliers"/>
    <tableColumn id="4" name="Total" dataDxfId="137">
      <calculatedColumnFormula>VALUE_Hidden_Tesla[[#This Row],[Valeur]]*VALUE_Hidden_Tesla[[#This Row],[Rang]]</calculatedColumnFormula>
    </tableColumn>
  </tableColumns>
  <tableStyleInfo name="TableStyleMedium9" showFirstColumn="0" showLastColumn="0" showRowStripes="1" showColumnStripes="0"/>
</table>
</file>

<file path=xl/tables/table170.xml><?xml version="1.0" encoding="utf-8"?>
<table xmlns="http://schemas.openxmlformats.org/spreadsheetml/2006/main" id="212" name="VALUE_XBow" displayName="VALUE_XBow" ref="AG50:AJ54" totalsRowShown="0" headerRowDxfId="136" dataDxfId="134" headerRowBorderDxfId="135" tableBorderDxfId="133" totalsRowBorderDxfId="132">
  <autoFilter ref="AG50:AJ54"/>
  <tableColumns count="4">
    <tableColumn id="1" name="LVL" dataDxfId="131"/>
    <tableColumn id="3" name="Rang" dataDxfId="130">
      <calculatedColumnFormula>Paramètres!V6</calculatedColumnFormula>
    </tableColumn>
    <tableColumn id="2" name="Valeur" dataDxfId="129" dataCellStyle="Milliers"/>
    <tableColumn id="4" name="Total" dataDxfId="128">
      <calculatedColumnFormula>VALUE_XBow[[#This Row],[Valeur]]*VALUE_XBow[[#This Row],[Rang]]</calculatedColumnFormula>
    </tableColumn>
  </tableColumns>
  <tableStyleInfo name="TableStyleMedium9" showFirstColumn="0" showLastColumn="0" showRowStripes="1" showColumnStripes="0"/>
</table>
</file>

<file path=xl/tables/table171.xml><?xml version="1.0" encoding="utf-8"?>
<table xmlns="http://schemas.openxmlformats.org/spreadsheetml/2006/main" id="213" name="VALUE_Inferno_Tower" displayName="VALUE_Inferno_Tower" ref="AK50:AN53" totalsRowShown="0" headerRowDxfId="127" dataDxfId="125" headerRowBorderDxfId="126" tableBorderDxfId="124" totalsRowBorderDxfId="123">
  <autoFilter ref="AK50:AN53"/>
  <tableColumns count="4">
    <tableColumn id="1" name="LVL" dataDxfId="122"/>
    <tableColumn id="3" name="Rang" dataDxfId="121">
      <calculatedColumnFormula>Paramètres!X6</calculatedColumnFormula>
    </tableColumn>
    <tableColumn id="2" name="Valeur" dataDxfId="120" dataCellStyle="Milliers"/>
    <tableColumn id="4" name="Total" dataDxfId="119">
      <calculatedColumnFormula>VALUE_Inferno_Tower[[#This Row],[Valeur]]*VALUE_Inferno_Tower[[#This Row],[Rang]]</calculatedColumnFormula>
    </tableColumn>
  </tableColumns>
  <tableStyleInfo name="TableStyleMedium9" showFirstColumn="0" showLastColumn="0" showRowStripes="1" showColumnStripes="0"/>
</table>
</file>

<file path=xl/tables/table172.xml><?xml version="1.0" encoding="utf-8"?>
<table xmlns="http://schemas.openxmlformats.org/spreadsheetml/2006/main" id="214" name="VALUE_Barbarian_King" displayName="VALUE_Barbarian_King" ref="A79:D119" totalsRowShown="0" headerRowDxfId="118" dataDxfId="116" headerRowBorderDxfId="117" tableBorderDxfId="115" totalsRowBorderDxfId="114">
  <autoFilter ref="A79:D119"/>
  <tableColumns count="4">
    <tableColumn id="1" name="LVL" dataDxfId="113"/>
    <tableColumn id="3" name="Rang" dataDxfId="112">
      <calculatedColumnFormula>Paramètres!BE6</calculatedColumnFormula>
    </tableColumn>
    <tableColumn id="2" name="Valeur" dataDxfId="111" dataCellStyle="Milliers"/>
    <tableColumn id="4" name="Total" dataDxfId="110">
      <calculatedColumnFormula>VALUE_Barbarian_King[[#This Row],[Valeur]]*VALUE_Barbarian_King[[#This Row],[Rang]]</calculatedColumnFormula>
    </tableColumn>
  </tableColumns>
  <tableStyleInfo name="TableStyleMedium9" showFirstColumn="0" showLastColumn="0" showRowStripes="1" showColumnStripes="0"/>
</table>
</file>

<file path=xl/tables/table173.xml><?xml version="1.0" encoding="utf-8"?>
<table xmlns="http://schemas.openxmlformats.org/spreadsheetml/2006/main" id="215" name="VALUE_Archer_Queen" displayName="VALUE_Archer_Queen" ref="E79:H119" totalsRowShown="0" headerRowDxfId="109" dataDxfId="107" headerRowBorderDxfId="108" tableBorderDxfId="106" totalsRowBorderDxfId="105">
  <autoFilter ref="E79:H119"/>
  <tableColumns count="4">
    <tableColumn id="1" name="LVL" dataDxfId="104"/>
    <tableColumn id="3" name="Rang" dataDxfId="103">
      <calculatedColumnFormula>Paramètres!BG6</calculatedColumnFormula>
    </tableColumn>
    <tableColumn id="2" name="Valeur" dataDxfId="102" dataCellStyle="Milliers"/>
    <tableColumn id="4" name="Total" dataDxfId="101">
      <calculatedColumnFormula>VALUE_Archer_Queen[[#This Row],[Valeur]]*VALUE_Archer_Queen[[#This Row],[Rang]]</calculatedColumnFormula>
    </tableColumn>
  </tableColumns>
  <tableStyleInfo name="TableStyleMedium9" showFirstColumn="0" showLastColumn="0" showRowStripes="1" showColumnStripes="0"/>
</table>
</file>

<file path=xl/tables/table174.xml><?xml version="1.0" encoding="utf-8"?>
<table xmlns="http://schemas.openxmlformats.org/spreadsheetml/2006/main" id="216" name="VALUE_Town_Home" displayName="VALUE_Town_Home" ref="AG109:AJ119" totalsRowShown="0" dataDxfId="99" headerRowBorderDxfId="100" tableBorderDxfId="98" totalsRowBorderDxfId="97">
  <autoFilter ref="AG109:AJ119"/>
  <tableColumns count="4">
    <tableColumn id="1" name="LVL" dataDxfId="96"/>
    <tableColumn id="3" name="Rang" dataDxfId="95">
      <calculatedColumnFormula>Paramètres!AF6</calculatedColumnFormula>
    </tableColumn>
    <tableColumn id="2" name="Valeur" dataDxfId="94"/>
    <tableColumn id="4" name="Total" dataDxfId="93">
      <calculatedColumnFormula>VALUE_Town_Home[[#This Row],[Valeur]]*VALUE_Town_Home[[#This Row],[Rang]]</calculatedColumnFormula>
    </tableColumn>
  </tableColumns>
  <tableStyleInfo name="TableStyleMedium9" showFirstColumn="0" showLastColumn="0" showRowStripes="1" showColumnStripes="0"/>
</table>
</file>

<file path=xl/tables/table175.xml><?xml version="1.0" encoding="utf-8"?>
<table xmlns="http://schemas.openxmlformats.org/spreadsheetml/2006/main" id="237" name="VALUE_Giant_Bomb" displayName="VALUE_Giant_Bomb" ref="I68:L72" totalsRowShown="0" headerRowDxfId="92" headerRowBorderDxfId="91" tableBorderDxfId="90">
  <autoFilter ref="I68:L72"/>
  <tableColumns count="4">
    <tableColumn id="1" name="LVL" dataDxfId="89"/>
    <tableColumn id="3" name="Rang" dataDxfId="88">
      <calculatedColumnFormula>Paramètres!AA6</calculatedColumnFormula>
    </tableColumn>
    <tableColumn id="2" name="Valeur" dataDxfId="87" dataCellStyle="Milliers"/>
    <tableColumn id="4" name="Total" dataDxfId="86">
      <calculatedColumnFormula>VALUE_Giant_Bomb[[#This Row],[Valeur]]*VALUE_Giant_Bomb[[#This Row],[Rang]]</calculatedColumnFormula>
    </tableColumn>
  </tableColumns>
  <tableStyleInfo name="TableStyleMedium9" showFirstColumn="0" showLastColumn="0" showRowStripes="1" showColumnStripes="0"/>
</table>
</file>

<file path=xl/tables/table176.xml><?xml version="1.0" encoding="utf-8"?>
<table xmlns="http://schemas.openxmlformats.org/spreadsheetml/2006/main" id="238" name="VALUE_Spring_Trap" displayName="VALUE_Spring_Trap" ref="E68:H69" totalsRowShown="0" headerRowDxfId="85" headerRowBorderDxfId="84" tableBorderDxfId="83">
  <autoFilter ref="E68:H69"/>
  <tableColumns count="4">
    <tableColumn id="1" name="LVL" dataDxfId="82"/>
    <tableColumn id="3" name="Rang" dataDxfId="81">
      <calculatedColumnFormula>Paramètres!Z6</calculatedColumnFormula>
    </tableColumn>
    <tableColumn id="2" name="Valeur" dataDxfId="80" dataCellStyle="Milliers"/>
    <tableColumn id="4" name="Total" dataDxfId="79">
      <calculatedColumnFormula>[Valeur]*[Rang]</calculatedColumnFormula>
    </tableColumn>
  </tableColumns>
  <tableStyleInfo name="TableStyleMedium9" showFirstColumn="0" showLastColumn="0" showRowStripes="1" showColumnStripes="0"/>
</table>
</file>

<file path=xl/tables/table177.xml><?xml version="1.0" encoding="utf-8"?>
<table xmlns="http://schemas.openxmlformats.org/spreadsheetml/2006/main" id="239" name="VALUE_Bomb" displayName="VALUE_Bomb" ref="A68:D74" totalsRowShown="0" headerRowDxfId="78" headerRowBorderDxfId="77" tableBorderDxfId="76" totalsRowBorderDxfId="75">
  <autoFilter ref="A68:D74"/>
  <tableColumns count="4">
    <tableColumn id="1" name="LVL" dataDxfId="74"/>
    <tableColumn id="4" name="Rang" dataDxfId="73">
      <calculatedColumnFormula>Paramètres!Y6</calculatedColumnFormula>
    </tableColumn>
    <tableColumn id="2" name="Valeur" dataDxfId="72" dataCellStyle="Milliers"/>
    <tableColumn id="3" name="Total" dataDxfId="71">
      <calculatedColumnFormula>VALUE_Bomb[[#This Row],[Valeur]]*VALUE_Bomb[[#This Row],[Rang]]</calculatedColumnFormula>
    </tableColumn>
  </tableColumns>
  <tableStyleInfo name="TableStyleMedium15" showFirstColumn="0" showLastColumn="0" showRowStripes="1" showColumnStripes="0"/>
</table>
</file>

<file path=xl/tables/table178.xml><?xml version="1.0" encoding="utf-8"?>
<table xmlns="http://schemas.openxmlformats.org/spreadsheetml/2006/main" id="240" name="VALUE_Air_Bomb" displayName="VALUE_Air_Bomb" ref="M68:P72" totalsRowShown="0" headerRowDxfId="70" headerRowBorderDxfId="69" tableBorderDxfId="68">
  <autoFilter ref="M68:P72"/>
  <tableColumns count="4">
    <tableColumn id="1" name="LVL" dataDxfId="67"/>
    <tableColumn id="4" name="Rang" dataDxfId="66">
      <calculatedColumnFormula>Paramètres!AB6</calculatedColumnFormula>
    </tableColumn>
    <tableColumn id="2" name="Valeur" dataDxfId="65" dataCellStyle="Milliers"/>
    <tableColumn id="3" name="Total" dataDxfId="64">
      <calculatedColumnFormula>VALUE_Air_Bomb[[#This Row],[Valeur]]*VALUE_Air_Bomb[[#This Row],[Rang]]</calculatedColumnFormula>
    </tableColumn>
  </tableColumns>
  <tableStyleInfo name="TableStyleLight9" showFirstColumn="0" showLastColumn="0" showRowStripes="1" showColumnStripes="0"/>
</table>
</file>

<file path=xl/tables/table179.xml><?xml version="1.0" encoding="utf-8"?>
<table xmlns="http://schemas.openxmlformats.org/spreadsheetml/2006/main" id="241" name="VALUE_Seeking_Air_Mine" displayName="VALUE_Seeking_Air_Mine" ref="Q68:T71" totalsRowShown="0" headerRowDxfId="63" headerRowBorderDxfId="62" tableBorderDxfId="61">
  <autoFilter ref="Q68:T71"/>
  <tableColumns count="4">
    <tableColumn id="1" name="LVL" dataDxfId="60"/>
    <tableColumn id="4" name="Rang" dataDxfId="59">
      <calculatedColumnFormula>Paramètres!AC6</calculatedColumnFormula>
    </tableColumn>
    <tableColumn id="2" name="Valeur" dataDxfId="58" dataCellStyle="Milliers"/>
    <tableColumn id="3" name="Total" dataDxfId="57">
      <calculatedColumnFormula>VALUE_Seeking_Air_Mine[[#This Row],[Valeur]]*VALUE_Seeking_Air_Mine[[#This Row],[Rang]]</calculatedColumnFormula>
    </tableColumn>
  </tableColumns>
  <tableStyleInfo name="TableStyleLight9" showFirstColumn="0" showLastColumn="0" showRowStripes="1" showColumnStripes="0"/>
</table>
</file>

<file path=xl/tables/table180.xml><?xml version="1.0" encoding="utf-8"?>
<table xmlns="http://schemas.openxmlformats.org/spreadsheetml/2006/main" id="242" name="VALUE_Skeleton_Trap" displayName="VALUE_Skeleton_Trap" ref="U68:X71" totalsRowShown="0" headerRowDxfId="56" headerRowBorderDxfId="55" tableBorderDxfId="54">
  <autoFilter ref="U68:X71"/>
  <tableColumns count="4">
    <tableColumn id="1" name="LVL" dataDxfId="53"/>
    <tableColumn id="4" name="Rang" dataDxfId="52">
      <calculatedColumnFormula>Paramètres!AD6</calculatedColumnFormula>
    </tableColumn>
    <tableColumn id="2" name="Valeur" dataDxfId="51" dataCellStyle="Milliers"/>
    <tableColumn id="3" name="Total" dataDxfId="50">
      <calculatedColumnFormula>VALUE_Skeleton_Trap[[#This Row],[Valeur]]*VALUE_Skeleton_Trap[[#This Row],[Rang]]</calculatedColumnFormula>
    </tableColumn>
  </tableColumns>
  <tableStyleInfo name="TableStyleLight9" showFirstColumn="0" showLastColumn="0" showRowStripes="1" showColumnStripes="0"/>
</table>
</file>

<file path=xl/tables/table181.xml><?xml version="1.0" encoding="utf-8"?>
<table xmlns="http://schemas.openxmlformats.org/spreadsheetml/2006/main" id="244" name="VALUE_Air_Sweeper" displayName="VALUE_Air_Sweeper" ref="Y50:AB56" totalsRowShown="0" headerRowDxfId="49" dataDxfId="47" headerRowBorderDxfId="48" tableBorderDxfId="46" totalsRowBorderDxfId="45">
  <autoFilter ref="Y50:AB56"/>
  <tableColumns count="4">
    <tableColumn id="1" name="LVL" dataDxfId="44"/>
    <tableColumn id="3" name="Rang" dataDxfId="43">
      <calculatedColumnFormula>Paramètres!T6</calculatedColumnFormula>
    </tableColumn>
    <tableColumn id="2" name="Valeur" dataDxfId="42" dataCellStyle="Milliers"/>
    <tableColumn id="4" name="Total" dataDxfId="41">
      <calculatedColumnFormula>VALUE_Air_Sweeper[[#This Row],[Valeur]]*VALUE_Air_Sweeper[[#This Row],[Rang]]</calculatedColumnFormula>
    </tableColumn>
  </tableColumns>
  <tableStyleInfo name="TableStyleMedium9" showFirstColumn="0" showLastColumn="0" showRowStripes="1" showColumnStripes="0"/>
</table>
</file>

<file path=xl/tables/table182.xml><?xml version="1.0" encoding="utf-8"?>
<table xmlns="http://schemas.openxmlformats.org/spreadsheetml/2006/main" id="144" name="VALUE_Dark_Spell_Factory" displayName="VALUE_Dark_Spell_Factory" ref="AG96:AJ99" totalsRowShown="0" headerRowBorderDxfId="40" tableBorderDxfId="39" totalsRowBorderDxfId="38">
  <autoFilter ref="AG96:AJ99"/>
  <tableColumns count="4">
    <tableColumn id="1" name="LVL" dataDxfId="37"/>
    <tableColumn id="3" name="Rang" dataDxfId="36">
      <calculatedColumnFormula>Paramètres!M6</calculatedColumnFormula>
    </tableColumn>
    <tableColumn id="2" name="Valeur" dataDxfId="35" dataCellStyle="Milliers"/>
    <tableColumn id="4" name="Total" dataDxfId="34">
      <calculatedColumnFormula>VALUE_Dark_Spell_Factory[[#This Row],[Valeur]]*VALUE_Dark_Spell_Factory[[#This Row],[Rang]]</calculatedColumnFormula>
    </tableColumn>
  </tableColumns>
  <tableStyleInfo name="TableStyleMedium9" showFirstColumn="0" showLastColumn="0" showRowStripes="1" showColumnStripes="0"/>
</table>
</file>

<file path=xl/tables/table183.xml><?xml version="1.0" encoding="utf-8"?>
<table xmlns="http://schemas.openxmlformats.org/spreadsheetml/2006/main" id="145" name="VALUE_Spell_Poison" displayName="VALUE_Spell_Poison" ref="M111:P115" totalsRowShown="0" headerRowDxfId="33" dataDxfId="31" headerRowBorderDxfId="32" tableBorderDxfId="30">
  <autoFilter ref="M111:P115"/>
  <tableColumns count="4">
    <tableColumn id="1" name="LVL" dataDxfId="29"/>
    <tableColumn id="3" name="Rang" dataDxfId="28">
      <calculatedColumnFormula>Paramètres!AL6</calculatedColumnFormula>
    </tableColumn>
    <tableColumn id="2" name="Valeur" dataDxfId="27"/>
    <tableColumn id="4" name="Total" dataDxfId="26">
      <calculatedColumnFormula>VALUE_Spell_Poison[[#This Row],[Valeur]]*VALUE_Spell_Poison[[#This Row],[Rang]]</calculatedColumnFormula>
    </tableColumn>
  </tableColumns>
  <tableStyleInfo name="TableStyleMedium9" showFirstColumn="0" showLastColumn="0" showRowStripes="1" showColumnStripes="0"/>
</table>
</file>

<file path=xl/tables/table184.xml><?xml version="1.0" encoding="utf-8"?>
<table xmlns="http://schemas.openxmlformats.org/spreadsheetml/2006/main" id="149" name="VALUE_Spell_Earthquake" displayName="VALUE_Spell_Earthquake" ref="Q111:T115" totalsRowShown="0" headerRowDxfId="25" dataDxfId="23" headerRowBorderDxfId="24" tableBorderDxfId="22">
  <autoFilter ref="Q111:T115"/>
  <tableColumns count="4">
    <tableColumn id="1" name="LVL" dataDxfId="21"/>
    <tableColumn id="3" name="Rang" dataDxfId="20">
      <calculatedColumnFormula>Paramètres!AM6</calculatedColumnFormula>
    </tableColumn>
    <tableColumn id="2" name="Valeur" dataDxfId="19"/>
    <tableColumn id="4" name="Total" dataDxfId="18">
      <calculatedColumnFormula>VALUE_Spell_Earthquake[[#This Row],[Valeur]]*VALUE_Spell_Earthquake[[#This Row],[Rang]]</calculatedColumnFormula>
    </tableColumn>
  </tableColumns>
  <tableStyleInfo name="TableStyleMedium9" showFirstColumn="0" showLastColumn="0" showRowStripes="1" showColumnStripes="0"/>
</table>
</file>

<file path=xl/tables/table185.xml><?xml version="1.0" encoding="utf-8"?>
<table xmlns="http://schemas.openxmlformats.org/spreadsheetml/2006/main" id="150" name="VALUE_Spell_Haste" displayName="VALUE_Spell_Haste" ref="U111:X115" totalsRowShown="0" headerRowDxfId="17" dataDxfId="15" headerRowBorderDxfId="16" tableBorderDxfId="14">
  <autoFilter ref="U111:X115"/>
  <tableColumns count="4">
    <tableColumn id="1" name="LVL" dataDxfId="13"/>
    <tableColumn id="3" name="Rang" dataDxfId="12">
      <calculatedColumnFormula>Paramètres!AN6</calculatedColumnFormula>
    </tableColumn>
    <tableColumn id="2" name="Valeur" dataDxfId="11"/>
    <tableColumn id="4" name="Total" dataDxfId="10">
      <calculatedColumnFormula>VALUE_Spell_Haste[[#This Row],[Valeur]]*VALUE_Spell_Haste[[#This Row],[Rang]]</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8.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9.xml.rels><?xml version="1.0" encoding="UTF-8" standalone="yes"?>
<Relationships xmlns="http://schemas.openxmlformats.org/package/2006/relationships"><Relationship Id="rId8" Type="http://schemas.openxmlformats.org/officeDocument/2006/relationships/table" Target="../tables/table18.xml"/><Relationship Id="rId13" Type="http://schemas.openxmlformats.org/officeDocument/2006/relationships/table" Target="../tables/table23.xml"/><Relationship Id="rId3" Type="http://schemas.openxmlformats.org/officeDocument/2006/relationships/table" Target="../tables/table13.xml"/><Relationship Id="rId7" Type="http://schemas.openxmlformats.org/officeDocument/2006/relationships/table" Target="../tables/table17.xml"/><Relationship Id="rId12" Type="http://schemas.openxmlformats.org/officeDocument/2006/relationships/table" Target="../tables/table22.xml"/><Relationship Id="rId17" Type="http://schemas.openxmlformats.org/officeDocument/2006/relationships/table" Target="../tables/table27.xml"/><Relationship Id="rId2" Type="http://schemas.openxmlformats.org/officeDocument/2006/relationships/table" Target="../tables/table12.xml"/><Relationship Id="rId16" Type="http://schemas.openxmlformats.org/officeDocument/2006/relationships/table" Target="../tables/table26.xml"/><Relationship Id="rId1" Type="http://schemas.openxmlformats.org/officeDocument/2006/relationships/printerSettings" Target="../printerSettings/printerSettings9.bin"/><Relationship Id="rId6" Type="http://schemas.openxmlformats.org/officeDocument/2006/relationships/table" Target="../tables/table16.xml"/><Relationship Id="rId11" Type="http://schemas.openxmlformats.org/officeDocument/2006/relationships/table" Target="../tables/table21.xml"/><Relationship Id="rId5" Type="http://schemas.openxmlformats.org/officeDocument/2006/relationships/table" Target="../tables/table15.xml"/><Relationship Id="rId15" Type="http://schemas.openxmlformats.org/officeDocument/2006/relationships/table" Target="../tables/table25.xml"/><Relationship Id="rId10" Type="http://schemas.openxmlformats.org/officeDocument/2006/relationships/table" Target="../tables/table20.xml"/><Relationship Id="rId4" Type="http://schemas.openxmlformats.org/officeDocument/2006/relationships/table" Target="../tables/table14.xml"/><Relationship Id="rId9" Type="http://schemas.openxmlformats.org/officeDocument/2006/relationships/table" Target="../tables/table19.xml"/><Relationship Id="rId14" Type="http://schemas.openxmlformats.org/officeDocument/2006/relationships/table" Target="../tables/table24.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29.xml"/><Relationship Id="rId2" Type="http://schemas.openxmlformats.org/officeDocument/2006/relationships/table" Target="../tables/table2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3" Type="http://schemas.openxmlformats.org/officeDocument/2006/relationships/table" Target="../tables/table41.xml"/><Relationship Id="rId18" Type="http://schemas.openxmlformats.org/officeDocument/2006/relationships/table" Target="../tables/table46.xml"/><Relationship Id="rId26" Type="http://schemas.openxmlformats.org/officeDocument/2006/relationships/table" Target="../tables/table54.xml"/><Relationship Id="rId39" Type="http://schemas.openxmlformats.org/officeDocument/2006/relationships/table" Target="../tables/table67.xml"/><Relationship Id="rId21" Type="http://schemas.openxmlformats.org/officeDocument/2006/relationships/table" Target="../tables/table49.xml"/><Relationship Id="rId34" Type="http://schemas.openxmlformats.org/officeDocument/2006/relationships/table" Target="../tables/table62.xml"/><Relationship Id="rId42" Type="http://schemas.openxmlformats.org/officeDocument/2006/relationships/table" Target="../tables/table70.xml"/><Relationship Id="rId47" Type="http://schemas.openxmlformats.org/officeDocument/2006/relationships/table" Target="../tables/table75.xml"/><Relationship Id="rId50" Type="http://schemas.openxmlformats.org/officeDocument/2006/relationships/table" Target="../tables/table78.xml"/><Relationship Id="rId55" Type="http://schemas.openxmlformats.org/officeDocument/2006/relationships/table" Target="../tables/table83.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5" Type="http://schemas.openxmlformats.org/officeDocument/2006/relationships/table" Target="../tables/table53.xml"/><Relationship Id="rId33" Type="http://schemas.openxmlformats.org/officeDocument/2006/relationships/table" Target="../tables/table61.xml"/><Relationship Id="rId38" Type="http://schemas.openxmlformats.org/officeDocument/2006/relationships/table" Target="../tables/table66.xml"/><Relationship Id="rId46" Type="http://schemas.openxmlformats.org/officeDocument/2006/relationships/table" Target="../tables/table74.xml"/><Relationship Id="rId59" Type="http://schemas.openxmlformats.org/officeDocument/2006/relationships/table" Target="../tables/table87.xml"/><Relationship Id="rId2" Type="http://schemas.openxmlformats.org/officeDocument/2006/relationships/table" Target="../tables/table30.xml"/><Relationship Id="rId16" Type="http://schemas.openxmlformats.org/officeDocument/2006/relationships/table" Target="../tables/table44.xml"/><Relationship Id="rId20" Type="http://schemas.openxmlformats.org/officeDocument/2006/relationships/table" Target="../tables/table48.xml"/><Relationship Id="rId29" Type="http://schemas.openxmlformats.org/officeDocument/2006/relationships/table" Target="../tables/table57.xml"/><Relationship Id="rId41" Type="http://schemas.openxmlformats.org/officeDocument/2006/relationships/table" Target="../tables/table69.xml"/><Relationship Id="rId54" Type="http://schemas.openxmlformats.org/officeDocument/2006/relationships/table" Target="../tables/table82.xml"/><Relationship Id="rId1" Type="http://schemas.openxmlformats.org/officeDocument/2006/relationships/printerSettings" Target="../printerSettings/printerSettings11.bin"/><Relationship Id="rId6" Type="http://schemas.openxmlformats.org/officeDocument/2006/relationships/table" Target="../tables/table34.xml"/><Relationship Id="rId11" Type="http://schemas.openxmlformats.org/officeDocument/2006/relationships/table" Target="../tables/table39.xml"/><Relationship Id="rId24" Type="http://schemas.openxmlformats.org/officeDocument/2006/relationships/table" Target="../tables/table52.xml"/><Relationship Id="rId32" Type="http://schemas.openxmlformats.org/officeDocument/2006/relationships/table" Target="../tables/table60.xml"/><Relationship Id="rId37" Type="http://schemas.openxmlformats.org/officeDocument/2006/relationships/table" Target="../tables/table65.xml"/><Relationship Id="rId40" Type="http://schemas.openxmlformats.org/officeDocument/2006/relationships/table" Target="../tables/table68.xml"/><Relationship Id="rId45" Type="http://schemas.openxmlformats.org/officeDocument/2006/relationships/table" Target="../tables/table73.xml"/><Relationship Id="rId53" Type="http://schemas.openxmlformats.org/officeDocument/2006/relationships/table" Target="../tables/table81.xml"/><Relationship Id="rId58" Type="http://schemas.openxmlformats.org/officeDocument/2006/relationships/table" Target="../tables/table86.xml"/><Relationship Id="rId5" Type="http://schemas.openxmlformats.org/officeDocument/2006/relationships/table" Target="../tables/table33.xml"/><Relationship Id="rId15" Type="http://schemas.openxmlformats.org/officeDocument/2006/relationships/table" Target="../tables/table43.xml"/><Relationship Id="rId23" Type="http://schemas.openxmlformats.org/officeDocument/2006/relationships/table" Target="../tables/table51.xml"/><Relationship Id="rId28" Type="http://schemas.openxmlformats.org/officeDocument/2006/relationships/table" Target="../tables/table56.xml"/><Relationship Id="rId36" Type="http://schemas.openxmlformats.org/officeDocument/2006/relationships/table" Target="../tables/table64.xml"/><Relationship Id="rId49" Type="http://schemas.openxmlformats.org/officeDocument/2006/relationships/table" Target="../tables/table77.xml"/><Relationship Id="rId57" Type="http://schemas.openxmlformats.org/officeDocument/2006/relationships/table" Target="../tables/table85.xml"/><Relationship Id="rId10" Type="http://schemas.openxmlformats.org/officeDocument/2006/relationships/table" Target="../tables/table38.xml"/><Relationship Id="rId19" Type="http://schemas.openxmlformats.org/officeDocument/2006/relationships/table" Target="../tables/table47.xml"/><Relationship Id="rId31" Type="http://schemas.openxmlformats.org/officeDocument/2006/relationships/table" Target="../tables/table59.xml"/><Relationship Id="rId44" Type="http://schemas.openxmlformats.org/officeDocument/2006/relationships/table" Target="../tables/table72.xml"/><Relationship Id="rId52" Type="http://schemas.openxmlformats.org/officeDocument/2006/relationships/table" Target="../tables/table80.xml"/><Relationship Id="rId4" Type="http://schemas.openxmlformats.org/officeDocument/2006/relationships/table" Target="../tables/table32.xml"/><Relationship Id="rId9" Type="http://schemas.openxmlformats.org/officeDocument/2006/relationships/table" Target="../tables/table37.xml"/><Relationship Id="rId14" Type="http://schemas.openxmlformats.org/officeDocument/2006/relationships/table" Target="../tables/table42.xml"/><Relationship Id="rId22" Type="http://schemas.openxmlformats.org/officeDocument/2006/relationships/table" Target="../tables/table50.xml"/><Relationship Id="rId27" Type="http://schemas.openxmlformats.org/officeDocument/2006/relationships/table" Target="../tables/table55.xml"/><Relationship Id="rId30" Type="http://schemas.openxmlformats.org/officeDocument/2006/relationships/table" Target="../tables/table58.xml"/><Relationship Id="rId35" Type="http://schemas.openxmlformats.org/officeDocument/2006/relationships/table" Target="../tables/table63.xml"/><Relationship Id="rId43" Type="http://schemas.openxmlformats.org/officeDocument/2006/relationships/table" Target="../tables/table71.xml"/><Relationship Id="rId48" Type="http://schemas.openxmlformats.org/officeDocument/2006/relationships/table" Target="../tables/table76.xml"/><Relationship Id="rId56" Type="http://schemas.openxmlformats.org/officeDocument/2006/relationships/table" Target="../tables/table84.xml"/><Relationship Id="rId8" Type="http://schemas.openxmlformats.org/officeDocument/2006/relationships/table" Target="../tables/table36.xml"/><Relationship Id="rId51" Type="http://schemas.openxmlformats.org/officeDocument/2006/relationships/table" Target="../tables/table79.xml"/><Relationship Id="rId3" Type="http://schemas.openxmlformats.org/officeDocument/2006/relationships/table" Target="../tables/table31.xml"/></Relationships>
</file>

<file path=xl/worksheets/_rels/sheet12.xml.rels><?xml version="1.0" encoding="UTF-8" standalone="yes"?>
<Relationships xmlns="http://schemas.openxmlformats.org/package/2006/relationships"><Relationship Id="rId8" Type="http://schemas.openxmlformats.org/officeDocument/2006/relationships/table" Target="../tables/table94.xml"/><Relationship Id="rId3" Type="http://schemas.openxmlformats.org/officeDocument/2006/relationships/table" Target="../tables/table89.xml"/><Relationship Id="rId7" Type="http://schemas.openxmlformats.org/officeDocument/2006/relationships/table" Target="../tables/table93.xml"/><Relationship Id="rId2" Type="http://schemas.openxmlformats.org/officeDocument/2006/relationships/table" Target="../tables/table88.xml"/><Relationship Id="rId1" Type="http://schemas.openxmlformats.org/officeDocument/2006/relationships/printerSettings" Target="../printerSettings/printerSettings12.bin"/><Relationship Id="rId6" Type="http://schemas.openxmlformats.org/officeDocument/2006/relationships/table" Target="../tables/table92.xml"/><Relationship Id="rId5" Type="http://schemas.openxmlformats.org/officeDocument/2006/relationships/table" Target="../tables/table91.xml"/><Relationship Id="rId4" Type="http://schemas.openxmlformats.org/officeDocument/2006/relationships/table" Target="../tables/table90.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96.xml"/><Relationship Id="rId2" Type="http://schemas.openxmlformats.org/officeDocument/2006/relationships/table" Target="../tables/table95.xml"/><Relationship Id="rId1" Type="http://schemas.openxmlformats.org/officeDocument/2006/relationships/printerSettings" Target="../printerSettings/printerSettings13.bin"/><Relationship Id="rId4" Type="http://schemas.openxmlformats.org/officeDocument/2006/relationships/table" Target="../tables/table97.xml"/></Relationships>
</file>

<file path=xl/worksheets/_rels/sheet14.xml.rels><?xml version="1.0" encoding="UTF-8" standalone="yes"?>
<Relationships xmlns="http://schemas.openxmlformats.org/package/2006/relationships"><Relationship Id="rId8" Type="http://schemas.openxmlformats.org/officeDocument/2006/relationships/table" Target="../tables/table104.xml"/><Relationship Id="rId13" Type="http://schemas.openxmlformats.org/officeDocument/2006/relationships/table" Target="../tables/table109.xml"/><Relationship Id="rId18" Type="http://schemas.openxmlformats.org/officeDocument/2006/relationships/table" Target="../tables/table114.xml"/><Relationship Id="rId26" Type="http://schemas.openxmlformats.org/officeDocument/2006/relationships/table" Target="../tables/table122.xml"/><Relationship Id="rId3" Type="http://schemas.openxmlformats.org/officeDocument/2006/relationships/table" Target="../tables/table99.xml"/><Relationship Id="rId21" Type="http://schemas.openxmlformats.org/officeDocument/2006/relationships/table" Target="../tables/table117.xml"/><Relationship Id="rId7" Type="http://schemas.openxmlformats.org/officeDocument/2006/relationships/table" Target="../tables/table103.xml"/><Relationship Id="rId12" Type="http://schemas.openxmlformats.org/officeDocument/2006/relationships/table" Target="../tables/table108.xml"/><Relationship Id="rId17" Type="http://schemas.openxmlformats.org/officeDocument/2006/relationships/table" Target="../tables/table113.xml"/><Relationship Id="rId25" Type="http://schemas.openxmlformats.org/officeDocument/2006/relationships/table" Target="../tables/table121.xml"/><Relationship Id="rId2" Type="http://schemas.openxmlformats.org/officeDocument/2006/relationships/table" Target="../tables/table98.xml"/><Relationship Id="rId16" Type="http://schemas.openxmlformats.org/officeDocument/2006/relationships/table" Target="../tables/table112.xml"/><Relationship Id="rId20" Type="http://schemas.openxmlformats.org/officeDocument/2006/relationships/table" Target="../tables/table116.xml"/><Relationship Id="rId29" Type="http://schemas.openxmlformats.org/officeDocument/2006/relationships/table" Target="../tables/table125.xml"/><Relationship Id="rId1" Type="http://schemas.openxmlformats.org/officeDocument/2006/relationships/printerSettings" Target="../printerSettings/printerSettings14.bin"/><Relationship Id="rId6" Type="http://schemas.openxmlformats.org/officeDocument/2006/relationships/table" Target="../tables/table102.xml"/><Relationship Id="rId11" Type="http://schemas.openxmlformats.org/officeDocument/2006/relationships/table" Target="../tables/table107.xml"/><Relationship Id="rId24" Type="http://schemas.openxmlformats.org/officeDocument/2006/relationships/table" Target="../tables/table120.xml"/><Relationship Id="rId5" Type="http://schemas.openxmlformats.org/officeDocument/2006/relationships/table" Target="../tables/table101.xml"/><Relationship Id="rId15" Type="http://schemas.openxmlformats.org/officeDocument/2006/relationships/table" Target="../tables/table111.xml"/><Relationship Id="rId23" Type="http://schemas.openxmlformats.org/officeDocument/2006/relationships/table" Target="../tables/table119.xml"/><Relationship Id="rId28" Type="http://schemas.openxmlformats.org/officeDocument/2006/relationships/table" Target="../tables/table124.xml"/><Relationship Id="rId10" Type="http://schemas.openxmlformats.org/officeDocument/2006/relationships/table" Target="../tables/table106.xml"/><Relationship Id="rId19" Type="http://schemas.openxmlformats.org/officeDocument/2006/relationships/table" Target="../tables/table115.xml"/><Relationship Id="rId4" Type="http://schemas.openxmlformats.org/officeDocument/2006/relationships/table" Target="../tables/table100.xml"/><Relationship Id="rId9" Type="http://schemas.openxmlformats.org/officeDocument/2006/relationships/table" Target="../tables/table105.xml"/><Relationship Id="rId14" Type="http://schemas.openxmlformats.org/officeDocument/2006/relationships/table" Target="../tables/table110.xml"/><Relationship Id="rId22" Type="http://schemas.openxmlformats.org/officeDocument/2006/relationships/table" Target="../tables/table118.xml"/><Relationship Id="rId27" Type="http://schemas.openxmlformats.org/officeDocument/2006/relationships/table" Target="../tables/table123.xml"/><Relationship Id="rId30" Type="http://schemas.openxmlformats.org/officeDocument/2006/relationships/table" Target="../tables/table126.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27.xml"/></Relationships>
</file>

<file path=xl/worksheets/_rels/sheet16.xml.rels><?xml version="1.0" encoding="UTF-8" standalone="yes"?>
<Relationships xmlns="http://schemas.openxmlformats.org/package/2006/relationships"><Relationship Id="rId2" Type="http://schemas.openxmlformats.org/officeDocument/2006/relationships/table" Target="../tables/table128.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hyperlink" Target="http://www.fichier-xls.fr/2015/05/30/coc-calcultator-v4-17-04-vierge/" TargetMode="External"/><Relationship Id="rId2" Type="http://schemas.openxmlformats.org/officeDocument/2006/relationships/hyperlink" Target="http://www.fichier-xls.fr/2015/10/22/coc-calcultator-v5.02-vierge/" TargetMode="External"/><Relationship Id="rId1" Type="http://schemas.openxmlformats.org/officeDocument/2006/relationships/hyperlink" Target="http://www.fichier-xls.fr/2015/09/19/coc-calcultator-v5.01-vierge/" TargetMode="External"/><Relationship Id="rId6" Type="http://schemas.openxmlformats.org/officeDocument/2006/relationships/table" Target="../tables/table129.xml"/><Relationship Id="rId5" Type="http://schemas.openxmlformats.org/officeDocument/2006/relationships/printerSettings" Target="../printerSettings/printerSettings18.bin"/><Relationship Id="rId4" Type="http://schemas.openxmlformats.org/officeDocument/2006/relationships/hyperlink" Target="http://www.fichier-xls.fr/2015/12/12/coc-calcultator-v6-01-vierge/" TargetMode="External"/></Relationships>
</file>

<file path=xl/worksheets/_rels/sheet20.xml.rels><?xml version="1.0" encoding="UTF-8" standalone="yes"?>
<Relationships xmlns="http://schemas.openxmlformats.org/package/2006/relationships"><Relationship Id="rId13" Type="http://schemas.openxmlformats.org/officeDocument/2006/relationships/table" Target="../tables/table142.xml"/><Relationship Id="rId18" Type="http://schemas.openxmlformats.org/officeDocument/2006/relationships/table" Target="../tables/table147.xml"/><Relationship Id="rId26" Type="http://schemas.openxmlformats.org/officeDocument/2006/relationships/table" Target="../tables/table155.xml"/><Relationship Id="rId39" Type="http://schemas.openxmlformats.org/officeDocument/2006/relationships/table" Target="../tables/table168.xml"/><Relationship Id="rId21" Type="http://schemas.openxmlformats.org/officeDocument/2006/relationships/table" Target="../tables/table150.xml"/><Relationship Id="rId34" Type="http://schemas.openxmlformats.org/officeDocument/2006/relationships/table" Target="../tables/table163.xml"/><Relationship Id="rId42" Type="http://schemas.openxmlformats.org/officeDocument/2006/relationships/table" Target="../tables/table171.xml"/><Relationship Id="rId47" Type="http://schemas.openxmlformats.org/officeDocument/2006/relationships/table" Target="../tables/table176.xml"/><Relationship Id="rId50" Type="http://schemas.openxmlformats.org/officeDocument/2006/relationships/table" Target="../tables/table179.xml"/><Relationship Id="rId55" Type="http://schemas.openxmlformats.org/officeDocument/2006/relationships/table" Target="../tables/table184.xml"/><Relationship Id="rId7" Type="http://schemas.openxmlformats.org/officeDocument/2006/relationships/table" Target="../tables/table136.xml"/><Relationship Id="rId12" Type="http://schemas.openxmlformats.org/officeDocument/2006/relationships/table" Target="../tables/table141.xml"/><Relationship Id="rId17" Type="http://schemas.openxmlformats.org/officeDocument/2006/relationships/table" Target="../tables/table146.xml"/><Relationship Id="rId25" Type="http://schemas.openxmlformats.org/officeDocument/2006/relationships/table" Target="../tables/table154.xml"/><Relationship Id="rId33" Type="http://schemas.openxmlformats.org/officeDocument/2006/relationships/table" Target="../tables/table162.xml"/><Relationship Id="rId38" Type="http://schemas.openxmlformats.org/officeDocument/2006/relationships/table" Target="../tables/table167.xml"/><Relationship Id="rId46" Type="http://schemas.openxmlformats.org/officeDocument/2006/relationships/table" Target="../tables/table175.xml"/><Relationship Id="rId2" Type="http://schemas.openxmlformats.org/officeDocument/2006/relationships/table" Target="../tables/table131.xml"/><Relationship Id="rId16" Type="http://schemas.openxmlformats.org/officeDocument/2006/relationships/table" Target="../tables/table145.xml"/><Relationship Id="rId20" Type="http://schemas.openxmlformats.org/officeDocument/2006/relationships/table" Target="../tables/table149.xml"/><Relationship Id="rId29" Type="http://schemas.openxmlformats.org/officeDocument/2006/relationships/table" Target="../tables/table158.xml"/><Relationship Id="rId41" Type="http://schemas.openxmlformats.org/officeDocument/2006/relationships/table" Target="../tables/table170.xml"/><Relationship Id="rId54" Type="http://schemas.openxmlformats.org/officeDocument/2006/relationships/table" Target="../tables/table183.xml"/><Relationship Id="rId1" Type="http://schemas.openxmlformats.org/officeDocument/2006/relationships/table" Target="../tables/table130.xml"/><Relationship Id="rId6" Type="http://schemas.openxmlformats.org/officeDocument/2006/relationships/table" Target="../tables/table135.xml"/><Relationship Id="rId11" Type="http://schemas.openxmlformats.org/officeDocument/2006/relationships/table" Target="../tables/table140.xml"/><Relationship Id="rId24" Type="http://schemas.openxmlformats.org/officeDocument/2006/relationships/table" Target="../tables/table153.xml"/><Relationship Id="rId32" Type="http://schemas.openxmlformats.org/officeDocument/2006/relationships/table" Target="../tables/table161.xml"/><Relationship Id="rId37" Type="http://schemas.openxmlformats.org/officeDocument/2006/relationships/table" Target="../tables/table166.xml"/><Relationship Id="rId40" Type="http://schemas.openxmlformats.org/officeDocument/2006/relationships/table" Target="../tables/table169.xml"/><Relationship Id="rId45" Type="http://schemas.openxmlformats.org/officeDocument/2006/relationships/table" Target="../tables/table174.xml"/><Relationship Id="rId53" Type="http://schemas.openxmlformats.org/officeDocument/2006/relationships/table" Target="../tables/table182.xml"/><Relationship Id="rId5" Type="http://schemas.openxmlformats.org/officeDocument/2006/relationships/table" Target="../tables/table134.xml"/><Relationship Id="rId15" Type="http://schemas.openxmlformats.org/officeDocument/2006/relationships/table" Target="../tables/table144.xml"/><Relationship Id="rId23" Type="http://schemas.openxmlformats.org/officeDocument/2006/relationships/table" Target="../tables/table152.xml"/><Relationship Id="rId28" Type="http://schemas.openxmlformats.org/officeDocument/2006/relationships/table" Target="../tables/table157.xml"/><Relationship Id="rId36" Type="http://schemas.openxmlformats.org/officeDocument/2006/relationships/table" Target="../tables/table165.xml"/><Relationship Id="rId49" Type="http://schemas.openxmlformats.org/officeDocument/2006/relationships/table" Target="../tables/table178.xml"/><Relationship Id="rId10" Type="http://schemas.openxmlformats.org/officeDocument/2006/relationships/table" Target="../tables/table139.xml"/><Relationship Id="rId19" Type="http://schemas.openxmlformats.org/officeDocument/2006/relationships/table" Target="../tables/table148.xml"/><Relationship Id="rId31" Type="http://schemas.openxmlformats.org/officeDocument/2006/relationships/table" Target="../tables/table160.xml"/><Relationship Id="rId44" Type="http://schemas.openxmlformats.org/officeDocument/2006/relationships/table" Target="../tables/table173.xml"/><Relationship Id="rId52" Type="http://schemas.openxmlformats.org/officeDocument/2006/relationships/table" Target="../tables/table181.xml"/><Relationship Id="rId4" Type="http://schemas.openxmlformats.org/officeDocument/2006/relationships/table" Target="../tables/table133.xml"/><Relationship Id="rId9" Type="http://schemas.openxmlformats.org/officeDocument/2006/relationships/table" Target="../tables/table138.xml"/><Relationship Id="rId14" Type="http://schemas.openxmlformats.org/officeDocument/2006/relationships/table" Target="../tables/table143.xml"/><Relationship Id="rId22" Type="http://schemas.openxmlformats.org/officeDocument/2006/relationships/table" Target="../tables/table151.xml"/><Relationship Id="rId27" Type="http://schemas.openxmlformats.org/officeDocument/2006/relationships/table" Target="../tables/table156.xml"/><Relationship Id="rId30" Type="http://schemas.openxmlformats.org/officeDocument/2006/relationships/table" Target="../tables/table159.xml"/><Relationship Id="rId35" Type="http://schemas.openxmlformats.org/officeDocument/2006/relationships/table" Target="../tables/table164.xml"/><Relationship Id="rId43" Type="http://schemas.openxmlformats.org/officeDocument/2006/relationships/table" Target="../tables/table172.xml"/><Relationship Id="rId48" Type="http://schemas.openxmlformats.org/officeDocument/2006/relationships/table" Target="../tables/table177.xml"/><Relationship Id="rId56" Type="http://schemas.openxmlformats.org/officeDocument/2006/relationships/table" Target="../tables/table185.xml"/><Relationship Id="rId8" Type="http://schemas.openxmlformats.org/officeDocument/2006/relationships/table" Target="../tables/table137.xml"/><Relationship Id="rId51" Type="http://schemas.openxmlformats.org/officeDocument/2006/relationships/table" Target="../tables/table180.xml"/><Relationship Id="rId3" Type="http://schemas.openxmlformats.org/officeDocument/2006/relationships/table" Target="../tables/table132.xml"/></Relationships>
</file>

<file path=xl/worksheets/sheet1.xml><?xml version="1.0" encoding="utf-8"?>
<worksheet xmlns="http://schemas.openxmlformats.org/spreadsheetml/2006/main" xmlns:r="http://schemas.openxmlformats.org/officeDocument/2006/relationships">
  <sheetPr codeName="Feuil16">
    <tabColor theme="9" tint="-0.249977111117893"/>
  </sheetPr>
  <dimension ref="A1:BP73"/>
  <sheetViews>
    <sheetView zoomScaleNormal="100" workbookViewId="0">
      <pane xSplit="8" ySplit="7" topLeftCell="I8" activePane="bottomRight" state="frozen"/>
      <selection activeCell="A4" sqref="A4"/>
      <selection pane="topRight" activeCell="A4" sqref="A4"/>
      <selection pane="bottomLeft" activeCell="A4" sqref="A4"/>
      <selection pane="bottomRight" activeCell="E12" sqref="E11:E12"/>
    </sheetView>
  </sheetViews>
  <sheetFormatPr baseColWidth="10" defaultColWidth="11.42578125" defaultRowHeight="15"/>
  <cols>
    <col min="1" max="1" width="17.28515625" style="423" customWidth="1"/>
    <col min="2" max="2" width="3.7109375" style="423" customWidth="1"/>
    <col min="3" max="4" width="8.7109375" style="423" customWidth="1"/>
    <col min="5" max="5" width="10.140625" style="1014" customWidth="1"/>
    <col min="6" max="6" width="8.7109375" style="1014" customWidth="1"/>
    <col min="7" max="7" width="8.7109375" style="423" hidden="1" customWidth="1"/>
    <col min="8" max="8" width="7.7109375" style="423" customWidth="1"/>
    <col min="9" max="23" width="7" style="423" customWidth="1"/>
    <col min="24" max="26" width="7.140625" style="423" customWidth="1"/>
    <col min="27" max="68" width="7" style="423" customWidth="1"/>
    <col min="69" max="16384" width="11.42578125" style="423"/>
  </cols>
  <sheetData>
    <row r="1" spans="1:68" ht="24" thickTop="1" thickBot="1">
      <c r="A1" s="1042" t="s">
        <v>291</v>
      </c>
      <c r="B1" s="1043"/>
      <c r="C1" s="419" t="s">
        <v>477</v>
      </c>
      <c r="D1" s="420" t="s">
        <v>478</v>
      </c>
      <c r="E1" s="1010" t="s">
        <v>479</v>
      </c>
      <c r="F1" s="1011" t="s">
        <v>494</v>
      </c>
      <c r="G1" s="733">
        <f>Paramètres!BJ2</f>
        <v>2</v>
      </c>
      <c r="I1" s="1056" t="s">
        <v>261</v>
      </c>
      <c r="J1" s="1057"/>
      <c r="K1" s="428" t="s">
        <v>29</v>
      </c>
      <c r="L1" s="1018" t="s">
        <v>498</v>
      </c>
      <c r="M1" s="1019"/>
      <c r="N1" s="1033" t="s">
        <v>500</v>
      </c>
      <c r="O1" s="1019"/>
      <c r="P1" s="1033" t="s">
        <v>501</v>
      </c>
      <c r="Q1" s="1051"/>
      <c r="R1" s="1009"/>
      <c r="S1" s="1040" t="s">
        <v>514</v>
      </c>
      <c r="T1" s="1040"/>
      <c r="U1" s="1040"/>
      <c r="V1" s="1040"/>
      <c r="W1" s="1040"/>
      <c r="X1" s="1040"/>
      <c r="Y1" s="1040"/>
      <c r="Z1" s="1041"/>
      <c r="AG1" s="410"/>
      <c r="AH1" s="410"/>
      <c r="AK1" s="410"/>
      <c r="AL1" s="410"/>
      <c r="AM1" s="410"/>
      <c r="AN1" s="410"/>
      <c r="AO1" s="410"/>
      <c r="AP1" s="410"/>
      <c r="AQ1" s="410"/>
      <c r="AR1" s="410"/>
      <c r="AS1" s="410"/>
      <c r="AT1" s="410"/>
      <c r="AU1" s="410"/>
      <c r="AV1" s="410"/>
      <c r="AW1" s="410"/>
      <c r="AX1" s="410"/>
      <c r="AY1" s="410"/>
      <c r="AZ1" s="410"/>
      <c r="BA1" s="410"/>
      <c r="BB1" s="410"/>
      <c r="BC1" s="410"/>
      <c r="BD1" s="410"/>
      <c r="BE1" s="410"/>
      <c r="BF1" s="410"/>
      <c r="BG1" s="410"/>
      <c r="BH1" s="410"/>
      <c r="BI1" s="410"/>
      <c r="BJ1" s="410"/>
      <c r="BK1" s="410"/>
      <c r="BL1" s="410"/>
    </row>
    <row r="2" spans="1:68" ht="16.5" thickTop="1" thickBot="1">
      <c r="A2" s="1044">
        <f>Paramètres!$BI$2</f>
        <v>2</v>
      </c>
      <c r="B2" s="1045"/>
      <c r="C2" s="579">
        <v>42350.752592592595</v>
      </c>
      <c r="D2" s="580">
        <v>0.25</v>
      </c>
      <c r="E2" s="579">
        <v>42350</v>
      </c>
      <c r="F2" s="1012" t="s">
        <v>493</v>
      </c>
      <c r="G2" s="410"/>
      <c r="H2" s="410"/>
      <c r="I2" s="1020">
        <f>period_selected</f>
        <v>42350</v>
      </c>
      <c r="J2" s="1021"/>
      <c r="K2" s="434">
        <v>0</v>
      </c>
      <c r="L2" s="1034">
        <v>0</v>
      </c>
      <c r="M2" s="1034"/>
      <c r="N2" s="1036">
        <v>0</v>
      </c>
      <c r="O2" s="1037"/>
      <c r="P2" s="1052">
        <v>0</v>
      </c>
      <c r="Q2" s="1053"/>
      <c r="S2" s="439"/>
      <c r="T2" s="1058" t="s">
        <v>490</v>
      </c>
      <c r="U2" s="1059"/>
      <c r="V2" s="1059"/>
      <c r="W2" s="440"/>
      <c r="X2" s="1058" t="s">
        <v>485</v>
      </c>
      <c r="Y2" s="1059"/>
      <c r="Z2" s="1060"/>
      <c r="AL2" s="410"/>
      <c r="AM2" s="410"/>
      <c r="AT2" s="410"/>
      <c r="AU2" s="410"/>
      <c r="AV2" s="410"/>
      <c r="AW2" s="410"/>
      <c r="AX2" s="410"/>
      <c r="AY2" s="410"/>
      <c r="AZ2" s="410"/>
      <c r="BA2" s="410"/>
      <c r="BB2" s="410"/>
      <c r="BC2" s="410"/>
      <c r="BD2" s="410"/>
      <c r="BE2" s="410"/>
      <c r="BF2" s="410"/>
      <c r="BG2" s="410"/>
      <c r="BH2" s="410"/>
      <c r="BI2" s="410"/>
      <c r="BJ2" s="410"/>
      <c r="BK2" s="410"/>
      <c r="BL2" s="410"/>
      <c r="BM2" s="410"/>
      <c r="BN2" s="410"/>
      <c r="BO2" s="410"/>
    </row>
    <row r="3" spans="1:68" ht="15.75" customHeight="1">
      <c r="A3" s="1024" t="s">
        <v>470</v>
      </c>
      <c r="B3" s="1025"/>
      <c r="C3" s="1025"/>
      <c r="D3" s="1025"/>
      <c r="E3" s="1025"/>
      <c r="F3" s="1025"/>
      <c r="G3" s="1025"/>
      <c r="H3" s="1026"/>
      <c r="I3" s="1022">
        <f>$I2+$D$2</f>
        <v>42350.25</v>
      </c>
      <c r="J3" s="1023"/>
      <c r="K3" s="435">
        <v>0</v>
      </c>
      <c r="L3" s="1035">
        <v>0</v>
      </c>
      <c r="M3" s="1035"/>
      <c r="N3" s="1038">
        <v>0</v>
      </c>
      <c r="O3" s="1039"/>
      <c r="P3" s="1054">
        <v>0</v>
      </c>
      <c r="Q3" s="1055"/>
      <c r="S3" s="425"/>
      <c r="T3" s="1066" t="s">
        <v>491</v>
      </c>
      <c r="U3" s="1067"/>
      <c r="V3" s="1067"/>
      <c r="W3" s="424"/>
      <c r="X3" s="1061" t="s">
        <v>487</v>
      </c>
      <c r="Y3" s="1062"/>
      <c r="Z3" s="1063"/>
    </row>
    <row r="4" spans="1:68">
      <c r="A4" s="1027"/>
      <c r="B4" s="1028"/>
      <c r="C4" s="1028"/>
      <c r="D4" s="1028"/>
      <c r="E4" s="1028"/>
      <c r="F4" s="1028"/>
      <c r="G4" s="1028"/>
      <c r="H4" s="1029"/>
      <c r="I4" s="1022">
        <f>$I3+$D$2</f>
        <v>42350.5</v>
      </c>
      <c r="J4" s="1023"/>
      <c r="K4" s="435">
        <v>0</v>
      </c>
      <c r="L4" s="1035">
        <v>0</v>
      </c>
      <c r="M4" s="1035"/>
      <c r="N4" s="1038">
        <v>0</v>
      </c>
      <c r="O4" s="1039"/>
      <c r="P4" s="1054">
        <v>0</v>
      </c>
      <c r="Q4" s="1055"/>
      <c r="S4" s="441"/>
      <c r="T4" s="1066" t="s">
        <v>486</v>
      </c>
      <c r="U4" s="1068"/>
      <c r="V4" s="1068"/>
      <c r="W4" s="437"/>
      <c r="X4" s="437"/>
      <c r="Y4" s="437"/>
      <c r="Z4" s="438"/>
    </row>
    <row r="5" spans="1:68" ht="15.75" thickBot="1">
      <c r="A5" s="1027"/>
      <c r="B5" s="1028"/>
      <c r="C5" s="1028"/>
      <c r="D5" s="1028"/>
      <c r="E5" s="1028"/>
      <c r="F5" s="1028"/>
      <c r="G5" s="1028"/>
      <c r="H5" s="1029"/>
      <c r="I5" s="1046">
        <f>$I4+$D$2</f>
        <v>42350.75</v>
      </c>
      <c r="J5" s="1047"/>
      <c r="K5" s="436">
        <v>0</v>
      </c>
      <c r="L5" s="1048">
        <v>0</v>
      </c>
      <c r="M5" s="1048"/>
      <c r="N5" s="1049">
        <v>0</v>
      </c>
      <c r="O5" s="1050"/>
      <c r="P5" s="1070">
        <v>0</v>
      </c>
      <c r="Q5" s="1071"/>
      <c r="S5" s="443"/>
      <c r="T5" s="1064" t="s">
        <v>504</v>
      </c>
      <c r="U5" s="1065"/>
      <c r="V5" s="1065"/>
      <c r="W5" s="442"/>
      <c r="X5" s="1064" t="s">
        <v>488</v>
      </c>
      <c r="Y5" s="1065"/>
      <c r="Z5" s="1069"/>
    </row>
    <row r="6" spans="1:68" ht="15.75" hidden="1" thickBot="1">
      <c r="A6" s="1030"/>
      <c r="B6" s="1031"/>
      <c r="C6" s="1031"/>
      <c r="D6" s="1031"/>
      <c r="E6" s="1031"/>
      <c r="F6" s="1031"/>
      <c r="G6" s="1031"/>
      <c r="H6" s="1032"/>
      <c r="I6" s="737">
        <f>SUM(I8:I37)+SUM(I63:I73)</f>
        <v>0</v>
      </c>
      <c r="J6" s="737">
        <f>SUM(J8:J37)+SUM(J63:J73)</f>
        <v>0</v>
      </c>
      <c r="K6" s="737">
        <f>SUM(K8:K37)+SUM(K63:K73)</f>
        <v>0</v>
      </c>
      <c r="L6" s="737">
        <f>SUM(L8:L37)+SUM(L63:L73)</f>
        <v>0</v>
      </c>
      <c r="M6" s="737">
        <f>SUM(M8:M37)+SUM(M63:M73)</f>
        <v>0</v>
      </c>
      <c r="N6" s="737">
        <f>SUM(N8:N37)+SUM(N63:N73)</f>
        <v>0</v>
      </c>
      <c r="O6" s="737">
        <f>SUM(O8:O37)+SUM(O63:O73)</f>
        <v>0</v>
      </c>
      <c r="P6" s="737">
        <f>SUM(P8:P37)+SUM(P63:P73)</f>
        <v>0</v>
      </c>
      <c r="Q6" s="737">
        <f>SUM(Q8:Q37)+SUM(Q63:Q73)</f>
        <v>0</v>
      </c>
      <c r="R6" s="737">
        <f>SUM(R8:R37)+SUM(R63:R73)</f>
        <v>0</v>
      </c>
      <c r="S6" s="737">
        <f>SUM(S8:S37)+SUM(S63:S73)</f>
        <v>0</v>
      </c>
      <c r="T6" s="737">
        <f>SUM(T8:T37)+SUM(T63:T73)</f>
        <v>0</v>
      </c>
      <c r="U6" s="737">
        <f>SUM(U8:U37)+SUM(U63:U73)</f>
        <v>0</v>
      </c>
      <c r="V6" s="737">
        <f>SUM(V8:V37)+SUM(V63:V73)</f>
        <v>0</v>
      </c>
      <c r="W6" s="737">
        <f>SUM(W8:W37)+SUM(W63:W73)</f>
        <v>0</v>
      </c>
      <c r="X6" s="737">
        <f>SUM(X8:X37)+SUM(X63:X73)</f>
        <v>0</v>
      </c>
      <c r="Y6" s="737">
        <f>SUM(Y8:Y37)+SUM(Y63:Y73)</f>
        <v>0</v>
      </c>
      <c r="Z6" s="737">
        <f>SUM(Z8:Z37)+SUM(Z63:Z73)</f>
        <v>0</v>
      </c>
      <c r="AA6" s="737">
        <f>SUM(AA8:AA37)+SUM(AA63:AA73)</f>
        <v>0</v>
      </c>
      <c r="AB6" s="737">
        <f>SUM(AB8:AB37)+SUM(AB63:AB73)</f>
        <v>0</v>
      </c>
      <c r="AC6" s="737">
        <f>SUM(AC8:AC37)+SUM(AC63:AC73)</f>
        <v>0</v>
      </c>
      <c r="AD6" s="737">
        <f>SUM(AD8:AD37)+SUM(AD63:AD73)</f>
        <v>0</v>
      </c>
      <c r="AE6" s="737">
        <f>SUM(AE8:AE37)+SUM(AE63:AE73)</f>
        <v>0</v>
      </c>
      <c r="AF6" s="737">
        <f>SUM(AF8:AF37)+SUM(AF63:AF73)</f>
        <v>0</v>
      </c>
      <c r="AG6" s="737">
        <f>SUM(AG8:AG37)+SUM(AG63:AG73)</f>
        <v>0</v>
      </c>
      <c r="AH6" s="737">
        <f>SUM(AH8:AH37)+SUM(AH63:AH73)</f>
        <v>0</v>
      </c>
      <c r="AI6" s="737">
        <f>SUM(AI8:AI37)+SUM(AI63:AI73)</f>
        <v>0</v>
      </c>
      <c r="AJ6" s="737">
        <f>SUM(AJ8:AJ37)+SUM(AJ63:AJ73)</f>
        <v>0</v>
      </c>
      <c r="AK6" s="737">
        <f>SUM(AK8:AK37)+SUM(AK63:AK73)</f>
        <v>0</v>
      </c>
      <c r="AL6" s="737">
        <f>SUM(AL8:AL37)+SUM(AL63:AL73)</f>
        <v>0</v>
      </c>
      <c r="AM6" s="737">
        <f>SUM(AM8:AM37)+SUM(AM63:AM73)</f>
        <v>0</v>
      </c>
      <c r="AN6" s="737">
        <f>SUM(AN8:AN37)+SUM(AN63:AN73)</f>
        <v>0</v>
      </c>
      <c r="AO6" s="737">
        <f>SUM(AO8:AO37)+SUM(AO63:AO73)</f>
        <v>0</v>
      </c>
      <c r="AP6" s="737">
        <f>SUM(AP8:AP37)+SUM(AP63:AP73)</f>
        <v>0</v>
      </c>
      <c r="AQ6" s="737">
        <f>SUM(AQ8:AQ37)+SUM(AQ63:AQ73)</f>
        <v>0</v>
      </c>
      <c r="AR6" s="737">
        <f>SUM(AR8:AR37)+SUM(AR63:AR73)</f>
        <v>0</v>
      </c>
      <c r="AS6" s="737">
        <f>SUM(AS8:AS37)+SUM(AS63:AS73)</f>
        <v>0</v>
      </c>
      <c r="AT6" s="737">
        <f>SUM(AT8:AT37)+SUM(AT63:AT73)</f>
        <v>0</v>
      </c>
      <c r="AU6" s="737">
        <f>SUM(AU8:AU37)+SUM(AU63:AU73)</f>
        <v>0</v>
      </c>
      <c r="AV6" s="737">
        <f>SUM(AV8:AV37)+SUM(AV63:AV73)</f>
        <v>0</v>
      </c>
      <c r="AW6" s="737">
        <f>SUM(AW8:AW37)+SUM(AW63:AW73)</f>
        <v>0</v>
      </c>
      <c r="AX6" s="737">
        <f>SUM(AX8:AX37)+SUM(AX63:AX73)</f>
        <v>0</v>
      </c>
      <c r="AY6" s="737">
        <f>SUM(AY8:AY37)+SUM(AY63:AY73)</f>
        <v>0</v>
      </c>
      <c r="AZ6" s="737">
        <f>SUM(AZ8:AZ37)+SUM(AZ63:AZ73)</f>
        <v>0</v>
      </c>
      <c r="BA6" s="737">
        <f>SUM(BA8:BA37)+SUM(BA63:BA73)</f>
        <v>0</v>
      </c>
      <c r="BB6" s="737">
        <f>SUM(BB8:BB37)+SUM(BB63:BB73)</f>
        <v>0</v>
      </c>
      <c r="BC6" s="737">
        <f>SUM(BC8:BC37)+SUM(BC63:BC73)</f>
        <v>0</v>
      </c>
      <c r="BD6" s="737">
        <f>SUM(BD8:BD37)+SUM(BD63:BD73)</f>
        <v>0</v>
      </c>
      <c r="BE6" s="737">
        <f>SUM(BE8:BE37)+SUM(BE63:BE73)</f>
        <v>0</v>
      </c>
      <c r="BF6" s="737">
        <f>SUM(BF8:BF37)+SUM(BF63:BF73)</f>
        <v>0</v>
      </c>
      <c r="BG6" s="737">
        <f>SUM(BG8:BG37)+SUM(BG63:BG73)</f>
        <v>0</v>
      </c>
      <c r="BH6" s="737">
        <f>SUM(BH8:BH37)+SUM(BH63:BH73)</f>
        <v>0</v>
      </c>
      <c r="BI6" s="737">
        <f>SUM(BI8:BI37)+SUM(BI63:BI73)</f>
        <v>0</v>
      </c>
      <c r="BJ6" s="737">
        <f>SUM(BJ8:BJ37)+SUM(BJ63:BJ73)</f>
        <v>0</v>
      </c>
      <c r="BK6" s="737">
        <f>SUM(BK8:BK37)+SUM(BK63:BK73)</f>
        <v>0</v>
      </c>
      <c r="BL6" s="737">
        <f>SUM(BL8:BL37)+SUM(BL63:BL73)</f>
        <v>0</v>
      </c>
      <c r="BM6" s="737">
        <f>SUM(BM8:BM37)+SUM(BM63:BM73)</f>
        <v>0</v>
      </c>
      <c r="BN6" s="737">
        <f>SUM(BN8:BN37)+SUM(BN63:BN73)</f>
        <v>0</v>
      </c>
      <c r="BO6" s="737">
        <f>SUM(BO8:BO37)+SUM(BO63:BO73)</f>
        <v>0</v>
      </c>
      <c r="BP6" s="737">
        <f>SUM(BP8:BP37)+SUM(BP63:BP73)</f>
        <v>0</v>
      </c>
    </row>
    <row r="7" spans="1:68" ht="34.5" thickBot="1">
      <c r="A7" s="511" t="s">
        <v>481</v>
      </c>
      <c r="B7" s="512" t="s">
        <v>30</v>
      </c>
      <c r="C7" s="513" t="s">
        <v>258</v>
      </c>
      <c r="D7" s="514" t="s">
        <v>482</v>
      </c>
      <c r="E7" s="1013" t="s">
        <v>483</v>
      </c>
      <c r="F7" s="1013" t="s">
        <v>484</v>
      </c>
      <c r="G7" s="514" t="s">
        <v>489</v>
      </c>
      <c r="H7" s="515" t="s">
        <v>485</v>
      </c>
      <c r="I7" s="508">
        <f>$C$2</f>
        <v>42350.752592592595</v>
      </c>
      <c r="J7" s="509">
        <f>I$7+$D$2</f>
        <v>42351.002592592595</v>
      </c>
      <c r="K7" s="509">
        <f t="shared" ref="K7:BP7" si="0">J$7+$D$2</f>
        <v>42351.252592592595</v>
      </c>
      <c r="L7" s="509">
        <f t="shared" si="0"/>
        <v>42351.502592592595</v>
      </c>
      <c r="M7" s="509">
        <f t="shared" si="0"/>
        <v>42351.752592592595</v>
      </c>
      <c r="N7" s="509">
        <f t="shared" si="0"/>
        <v>42352.002592592595</v>
      </c>
      <c r="O7" s="509">
        <f t="shared" si="0"/>
        <v>42352.252592592595</v>
      </c>
      <c r="P7" s="509">
        <f t="shared" si="0"/>
        <v>42352.502592592595</v>
      </c>
      <c r="Q7" s="509">
        <f t="shared" si="0"/>
        <v>42352.752592592595</v>
      </c>
      <c r="R7" s="509">
        <f t="shared" si="0"/>
        <v>42353.002592592595</v>
      </c>
      <c r="S7" s="509">
        <f>R$7+$D$2</f>
        <v>42353.252592592595</v>
      </c>
      <c r="T7" s="509">
        <f t="shared" si="0"/>
        <v>42353.502592592595</v>
      </c>
      <c r="U7" s="509">
        <f t="shared" si="0"/>
        <v>42353.752592592595</v>
      </c>
      <c r="V7" s="509">
        <f>U$7+$D$2</f>
        <v>42354.002592592595</v>
      </c>
      <c r="W7" s="509">
        <f t="shared" si="0"/>
        <v>42354.252592592595</v>
      </c>
      <c r="X7" s="509">
        <f t="shared" si="0"/>
        <v>42354.502592592595</v>
      </c>
      <c r="Y7" s="509">
        <f t="shared" si="0"/>
        <v>42354.752592592595</v>
      </c>
      <c r="Z7" s="509">
        <f t="shared" si="0"/>
        <v>42355.002592592595</v>
      </c>
      <c r="AA7" s="509">
        <f t="shared" si="0"/>
        <v>42355.252592592595</v>
      </c>
      <c r="AB7" s="509">
        <f>AA$7+$D$2</f>
        <v>42355.502592592595</v>
      </c>
      <c r="AC7" s="509">
        <f t="shared" si="0"/>
        <v>42355.752592592595</v>
      </c>
      <c r="AD7" s="509">
        <f t="shared" si="0"/>
        <v>42356.002592592595</v>
      </c>
      <c r="AE7" s="509">
        <f t="shared" si="0"/>
        <v>42356.252592592595</v>
      </c>
      <c r="AF7" s="509">
        <f t="shared" si="0"/>
        <v>42356.502592592595</v>
      </c>
      <c r="AG7" s="509">
        <f t="shared" si="0"/>
        <v>42356.752592592595</v>
      </c>
      <c r="AH7" s="509">
        <f t="shared" si="0"/>
        <v>42357.002592592595</v>
      </c>
      <c r="AI7" s="509">
        <f t="shared" si="0"/>
        <v>42357.252592592595</v>
      </c>
      <c r="AJ7" s="509">
        <f t="shared" si="0"/>
        <v>42357.502592592595</v>
      </c>
      <c r="AK7" s="509">
        <f t="shared" si="0"/>
        <v>42357.752592592595</v>
      </c>
      <c r="AL7" s="509">
        <f t="shared" si="0"/>
        <v>42358.002592592595</v>
      </c>
      <c r="AM7" s="509">
        <f t="shared" si="0"/>
        <v>42358.252592592595</v>
      </c>
      <c r="AN7" s="509">
        <f t="shared" si="0"/>
        <v>42358.502592592595</v>
      </c>
      <c r="AO7" s="509">
        <f t="shared" si="0"/>
        <v>42358.752592592595</v>
      </c>
      <c r="AP7" s="509">
        <f t="shared" si="0"/>
        <v>42359.002592592595</v>
      </c>
      <c r="AQ7" s="509">
        <f t="shared" si="0"/>
        <v>42359.252592592595</v>
      </c>
      <c r="AR7" s="509">
        <f t="shared" si="0"/>
        <v>42359.502592592595</v>
      </c>
      <c r="AS7" s="509">
        <f t="shared" si="0"/>
        <v>42359.752592592595</v>
      </c>
      <c r="AT7" s="509">
        <f t="shared" si="0"/>
        <v>42360.002592592595</v>
      </c>
      <c r="AU7" s="509">
        <f t="shared" si="0"/>
        <v>42360.252592592595</v>
      </c>
      <c r="AV7" s="509">
        <f t="shared" si="0"/>
        <v>42360.502592592595</v>
      </c>
      <c r="AW7" s="509">
        <f t="shared" si="0"/>
        <v>42360.752592592595</v>
      </c>
      <c r="AX7" s="509">
        <f t="shared" si="0"/>
        <v>42361.002592592595</v>
      </c>
      <c r="AY7" s="509">
        <f t="shared" si="0"/>
        <v>42361.252592592595</v>
      </c>
      <c r="AZ7" s="509">
        <f t="shared" si="0"/>
        <v>42361.502592592595</v>
      </c>
      <c r="BA7" s="509">
        <f t="shared" si="0"/>
        <v>42361.752592592595</v>
      </c>
      <c r="BB7" s="509">
        <f t="shared" si="0"/>
        <v>42362.002592592595</v>
      </c>
      <c r="BC7" s="509">
        <f t="shared" si="0"/>
        <v>42362.252592592595</v>
      </c>
      <c r="BD7" s="509">
        <f t="shared" si="0"/>
        <v>42362.502592592595</v>
      </c>
      <c r="BE7" s="509">
        <f t="shared" si="0"/>
        <v>42362.752592592595</v>
      </c>
      <c r="BF7" s="509">
        <f t="shared" si="0"/>
        <v>42363.002592592595</v>
      </c>
      <c r="BG7" s="509">
        <f t="shared" si="0"/>
        <v>42363.252592592595</v>
      </c>
      <c r="BH7" s="509">
        <f t="shared" si="0"/>
        <v>42363.502592592595</v>
      </c>
      <c r="BI7" s="509">
        <f t="shared" si="0"/>
        <v>42363.752592592595</v>
      </c>
      <c r="BJ7" s="509">
        <f t="shared" si="0"/>
        <v>42364.002592592595</v>
      </c>
      <c r="BK7" s="509">
        <f t="shared" si="0"/>
        <v>42364.252592592595</v>
      </c>
      <c r="BL7" s="509">
        <f t="shared" si="0"/>
        <v>42364.502592592595</v>
      </c>
      <c r="BM7" s="509">
        <f t="shared" si="0"/>
        <v>42364.752592592595</v>
      </c>
      <c r="BN7" s="509">
        <f t="shared" si="0"/>
        <v>42365.002592592595</v>
      </c>
      <c r="BO7" s="509">
        <f t="shared" si="0"/>
        <v>42365.252592592595</v>
      </c>
      <c r="BP7" s="510">
        <f t="shared" si="0"/>
        <v>42365.502592592595</v>
      </c>
    </row>
    <row r="8" spans="1:68" ht="16.5" thickBot="1">
      <c r="A8" s="1015" t="s">
        <v>447</v>
      </c>
      <c r="B8" s="1016"/>
      <c r="C8" s="1016"/>
      <c r="D8" s="1016"/>
      <c r="E8" s="1016"/>
      <c r="F8" s="1016"/>
      <c r="G8" s="1016"/>
      <c r="H8" s="1017"/>
      <c r="I8" s="735">
        <f t="shared" ref="I8:X24" si="1">IF(ISERROR(Plan),0,Plan)</f>
        <v>0</v>
      </c>
      <c r="J8" s="735">
        <f t="shared" si="1"/>
        <v>0</v>
      </c>
      <c r="K8" s="735">
        <f t="shared" si="1"/>
        <v>0</v>
      </c>
      <c r="L8" s="735">
        <f t="shared" si="1"/>
        <v>0</v>
      </c>
      <c r="M8" s="735">
        <f t="shared" si="1"/>
        <v>0</v>
      </c>
      <c r="N8" s="735">
        <f t="shared" si="1"/>
        <v>0</v>
      </c>
      <c r="O8" s="735">
        <f t="shared" si="1"/>
        <v>0</v>
      </c>
      <c r="P8" s="735">
        <f t="shared" si="1"/>
        <v>0</v>
      </c>
      <c r="Q8" s="735">
        <f t="shared" si="1"/>
        <v>0</v>
      </c>
      <c r="R8" s="735">
        <f t="shared" si="1"/>
        <v>0</v>
      </c>
      <c r="S8" s="735">
        <f t="shared" si="1"/>
        <v>0</v>
      </c>
      <c r="T8" s="735">
        <f t="shared" si="1"/>
        <v>0</v>
      </c>
      <c r="U8" s="735">
        <f t="shared" si="1"/>
        <v>0</v>
      </c>
      <c r="V8" s="735">
        <f t="shared" si="1"/>
        <v>0</v>
      </c>
      <c r="W8" s="735">
        <f t="shared" si="1"/>
        <v>0</v>
      </c>
      <c r="X8" s="735">
        <f t="shared" si="1"/>
        <v>0</v>
      </c>
      <c r="Y8" s="735">
        <f t="shared" ref="Y8:BP8" si="2">IF(ISERROR(Plan),0,Plan)</f>
        <v>0</v>
      </c>
      <c r="Z8" s="735">
        <f t="shared" si="2"/>
        <v>0</v>
      </c>
      <c r="AA8" s="735">
        <f t="shared" si="2"/>
        <v>0</v>
      </c>
      <c r="AB8" s="735">
        <f t="shared" si="2"/>
        <v>0</v>
      </c>
      <c r="AC8" s="735">
        <f t="shared" si="2"/>
        <v>0</v>
      </c>
      <c r="AD8" s="735">
        <f t="shared" si="2"/>
        <v>0</v>
      </c>
      <c r="AE8" s="735">
        <f t="shared" si="2"/>
        <v>0</v>
      </c>
      <c r="AF8" s="735">
        <f t="shared" si="2"/>
        <v>0</v>
      </c>
      <c r="AG8" s="735">
        <f t="shared" si="2"/>
        <v>0</v>
      </c>
      <c r="AH8" s="735">
        <f t="shared" si="2"/>
        <v>0</v>
      </c>
      <c r="AI8" s="735">
        <f t="shared" si="2"/>
        <v>0</v>
      </c>
      <c r="AJ8" s="735">
        <f t="shared" si="2"/>
        <v>0</v>
      </c>
      <c r="AK8" s="735">
        <f t="shared" si="2"/>
        <v>0</v>
      </c>
      <c r="AL8" s="735">
        <f t="shared" si="2"/>
        <v>0</v>
      </c>
      <c r="AM8" s="735">
        <f t="shared" si="2"/>
        <v>0</v>
      </c>
      <c r="AN8" s="735">
        <f t="shared" si="2"/>
        <v>0</v>
      </c>
      <c r="AO8" s="735">
        <f t="shared" si="2"/>
        <v>0</v>
      </c>
      <c r="AP8" s="735">
        <f t="shared" si="2"/>
        <v>0</v>
      </c>
      <c r="AQ8" s="735">
        <f t="shared" si="2"/>
        <v>0</v>
      </c>
      <c r="AR8" s="735">
        <f t="shared" si="2"/>
        <v>0</v>
      </c>
      <c r="AS8" s="735">
        <f t="shared" si="2"/>
        <v>0</v>
      </c>
      <c r="AT8" s="735">
        <f t="shared" si="2"/>
        <v>0</v>
      </c>
      <c r="AU8" s="735">
        <f t="shared" si="2"/>
        <v>0</v>
      </c>
      <c r="AV8" s="735">
        <f t="shared" si="2"/>
        <v>0</v>
      </c>
      <c r="AW8" s="735">
        <f t="shared" si="2"/>
        <v>0</v>
      </c>
      <c r="AX8" s="735">
        <f t="shared" si="2"/>
        <v>0</v>
      </c>
      <c r="AY8" s="735">
        <f t="shared" si="2"/>
        <v>0</v>
      </c>
      <c r="AZ8" s="735">
        <f t="shared" si="2"/>
        <v>0</v>
      </c>
      <c r="BA8" s="735">
        <f t="shared" si="2"/>
        <v>0</v>
      </c>
      <c r="BB8" s="735">
        <f t="shared" si="2"/>
        <v>0</v>
      </c>
      <c r="BC8" s="735">
        <f t="shared" si="2"/>
        <v>0</v>
      </c>
      <c r="BD8" s="735">
        <f t="shared" si="2"/>
        <v>0</v>
      </c>
      <c r="BE8" s="735">
        <f t="shared" si="2"/>
        <v>0</v>
      </c>
      <c r="BF8" s="735">
        <f t="shared" si="2"/>
        <v>0</v>
      </c>
      <c r="BG8" s="735">
        <f t="shared" si="2"/>
        <v>0</v>
      </c>
      <c r="BH8" s="735">
        <f t="shared" si="2"/>
        <v>0</v>
      </c>
      <c r="BI8" s="735">
        <f t="shared" si="2"/>
        <v>0</v>
      </c>
      <c r="BJ8" s="735">
        <f t="shared" si="2"/>
        <v>0</v>
      </c>
      <c r="BK8" s="735">
        <f t="shared" si="2"/>
        <v>0</v>
      </c>
      <c r="BL8" s="735">
        <f t="shared" si="2"/>
        <v>0</v>
      </c>
      <c r="BM8" s="735">
        <f t="shared" si="2"/>
        <v>0</v>
      </c>
      <c r="BN8" s="735">
        <f t="shared" si="2"/>
        <v>0</v>
      </c>
      <c r="BO8" s="735">
        <f t="shared" si="2"/>
        <v>0</v>
      </c>
      <c r="BP8" s="735">
        <f t="shared" si="2"/>
        <v>0</v>
      </c>
    </row>
    <row r="9" spans="1:68" ht="13.5" customHeight="1">
      <c r="A9" s="984" t="s">
        <v>176</v>
      </c>
      <c r="B9" s="985"/>
      <c r="C9" s="956" t="str">
        <f>IF($B9&lt;&gt;"",VLOOKUP($B9,COSTS_Gold_Mine[#All],2),"")</f>
        <v/>
      </c>
      <c r="D9" s="986" t="str">
        <f>IF($B9&lt;&gt;"",VLOOKUP($B9,COSTS_Gold_Mine[#All],3)/24,"")</f>
        <v/>
      </c>
      <c r="E9" s="989"/>
      <c r="F9" s="990"/>
      <c r="G9" s="981" t="str">
        <f t="shared" ref="G9:G14" si="3">IF($D9&lt;&gt;"",$D9,"")</f>
        <v/>
      </c>
      <c r="H9" s="978"/>
      <c r="I9" s="736">
        <f t="shared" ref="I9:X38" si="4">IF(ISERROR(Plan),0,Plan)</f>
        <v>0</v>
      </c>
      <c r="J9" s="736">
        <f t="shared" si="1"/>
        <v>0</v>
      </c>
      <c r="K9" s="736">
        <f t="shared" si="1"/>
        <v>0</v>
      </c>
      <c r="L9" s="736">
        <f t="shared" si="1"/>
        <v>0</v>
      </c>
      <c r="M9" s="736">
        <f t="shared" si="1"/>
        <v>0</v>
      </c>
      <c r="N9" s="736">
        <f t="shared" si="1"/>
        <v>0</v>
      </c>
      <c r="O9" s="736">
        <f t="shared" si="1"/>
        <v>0</v>
      </c>
      <c r="P9" s="736">
        <f t="shared" si="1"/>
        <v>0</v>
      </c>
      <c r="Q9" s="736">
        <f t="shared" si="1"/>
        <v>0</v>
      </c>
      <c r="R9" s="734">
        <f t="shared" si="1"/>
        <v>0</v>
      </c>
      <c r="S9" s="734">
        <f t="shared" ref="S9:AB25" si="5">IF(ISERROR(Plan),0,Plan)</f>
        <v>0</v>
      </c>
      <c r="T9" s="734">
        <f t="shared" si="5"/>
        <v>0</v>
      </c>
      <c r="U9" s="734">
        <f t="shared" si="5"/>
        <v>0</v>
      </c>
      <c r="V9" s="734">
        <f t="shared" si="5"/>
        <v>0</v>
      </c>
      <c r="W9" s="734">
        <f t="shared" si="5"/>
        <v>0</v>
      </c>
      <c r="X9" s="734">
        <f t="shared" si="5"/>
        <v>0</v>
      </c>
      <c r="Y9" s="734">
        <f t="shared" si="5"/>
        <v>0</v>
      </c>
      <c r="Z9" s="734">
        <f t="shared" si="5"/>
        <v>0</v>
      </c>
      <c r="AA9" s="734">
        <f t="shared" si="5"/>
        <v>0</v>
      </c>
      <c r="AB9" s="734">
        <f t="shared" si="5"/>
        <v>0</v>
      </c>
      <c r="AC9" s="734">
        <f t="shared" ref="AC9:AL25" si="6">IF(ISERROR(Plan),0,Plan)</f>
        <v>0</v>
      </c>
      <c r="AD9" s="734">
        <f t="shared" si="6"/>
        <v>0</v>
      </c>
      <c r="AE9" s="734">
        <f t="shared" si="6"/>
        <v>0</v>
      </c>
      <c r="AF9" s="734">
        <f t="shared" si="6"/>
        <v>0</v>
      </c>
      <c r="AG9" s="734">
        <f t="shared" si="6"/>
        <v>0</v>
      </c>
      <c r="AH9" s="734">
        <f t="shared" si="6"/>
        <v>0</v>
      </c>
      <c r="AI9" s="734">
        <f t="shared" si="6"/>
        <v>0</v>
      </c>
      <c r="AJ9" s="734">
        <f t="shared" si="6"/>
        <v>0</v>
      </c>
      <c r="AK9" s="734">
        <f t="shared" si="6"/>
        <v>0</v>
      </c>
      <c r="AL9" s="734">
        <f t="shared" si="6"/>
        <v>0</v>
      </c>
      <c r="AM9" s="734">
        <f t="shared" ref="AM9:AV25" si="7">IF(ISERROR(Plan),0,Plan)</f>
        <v>0</v>
      </c>
      <c r="AN9" s="734">
        <f t="shared" si="7"/>
        <v>0</v>
      </c>
      <c r="AO9" s="734">
        <f t="shared" si="7"/>
        <v>0</v>
      </c>
      <c r="AP9" s="734">
        <f t="shared" si="7"/>
        <v>0</v>
      </c>
      <c r="AQ9" s="734">
        <f t="shared" si="7"/>
        <v>0</v>
      </c>
      <c r="AR9" s="734">
        <f t="shared" si="7"/>
        <v>0</v>
      </c>
      <c r="AS9" s="734">
        <f t="shared" si="7"/>
        <v>0</v>
      </c>
      <c r="AT9" s="734">
        <f t="shared" si="7"/>
        <v>0</v>
      </c>
      <c r="AU9" s="734">
        <f t="shared" si="7"/>
        <v>0</v>
      </c>
      <c r="AV9" s="734">
        <f t="shared" si="7"/>
        <v>0</v>
      </c>
      <c r="AW9" s="734">
        <f t="shared" ref="AW9:BF25" si="8">IF(ISERROR(Plan),0,Plan)</f>
        <v>0</v>
      </c>
      <c r="AX9" s="734">
        <f t="shared" si="8"/>
        <v>0</v>
      </c>
      <c r="AY9" s="734">
        <f t="shared" si="8"/>
        <v>0</v>
      </c>
      <c r="AZ9" s="734">
        <f t="shared" si="8"/>
        <v>0</v>
      </c>
      <c r="BA9" s="734">
        <f t="shared" si="8"/>
        <v>0</v>
      </c>
      <c r="BB9" s="734">
        <f t="shared" si="8"/>
        <v>0</v>
      </c>
      <c r="BC9" s="734">
        <f t="shared" si="8"/>
        <v>0</v>
      </c>
      <c r="BD9" s="734">
        <f t="shared" si="8"/>
        <v>0</v>
      </c>
      <c r="BE9" s="734">
        <f t="shared" si="8"/>
        <v>0</v>
      </c>
      <c r="BF9" s="734">
        <f t="shared" si="8"/>
        <v>0</v>
      </c>
      <c r="BG9" s="734">
        <f t="shared" ref="BG9:BP25" si="9">IF(ISERROR(Plan),0,Plan)</f>
        <v>0</v>
      </c>
      <c r="BH9" s="734">
        <f t="shared" si="9"/>
        <v>0</v>
      </c>
      <c r="BI9" s="734">
        <f t="shared" si="9"/>
        <v>0</v>
      </c>
      <c r="BJ9" s="734">
        <f t="shared" si="9"/>
        <v>0</v>
      </c>
      <c r="BK9" s="734">
        <f t="shared" si="9"/>
        <v>0</v>
      </c>
      <c r="BL9" s="734">
        <f t="shared" si="9"/>
        <v>0</v>
      </c>
      <c r="BM9" s="734">
        <f t="shared" si="9"/>
        <v>0</v>
      </c>
      <c r="BN9" s="734">
        <f t="shared" si="9"/>
        <v>0</v>
      </c>
      <c r="BO9" s="734">
        <f t="shared" si="9"/>
        <v>0</v>
      </c>
      <c r="BP9" s="734">
        <f t="shared" si="9"/>
        <v>0</v>
      </c>
    </row>
    <row r="10" spans="1:68">
      <c r="A10" s="421" t="s">
        <v>210</v>
      </c>
      <c r="B10" s="418"/>
      <c r="C10" s="955" t="str">
        <f>IF($B10&lt;&gt;"",VLOOKUP($B10,COSTS_Elixir_Collector[#All],2),"")</f>
        <v/>
      </c>
      <c r="D10" s="987" t="str">
        <f>IF($B10&lt;&gt;"",VLOOKUP($B10,COSTS_Elixir_Collector[#All],3)/24,"")</f>
        <v/>
      </c>
      <c r="E10" s="991"/>
      <c r="F10" s="992"/>
      <c r="G10" s="982" t="str">
        <f t="shared" si="3"/>
        <v/>
      </c>
      <c r="H10" s="979"/>
      <c r="I10" s="736">
        <f t="shared" si="4"/>
        <v>0</v>
      </c>
      <c r="J10" s="736">
        <f t="shared" si="1"/>
        <v>0</v>
      </c>
      <c r="K10" s="736">
        <f t="shared" si="1"/>
        <v>0</v>
      </c>
      <c r="L10" s="736">
        <f t="shared" si="1"/>
        <v>0</v>
      </c>
      <c r="M10" s="736">
        <f t="shared" si="1"/>
        <v>0</v>
      </c>
      <c r="N10" s="736">
        <f t="shared" si="1"/>
        <v>0</v>
      </c>
      <c r="O10" s="736">
        <f t="shared" si="1"/>
        <v>0</v>
      </c>
      <c r="P10" s="736">
        <f t="shared" si="1"/>
        <v>0</v>
      </c>
      <c r="Q10" s="736">
        <f t="shared" si="1"/>
        <v>0</v>
      </c>
      <c r="R10" s="734">
        <f t="shared" si="1"/>
        <v>0</v>
      </c>
      <c r="S10" s="734">
        <f t="shared" si="5"/>
        <v>0</v>
      </c>
      <c r="T10" s="734">
        <f t="shared" si="5"/>
        <v>0</v>
      </c>
      <c r="U10" s="734">
        <f t="shared" si="5"/>
        <v>0</v>
      </c>
      <c r="V10" s="734">
        <f t="shared" si="5"/>
        <v>0</v>
      </c>
      <c r="W10" s="734">
        <f t="shared" si="5"/>
        <v>0</v>
      </c>
      <c r="X10" s="734">
        <f t="shared" si="5"/>
        <v>0</v>
      </c>
      <c r="Y10" s="734">
        <f t="shared" si="5"/>
        <v>0</v>
      </c>
      <c r="Z10" s="734">
        <f t="shared" si="5"/>
        <v>0</v>
      </c>
      <c r="AA10" s="734">
        <f t="shared" si="5"/>
        <v>0</v>
      </c>
      <c r="AB10" s="734">
        <f t="shared" si="5"/>
        <v>0</v>
      </c>
      <c r="AC10" s="734">
        <f t="shared" si="6"/>
        <v>0</v>
      </c>
      <c r="AD10" s="734">
        <f t="shared" si="6"/>
        <v>0</v>
      </c>
      <c r="AE10" s="734">
        <f t="shared" si="6"/>
        <v>0</v>
      </c>
      <c r="AF10" s="734">
        <f t="shared" si="6"/>
        <v>0</v>
      </c>
      <c r="AG10" s="734">
        <f t="shared" si="6"/>
        <v>0</v>
      </c>
      <c r="AH10" s="734">
        <f t="shared" si="6"/>
        <v>0</v>
      </c>
      <c r="AI10" s="734">
        <f t="shared" si="6"/>
        <v>0</v>
      </c>
      <c r="AJ10" s="734">
        <f t="shared" si="6"/>
        <v>0</v>
      </c>
      <c r="AK10" s="734">
        <f t="shared" si="6"/>
        <v>0</v>
      </c>
      <c r="AL10" s="734">
        <f t="shared" si="6"/>
        <v>0</v>
      </c>
      <c r="AM10" s="734">
        <f t="shared" si="7"/>
        <v>0</v>
      </c>
      <c r="AN10" s="734">
        <f t="shared" si="7"/>
        <v>0</v>
      </c>
      <c r="AO10" s="734">
        <f t="shared" si="7"/>
        <v>0</v>
      </c>
      <c r="AP10" s="734">
        <f t="shared" si="7"/>
        <v>0</v>
      </c>
      <c r="AQ10" s="734">
        <f t="shared" si="7"/>
        <v>0</v>
      </c>
      <c r="AR10" s="734">
        <f t="shared" si="7"/>
        <v>0</v>
      </c>
      <c r="AS10" s="734">
        <f t="shared" si="7"/>
        <v>0</v>
      </c>
      <c r="AT10" s="734">
        <f t="shared" si="7"/>
        <v>0</v>
      </c>
      <c r="AU10" s="734">
        <f t="shared" si="7"/>
        <v>0</v>
      </c>
      <c r="AV10" s="734">
        <f t="shared" si="7"/>
        <v>0</v>
      </c>
      <c r="AW10" s="734">
        <f t="shared" si="8"/>
        <v>0</v>
      </c>
      <c r="AX10" s="734">
        <f t="shared" si="8"/>
        <v>0</v>
      </c>
      <c r="AY10" s="734">
        <f t="shared" si="8"/>
        <v>0</v>
      </c>
      <c r="AZ10" s="734">
        <f t="shared" si="8"/>
        <v>0</v>
      </c>
      <c r="BA10" s="734">
        <f t="shared" si="8"/>
        <v>0</v>
      </c>
      <c r="BB10" s="734">
        <f t="shared" si="8"/>
        <v>0</v>
      </c>
      <c r="BC10" s="734">
        <f t="shared" si="8"/>
        <v>0</v>
      </c>
      <c r="BD10" s="734">
        <f t="shared" si="8"/>
        <v>0</v>
      </c>
      <c r="BE10" s="734">
        <f t="shared" si="8"/>
        <v>0</v>
      </c>
      <c r="BF10" s="734">
        <f t="shared" si="8"/>
        <v>0</v>
      </c>
      <c r="BG10" s="734">
        <f t="shared" si="9"/>
        <v>0</v>
      </c>
      <c r="BH10" s="734">
        <f t="shared" si="9"/>
        <v>0</v>
      </c>
      <c r="BI10" s="734">
        <f t="shared" si="9"/>
        <v>0</v>
      </c>
      <c r="BJ10" s="734">
        <f t="shared" si="9"/>
        <v>0</v>
      </c>
      <c r="BK10" s="734">
        <f t="shared" si="9"/>
        <v>0</v>
      </c>
      <c r="BL10" s="734">
        <f t="shared" si="9"/>
        <v>0</v>
      </c>
      <c r="BM10" s="734">
        <f t="shared" si="9"/>
        <v>0</v>
      </c>
      <c r="BN10" s="734">
        <f t="shared" si="9"/>
        <v>0</v>
      </c>
      <c r="BO10" s="734">
        <f t="shared" si="9"/>
        <v>0</v>
      </c>
      <c r="BP10" s="734">
        <f t="shared" si="9"/>
        <v>0</v>
      </c>
    </row>
    <row r="11" spans="1:68">
      <c r="A11" s="421" t="s">
        <v>211</v>
      </c>
      <c r="B11" s="418"/>
      <c r="C11" s="957" t="str">
        <f>IF($B11&lt;&gt;"",VLOOKUP($B11,COSTS_Dark_Elixir_Drill[#All],2),"")</f>
        <v/>
      </c>
      <c r="D11" s="987" t="str">
        <f>IF($B11&lt;&gt;"",VLOOKUP($B11,COSTS_Dark_Elixir_Drill[#All],3)/24,"")</f>
        <v/>
      </c>
      <c r="E11" s="991"/>
      <c r="F11" s="992"/>
      <c r="G11" s="982" t="str">
        <f t="shared" si="3"/>
        <v/>
      </c>
      <c r="H11" s="979"/>
      <c r="I11" s="736">
        <f t="shared" si="4"/>
        <v>0</v>
      </c>
      <c r="J11" s="736">
        <f t="shared" si="1"/>
        <v>0</v>
      </c>
      <c r="K11" s="736">
        <f t="shared" si="1"/>
        <v>0</v>
      </c>
      <c r="L11" s="736">
        <f t="shared" si="1"/>
        <v>0</v>
      </c>
      <c r="M11" s="736">
        <f t="shared" si="1"/>
        <v>0</v>
      </c>
      <c r="N11" s="736">
        <f t="shared" si="1"/>
        <v>0</v>
      </c>
      <c r="O11" s="736">
        <f t="shared" si="1"/>
        <v>0</v>
      </c>
      <c r="P11" s="736">
        <f t="shared" si="1"/>
        <v>0</v>
      </c>
      <c r="Q11" s="736">
        <f t="shared" si="1"/>
        <v>0</v>
      </c>
      <c r="R11" s="734">
        <f t="shared" si="1"/>
        <v>0</v>
      </c>
      <c r="S11" s="734">
        <f t="shared" si="5"/>
        <v>0</v>
      </c>
      <c r="T11" s="734">
        <f t="shared" si="5"/>
        <v>0</v>
      </c>
      <c r="U11" s="734">
        <f t="shared" si="5"/>
        <v>0</v>
      </c>
      <c r="V11" s="734">
        <f t="shared" si="5"/>
        <v>0</v>
      </c>
      <c r="W11" s="734">
        <f t="shared" si="5"/>
        <v>0</v>
      </c>
      <c r="X11" s="734">
        <f t="shared" si="5"/>
        <v>0</v>
      </c>
      <c r="Y11" s="734">
        <f t="shared" si="5"/>
        <v>0</v>
      </c>
      <c r="Z11" s="734">
        <f t="shared" si="5"/>
        <v>0</v>
      </c>
      <c r="AA11" s="734">
        <f t="shared" si="5"/>
        <v>0</v>
      </c>
      <c r="AB11" s="734">
        <f t="shared" si="5"/>
        <v>0</v>
      </c>
      <c r="AC11" s="734">
        <f t="shared" si="6"/>
        <v>0</v>
      </c>
      <c r="AD11" s="734">
        <f t="shared" si="6"/>
        <v>0</v>
      </c>
      <c r="AE11" s="734">
        <f t="shared" si="6"/>
        <v>0</v>
      </c>
      <c r="AF11" s="734">
        <f t="shared" si="6"/>
        <v>0</v>
      </c>
      <c r="AG11" s="734">
        <f t="shared" si="6"/>
        <v>0</v>
      </c>
      <c r="AH11" s="734">
        <f t="shared" si="6"/>
        <v>0</v>
      </c>
      <c r="AI11" s="734">
        <f t="shared" si="6"/>
        <v>0</v>
      </c>
      <c r="AJ11" s="734">
        <f t="shared" si="6"/>
        <v>0</v>
      </c>
      <c r="AK11" s="734">
        <f t="shared" si="6"/>
        <v>0</v>
      </c>
      <c r="AL11" s="734">
        <f t="shared" si="6"/>
        <v>0</v>
      </c>
      <c r="AM11" s="734">
        <f t="shared" si="7"/>
        <v>0</v>
      </c>
      <c r="AN11" s="734">
        <f t="shared" si="7"/>
        <v>0</v>
      </c>
      <c r="AO11" s="734">
        <f t="shared" si="7"/>
        <v>0</v>
      </c>
      <c r="AP11" s="734">
        <f t="shared" si="7"/>
        <v>0</v>
      </c>
      <c r="AQ11" s="734">
        <f t="shared" si="7"/>
        <v>0</v>
      </c>
      <c r="AR11" s="734">
        <f t="shared" si="7"/>
        <v>0</v>
      </c>
      <c r="AS11" s="734">
        <f t="shared" si="7"/>
        <v>0</v>
      </c>
      <c r="AT11" s="734">
        <f t="shared" si="7"/>
        <v>0</v>
      </c>
      <c r="AU11" s="734">
        <f t="shared" si="7"/>
        <v>0</v>
      </c>
      <c r="AV11" s="734">
        <f t="shared" si="7"/>
        <v>0</v>
      </c>
      <c r="AW11" s="734">
        <f t="shared" si="8"/>
        <v>0</v>
      </c>
      <c r="AX11" s="734">
        <f t="shared" si="8"/>
        <v>0</v>
      </c>
      <c r="AY11" s="734">
        <f t="shared" si="8"/>
        <v>0</v>
      </c>
      <c r="AZ11" s="734">
        <f t="shared" si="8"/>
        <v>0</v>
      </c>
      <c r="BA11" s="734">
        <f t="shared" si="8"/>
        <v>0</v>
      </c>
      <c r="BB11" s="734">
        <f t="shared" si="8"/>
        <v>0</v>
      </c>
      <c r="BC11" s="734">
        <f t="shared" si="8"/>
        <v>0</v>
      </c>
      <c r="BD11" s="734">
        <f t="shared" si="8"/>
        <v>0</v>
      </c>
      <c r="BE11" s="734">
        <f t="shared" si="8"/>
        <v>0</v>
      </c>
      <c r="BF11" s="734">
        <f t="shared" si="8"/>
        <v>0</v>
      </c>
      <c r="BG11" s="734">
        <f t="shared" si="9"/>
        <v>0</v>
      </c>
      <c r="BH11" s="734">
        <f t="shared" si="9"/>
        <v>0</v>
      </c>
      <c r="BI11" s="734">
        <f t="shared" si="9"/>
        <v>0</v>
      </c>
      <c r="BJ11" s="734">
        <f t="shared" si="9"/>
        <v>0</v>
      </c>
      <c r="BK11" s="734">
        <f t="shared" si="9"/>
        <v>0</v>
      </c>
      <c r="BL11" s="734">
        <f t="shared" si="9"/>
        <v>0</v>
      </c>
      <c r="BM11" s="734">
        <f t="shared" si="9"/>
        <v>0</v>
      </c>
      <c r="BN11" s="734">
        <f t="shared" si="9"/>
        <v>0</v>
      </c>
      <c r="BO11" s="734">
        <f t="shared" si="9"/>
        <v>0</v>
      </c>
      <c r="BP11" s="734">
        <f t="shared" si="9"/>
        <v>0</v>
      </c>
    </row>
    <row r="12" spans="1:68">
      <c r="A12" s="421" t="s">
        <v>212</v>
      </c>
      <c r="B12" s="418"/>
      <c r="C12" s="957" t="str">
        <f>IF($B12&lt;&gt;"",VLOOKUP($B12,COSTS_Gold_Storage[#All],2),"")</f>
        <v/>
      </c>
      <c r="D12" s="987" t="str">
        <f>IF($B12&lt;&gt;"",VLOOKUP($B12,COSTS_Gold_Storage[#All],3)/24,"")</f>
        <v/>
      </c>
      <c r="E12" s="991"/>
      <c r="F12" s="992"/>
      <c r="G12" s="982" t="str">
        <f t="shared" si="3"/>
        <v/>
      </c>
      <c r="H12" s="979"/>
      <c r="I12" s="736">
        <f t="shared" si="4"/>
        <v>0</v>
      </c>
      <c r="J12" s="736">
        <f t="shared" si="1"/>
        <v>0</v>
      </c>
      <c r="K12" s="736">
        <f t="shared" si="1"/>
        <v>0</v>
      </c>
      <c r="L12" s="736">
        <f t="shared" ref="L12:L13" si="10">IF(ISERROR(Plan),0,Plan)</f>
        <v>0</v>
      </c>
      <c r="M12" s="736">
        <f t="shared" si="1"/>
        <v>0</v>
      </c>
      <c r="N12" s="736">
        <f t="shared" si="1"/>
        <v>0</v>
      </c>
      <c r="O12" s="736">
        <f t="shared" si="1"/>
        <v>0</v>
      </c>
      <c r="P12" s="736">
        <f t="shared" si="1"/>
        <v>0</v>
      </c>
      <c r="Q12" s="736">
        <f t="shared" si="1"/>
        <v>0</v>
      </c>
      <c r="R12" s="734">
        <f t="shared" si="1"/>
        <v>0</v>
      </c>
      <c r="S12" s="734">
        <f t="shared" si="5"/>
        <v>0</v>
      </c>
      <c r="T12" s="734">
        <f t="shared" si="5"/>
        <v>0</v>
      </c>
      <c r="U12" s="734">
        <f t="shared" si="5"/>
        <v>0</v>
      </c>
      <c r="V12" s="734">
        <f t="shared" si="5"/>
        <v>0</v>
      </c>
      <c r="W12" s="734">
        <f t="shared" si="5"/>
        <v>0</v>
      </c>
      <c r="X12" s="734">
        <f t="shared" si="5"/>
        <v>0</v>
      </c>
      <c r="Y12" s="734">
        <f t="shared" si="5"/>
        <v>0</v>
      </c>
      <c r="Z12" s="734">
        <f t="shared" si="5"/>
        <v>0</v>
      </c>
      <c r="AA12" s="734">
        <f t="shared" si="5"/>
        <v>0</v>
      </c>
      <c r="AB12" s="734">
        <f t="shared" si="5"/>
        <v>0</v>
      </c>
      <c r="AC12" s="734">
        <f t="shared" si="6"/>
        <v>0</v>
      </c>
      <c r="AD12" s="734">
        <f t="shared" si="6"/>
        <v>0</v>
      </c>
      <c r="AE12" s="734">
        <f t="shared" si="6"/>
        <v>0</v>
      </c>
      <c r="AF12" s="734">
        <f t="shared" si="6"/>
        <v>0</v>
      </c>
      <c r="AG12" s="734">
        <f t="shared" si="6"/>
        <v>0</v>
      </c>
      <c r="AH12" s="734">
        <f t="shared" si="6"/>
        <v>0</v>
      </c>
      <c r="AI12" s="734">
        <f t="shared" si="6"/>
        <v>0</v>
      </c>
      <c r="AJ12" s="734">
        <f t="shared" si="6"/>
        <v>0</v>
      </c>
      <c r="AK12" s="734">
        <f t="shared" si="6"/>
        <v>0</v>
      </c>
      <c r="AL12" s="734">
        <f t="shared" si="6"/>
        <v>0</v>
      </c>
      <c r="AM12" s="734">
        <f t="shared" si="7"/>
        <v>0</v>
      </c>
      <c r="AN12" s="734">
        <f t="shared" si="7"/>
        <v>0</v>
      </c>
      <c r="AO12" s="734">
        <f t="shared" si="7"/>
        <v>0</v>
      </c>
      <c r="AP12" s="734">
        <f t="shared" si="7"/>
        <v>0</v>
      </c>
      <c r="AQ12" s="734">
        <f t="shared" si="7"/>
        <v>0</v>
      </c>
      <c r="AR12" s="734">
        <f t="shared" si="7"/>
        <v>0</v>
      </c>
      <c r="AS12" s="734">
        <f t="shared" si="7"/>
        <v>0</v>
      </c>
      <c r="AT12" s="734">
        <f t="shared" si="7"/>
        <v>0</v>
      </c>
      <c r="AU12" s="734">
        <f t="shared" si="7"/>
        <v>0</v>
      </c>
      <c r="AV12" s="734">
        <f t="shared" si="7"/>
        <v>0</v>
      </c>
      <c r="AW12" s="734">
        <f t="shared" si="8"/>
        <v>0</v>
      </c>
      <c r="AX12" s="734">
        <f t="shared" si="8"/>
        <v>0</v>
      </c>
      <c r="AY12" s="734">
        <f t="shared" si="8"/>
        <v>0</v>
      </c>
      <c r="AZ12" s="734">
        <f t="shared" si="8"/>
        <v>0</v>
      </c>
      <c r="BA12" s="734">
        <f t="shared" si="8"/>
        <v>0</v>
      </c>
      <c r="BB12" s="734">
        <f t="shared" si="8"/>
        <v>0</v>
      </c>
      <c r="BC12" s="734">
        <f t="shared" si="8"/>
        <v>0</v>
      </c>
      <c r="BD12" s="734">
        <f t="shared" si="8"/>
        <v>0</v>
      </c>
      <c r="BE12" s="734">
        <f t="shared" si="8"/>
        <v>0</v>
      </c>
      <c r="BF12" s="734">
        <f t="shared" si="8"/>
        <v>0</v>
      </c>
      <c r="BG12" s="734">
        <f t="shared" si="9"/>
        <v>0</v>
      </c>
      <c r="BH12" s="734">
        <f t="shared" si="9"/>
        <v>0</v>
      </c>
      <c r="BI12" s="734">
        <f t="shared" si="9"/>
        <v>0</v>
      </c>
      <c r="BJ12" s="734">
        <f t="shared" si="9"/>
        <v>0</v>
      </c>
      <c r="BK12" s="734">
        <f t="shared" si="9"/>
        <v>0</v>
      </c>
      <c r="BL12" s="734">
        <f t="shared" si="9"/>
        <v>0</v>
      </c>
      <c r="BM12" s="734">
        <f t="shared" si="9"/>
        <v>0</v>
      </c>
      <c r="BN12" s="734">
        <f t="shared" si="9"/>
        <v>0</v>
      </c>
      <c r="BO12" s="734">
        <f t="shared" si="9"/>
        <v>0</v>
      </c>
      <c r="BP12" s="734">
        <f t="shared" si="9"/>
        <v>0</v>
      </c>
    </row>
    <row r="13" spans="1:68">
      <c r="A13" s="421" t="s">
        <v>452</v>
      </c>
      <c r="B13" s="418"/>
      <c r="C13" s="955" t="str">
        <f>IF($B13&lt;&gt;"",VLOOKUP($B13,COSTS_Elixir_Storage[#All],2),"")</f>
        <v/>
      </c>
      <c r="D13" s="987" t="str">
        <f>IF($B13&lt;&gt;"",VLOOKUP($B13,COSTS_Elixir_Storage[#All],3)/24,"")</f>
        <v/>
      </c>
      <c r="E13" s="991"/>
      <c r="F13" s="992"/>
      <c r="G13" s="982" t="str">
        <f t="shared" si="3"/>
        <v/>
      </c>
      <c r="H13" s="979"/>
      <c r="I13" s="736">
        <f t="shared" si="4"/>
        <v>0</v>
      </c>
      <c r="J13" s="736">
        <f t="shared" si="1"/>
        <v>0</v>
      </c>
      <c r="K13" s="736">
        <f t="shared" si="1"/>
        <v>0</v>
      </c>
      <c r="L13" s="736">
        <f t="shared" si="10"/>
        <v>0</v>
      </c>
      <c r="M13" s="736">
        <f t="shared" si="1"/>
        <v>0</v>
      </c>
      <c r="N13" s="736">
        <f t="shared" si="1"/>
        <v>0</v>
      </c>
      <c r="O13" s="736">
        <f t="shared" si="1"/>
        <v>0</v>
      </c>
      <c r="P13" s="736">
        <f t="shared" si="1"/>
        <v>0</v>
      </c>
      <c r="Q13" s="736">
        <f t="shared" si="1"/>
        <v>0</v>
      </c>
      <c r="R13" s="734">
        <f t="shared" si="1"/>
        <v>0</v>
      </c>
      <c r="S13" s="734">
        <f t="shared" si="5"/>
        <v>0</v>
      </c>
      <c r="T13" s="734">
        <f t="shared" si="5"/>
        <v>0</v>
      </c>
      <c r="U13" s="734">
        <f t="shared" si="5"/>
        <v>0</v>
      </c>
      <c r="V13" s="734">
        <f t="shared" si="5"/>
        <v>0</v>
      </c>
      <c r="W13" s="734">
        <f t="shared" si="5"/>
        <v>0</v>
      </c>
      <c r="X13" s="734">
        <f t="shared" si="5"/>
        <v>0</v>
      </c>
      <c r="Y13" s="734">
        <f t="shared" si="5"/>
        <v>0</v>
      </c>
      <c r="Z13" s="734">
        <f t="shared" si="5"/>
        <v>0</v>
      </c>
      <c r="AA13" s="734">
        <f t="shared" si="5"/>
        <v>0</v>
      </c>
      <c r="AB13" s="734">
        <f t="shared" si="5"/>
        <v>0</v>
      </c>
      <c r="AC13" s="734">
        <f t="shared" si="6"/>
        <v>0</v>
      </c>
      <c r="AD13" s="734">
        <f t="shared" si="6"/>
        <v>0</v>
      </c>
      <c r="AE13" s="734">
        <f t="shared" si="6"/>
        <v>0</v>
      </c>
      <c r="AF13" s="734">
        <f t="shared" si="6"/>
        <v>0</v>
      </c>
      <c r="AG13" s="734">
        <f t="shared" si="6"/>
        <v>0</v>
      </c>
      <c r="AH13" s="734">
        <f t="shared" si="6"/>
        <v>0</v>
      </c>
      <c r="AI13" s="734">
        <f t="shared" si="6"/>
        <v>0</v>
      </c>
      <c r="AJ13" s="734">
        <f t="shared" si="6"/>
        <v>0</v>
      </c>
      <c r="AK13" s="734">
        <f t="shared" si="6"/>
        <v>0</v>
      </c>
      <c r="AL13" s="734">
        <f t="shared" si="6"/>
        <v>0</v>
      </c>
      <c r="AM13" s="734">
        <f t="shared" si="7"/>
        <v>0</v>
      </c>
      <c r="AN13" s="734">
        <f t="shared" si="7"/>
        <v>0</v>
      </c>
      <c r="AO13" s="734">
        <f t="shared" si="7"/>
        <v>0</v>
      </c>
      <c r="AP13" s="734">
        <f t="shared" si="7"/>
        <v>0</v>
      </c>
      <c r="AQ13" s="734">
        <f t="shared" si="7"/>
        <v>0</v>
      </c>
      <c r="AR13" s="734">
        <f t="shared" si="7"/>
        <v>0</v>
      </c>
      <c r="AS13" s="734">
        <f t="shared" si="7"/>
        <v>0</v>
      </c>
      <c r="AT13" s="734">
        <f t="shared" si="7"/>
        <v>0</v>
      </c>
      <c r="AU13" s="734">
        <f t="shared" si="7"/>
        <v>0</v>
      </c>
      <c r="AV13" s="734">
        <f t="shared" si="7"/>
        <v>0</v>
      </c>
      <c r="AW13" s="734">
        <f t="shared" si="8"/>
        <v>0</v>
      </c>
      <c r="AX13" s="734">
        <f t="shared" si="8"/>
        <v>0</v>
      </c>
      <c r="AY13" s="734">
        <f t="shared" si="8"/>
        <v>0</v>
      </c>
      <c r="AZ13" s="734">
        <f t="shared" si="8"/>
        <v>0</v>
      </c>
      <c r="BA13" s="734">
        <f t="shared" si="8"/>
        <v>0</v>
      </c>
      <c r="BB13" s="734">
        <f t="shared" si="8"/>
        <v>0</v>
      </c>
      <c r="BC13" s="734">
        <f t="shared" si="8"/>
        <v>0</v>
      </c>
      <c r="BD13" s="734">
        <f t="shared" si="8"/>
        <v>0</v>
      </c>
      <c r="BE13" s="734">
        <f t="shared" si="8"/>
        <v>0</v>
      </c>
      <c r="BF13" s="734">
        <f t="shared" si="8"/>
        <v>0</v>
      </c>
      <c r="BG13" s="734">
        <f t="shared" si="9"/>
        <v>0</v>
      </c>
      <c r="BH13" s="734">
        <f t="shared" si="9"/>
        <v>0</v>
      </c>
      <c r="BI13" s="734">
        <f t="shared" si="9"/>
        <v>0</v>
      </c>
      <c r="BJ13" s="734">
        <f t="shared" si="9"/>
        <v>0</v>
      </c>
      <c r="BK13" s="734">
        <f t="shared" si="9"/>
        <v>0</v>
      </c>
      <c r="BL13" s="734">
        <f t="shared" si="9"/>
        <v>0</v>
      </c>
      <c r="BM13" s="734">
        <f t="shared" si="9"/>
        <v>0</v>
      </c>
      <c r="BN13" s="734">
        <f t="shared" si="9"/>
        <v>0</v>
      </c>
      <c r="BO13" s="734">
        <f t="shared" si="9"/>
        <v>0</v>
      </c>
      <c r="BP13" s="734">
        <f t="shared" si="9"/>
        <v>0</v>
      </c>
    </row>
    <row r="14" spans="1:68" ht="15.75" thickBot="1">
      <c r="A14" s="429" t="s">
        <v>451</v>
      </c>
      <c r="B14" s="430"/>
      <c r="C14" s="959" t="str">
        <f>IF($B14&lt;&gt;"",VLOOKUP($B14,COSTS_Dark_Elixir_Storage[#All],2),"")</f>
        <v/>
      </c>
      <c r="D14" s="988" t="str">
        <f>IF($B14&lt;&gt;"",VLOOKUP($B14,COSTS_Dark_Elixir_Storage[#All],3)/24,"")</f>
        <v/>
      </c>
      <c r="E14" s="993"/>
      <c r="F14" s="994"/>
      <c r="G14" s="983" t="str">
        <f t="shared" si="3"/>
        <v/>
      </c>
      <c r="H14" s="980"/>
      <c r="I14" s="736">
        <f t="shared" si="4"/>
        <v>0</v>
      </c>
      <c r="J14" s="736">
        <f t="shared" si="1"/>
        <v>0</v>
      </c>
      <c r="K14" s="736">
        <f t="shared" si="1"/>
        <v>0</v>
      </c>
      <c r="L14" s="736">
        <f t="shared" si="1"/>
        <v>0</v>
      </c>
      <c r="M14" s="736">
        <f t="shared" si="1"/>
        <v>0</v>
      </c>
      <c r="N14" s="736">
        <f t="shared" si="1"/>
        <v>0</v>
      </c>
      <c r="O14" s="736">
        <f t="shared" si="1"/>
        <v>0</v>
      </c>
      <c r="P14" s="736">
        <f t="shared" si="1"/>
        <v>0</v>
      </c>
      <c r="Q14" s="736">
        <f t="shared" si="1"/>
        <v>0</v>
      </c>
      <c r="R14" s="734">
        <f t="shared" si="1"/>
        <v>0</v>
      </c>
      <c r="S14" s="734">
        <f t="shared" si="5"/>
        <v>0</v>
      </c>
      <c r="T14" s="734">
        <f t="shared" si="5"/>
        <v>0</v>
      </c>
      <c r="U14" s="734">
        <f t="shared" si="5"/>
        <v>0</v>
      </c>
      <c r="V14" s="734">
        <f t="shared" si="5"/>
        <v>0</v>
      </c>
      <c r="W14" s="734">
        <f t="shared" si="5"/>
        <v>0</v>
      </c>
      <c r="X14" s="734">
        <f t="shared" si="5"/>
        <v>0</v>
      </c>
      <c r="Y14" s="734">
        <f t="shared" si="5"/>
        <v>0</v>
      </c>
      <c r="Z14" s="734">
        <f t="shared" si="5"/>
        <v>0</v>
      </c>
      <c r="AA14" s="734">
        <f t="shared" si="5"/>
        <v>0</v>
      </c>
      <c r="AB14" s="734">
        <f t="shared" si="5"/>
        <v>0</v>
      </c>
      <c r="AC14" s="734">
        <f t="shared" si="6"/>
        <v>0</v>
      </c>
      <c r="AD14" s="734">
        <f t="shared" si="6"/>
        <v>0</v>
      </c>
      <c r="AE14" s="734">
        <f t="shared" si="6"/>
        <v>0</v>
      </c>
      <c r="AF14" s="734">
        <f t="shared" si="6"/>
        <v>0</v>
      </c>
      <c r="AG14" s="734">
        <f t="shared" si="6"/>
        <v>0</v>
      </c>
      <c r="AH14" s="734">
        <f t="shared" si="6"/>
        <v>0</v>
      </c>
      <c r="AI14" s="734">
        <f t="shared" si="6"/>
        <v>0</v>
      </c>
      <c r="AJ14" s="734">
        <f t="shared" si="6"/>
        <v>0</v>
      </c>
      <c r="AK14" s="734">
        <f t="shared" si="6"/>
        <v>0</v>
      </c>
      <c r="AL14" s="734">
        <f t="shared" si="6"/>
        <v>0</v>
      </c>
      <c r="AM14" s="734">
        <f t="shared" si="7"/>
        <v>0</v>
      </c>
      <c r="AN14" s="734">
        <f t="shared" si="7"/>
        <v>0</v>
      </c>
      <c r="AO14" s="734">
        <f t="shared" si="7"/>
        <v>0</v>
      </c>
      <c r="AP14" s="734">
        <f t="shared" si="7"/>
        <v>0</v>
      </c>
      <c r="AQ14" s="734">
        <f t="shared" si="7"/>
        <v>0</v>
      </c>
      <c r="AR14" s="734">
        <f t="shared" si="7"/>
        <v>0</v>
      </c>
      <c r="AS14" s="734">
        <f t="shared" si="7"/>
        <v>0</v>
      </c>
      <c r="AT14" s="734">
        <f t="shared" si="7"/>
        <v>0</v>
      </c>
      <c r="AU14" s="734">
        <f t="shared" si="7"/>
        <v>0</v>
      </c>
      <c r="AV14" s="734">
        <f t="shared" si="7"/>
        <v>0</v>
      </c>
      <c r="AW14" s="734">
        <f t="shared" si="8"/>
        <v>0</v>
      </c>
      <c r="AX14" s="734">
        <f t="shared" si="8"/>
        <v>0</v>
      </c>
      <c r="AY14" s="734">
        <f t="shared" si="8"/>
        <v>0</v>
      </c>
      <c r="AZ14" s="734">
        <f t="shared" si="8"/>
        <v>0</v>
      </c>
      <c r="BA14" s="734">
        <f t="shared" si="8"/>
        <v>0</v>
      </c>
      <c r="BB14" s="734">
        <f t="shared" si="8"/>
        <v>0</v>
      </c>
      <c r="BC14" s="734">
        <f t="shared" si="8"/>
        <v>0</v>
      </c>
      <c r="BD14" s="734">
        <f t="shared" si="8"/>
        <v>0</v>
      </c>
      <c r="BE14" s="734">
        <f t="shared" si="8"/>
        <v>0</v>
      </c>
      <c r="BF14" s="734">
        <f t="shared" si="8"/>
        <v>0</v>
      </c>
      <c r="BG14" s="734">
        <f t="shared" si="9"/>
        <v>0</v>
      </c>
      <c r="BH14" s="734">
        <f t="shared" si="9"/>
        <v>0</v>
      </c>
      <c r="BI14" s="734">
        <f t="shared" si="9"/>
        <v>0</v>
      </c>
      <c r="BJ14" s="734">
        <f t="shared" si="9"/>
        <v>0</v>
      </c>
      <c r="BK14" s="734">
        <f t="shared" si="9"/>
        <v>0</v>
      </c>
      <c r="BL14" s="734">
        <f t="shared" si="9"/>
        <v>0</v>
      </c>
      <c r="BM14" s="734">
        <f t="shared" si="9"/>
        <v>0</v>
      </c>
      <c r="BN14" s="734">
        <f t="shared" si="9"/>
        <v>0</v>
      </c>
      <c r="BO14" s="734">
        <f t="shared" si="9"/>
        <v>0</v>
      </c>
      <c r="BP14" s="734">
        <f t="shared" si="9"/>
        <v>0</v>
      </c>
    </row>
    <row r="15" spans="1:68" ht="16.5" thickBot="1">
      <c r="A15" s="1015" t="s">
        <v>181</v>
      </c>
      <c r="B15" s="1016"/>
      <c r="C15" s="1016"/>
      <c r="D15" s="1016"/>
      <c r="E15" s="1016"/>
      <c r="F15" s="1016"/>
      <c r="G15" s="1016"/>
      <c r="H15" s="1017"/>
      <c r="I15" s="736">
        <f t="shared" si="4"/>
        <v>0</v>
      </c>
      <c r="J15" s="736">
        <f t="shared" si="1"/>
        <v>0</v>
      </c>
      <c r="K15" s="736">
        <f t="shared" si="1"/>
        <v>0</v>
      </c>
      <c r="L15" s="736">
        <f t="shared" si="1"/>
        <v>0</v>
      </c>
      <c r="M15" s="736">
        <f t="shared" si="1"/>
        <v>0</v>
      </c>
      <c r="N15" s="736">
        <f t="shared" si="1"/>
        <v>0</v>
      </c>
      <c r="O15" s="736">
        <f t="shared" si="1"/>
        <v>0</v>
      </c>
      <c r="P15" s="736">
        <f t="shared" si="1"/>
        <v>0</v>
      </c>
      <c r="Q15" s="736">
        <f t="shared" si="1"/>
        <v>0</v>
      </c>
      <c r="R15" s="734">
        <f t="shared" si="1"/>
        <v>0</v>
      </c>
      <c r="S15" s="734">
        <f t="shared" si="5"/>
        <v>0</v>
      </c>
      <c r="T15" s="734">
        <f t="shared" si="5"/>
        <v>0</v>
      </c>
      <c r="U15" s="734">
        <f t="shared" si="5"/>
        <v>0</v>
      </c>
      <c r="V15" s="734">
        <f t="shared" si="5"/>
        <v>0</v>
      </c>
      <c r="W15" s="734">
        <f t="shared" si="5"/>
        <v>0</v>
      </c>
      <c r="X15" s="734">
        <f t="shared" si="5"/>
        <v>0</v>
      </c>
      <c r="Y15" s="734">
        <f t="shared" si="5"/>
        <v>0</v>
      </c>
      <c r="Z15" s="734">
        <f t="shared" si="5"/>
        <v>0</v>
      </c>
      <c r="AA15" s="734">
        <f t="shared" si="5"/>
        <v>0</v>
      </c>
      <c r="AB15" s="734">
        <f t="shared" si="5"/>
        <v>0</v>
      </c>
      <c r="AC15" s="734">
        <f t="shared" si="6"/>
        <v>0</v>
      </c>
      <c r="AD15" s="734">
        <f t="shared" si="6"/>
        <v>0</v>
      </c>
      <c r="AE15" s="734">
        <f t="shared" si="6"/>
        <v>0</v>
      </c>
      <c r="AF15" s="734">
        <f t="shared" si="6"/>
        <v>0</v>
      </c>
      <c r="AG15" s="734">
        <f t="shared" si="6"/>
        <v>0</v>
      </c>
      <c r="AH15" s="734">
        <f t="shared" si="6"/>
        <v>0</v>
      </c>
      <c r="AI15" s="734">
        <f t="shared" si="6"/>
        <v>0</v>
      </c>
      <c r="AJ15" s="734">
        <f t="shared" si="6"/>
        <v>0</v>
      </c>
      <c r="AK15" s="734">
        <f t="shared" si="6"/>
        <v>0</v>
      </c>
      <c r="AL15" s="734">
        <f t="shared" si="6"/>
        <v>0</v>
      </c>
      <c r="AM15" s="734">
        <f t="shared" si="7"/>
        <v>0</v>
      </c>
      <c r="AN15" s="734">
        <f t="shared" si="7"/>
        <v>0</v>
      </c>
      <c r="AO15" s="734">
        <f t="shared" si="7"/>
        <v>0</v>
      </c>
      <c r="AP15" s="734">
        <f t="shared" si="7"/>
        <v>0</v>
      </c>
      <c r="AQ15" s="734">
        <f t="shared" si="7"/>
        <v>0</v>
      </c>
      <c r="AR15" s="734">
        <f t="shared" si="7"/>
        <v>0</v>
      </c>
      <c r="AS15" s="734">
        <f t="shared" si="7"/>
        <v>0</v>
      </c>
      <c r="AT15" s="734">
        <f t="shared" si="7"/>
        <v>0</v>
      </c>
      <c r="AU15" s="734">
        <f t="shared" si="7"/>
        <v>0</v>
      </c>
      <c r="AV15" s="734">
        <f t="shared" si="7"/>
        <v>0</v>
      </c>
      <c r="AW15" s="734">
        <f t="shared" si="8"/>
        <v>0</v>
      </c>
      <c r="AX15" s="734">
        <f t="shared" si="8"/>
        <v>0</v>
      </c>
      <c r="AY15" s="734">
        <f t="shared" si="8"/>
        <v>0</v>
      </c>
      <c r="AZ15" s="734">
        <f t="shared" si="8"/>
        <v>0</v>
      </c>
      <c r="BA15" s="734">
        <f t="shared" si="8"/>
        <v>0</v>
      </c>
      <c r="BB15" s="734">
        <f t="shared" si="8"/>
        <v>0</v>
      </c>
      <c r="BC15" s="734">
        <f t="shared" si="8"/>
        <v>0</v>
      </c>
      <c r="BD15" s="734">
        <f t="shared" si="8"/>
        <v>0</v>
      </c>
      <c r="BE15" s="734">
        <f t="shared" si="8"/>
        <v>0</v>
      </c>
      <c r="BF15" s="734">
        <f t="shared" si="8"/>
        <v>0</v>
      </c>
      <c r="BG15" s="734">
        <f t="shared" si="9"/>
        <v>0</v>
      </c>
      <c r="BH15" s="734">
        <f t="shared" si="9"/>
        <v>0</v>
      </c>
      <c r="BI15" s="734">
        <f t="shared" si="9"/>
        <v>0</v>
      </c>
      <c r="BJ15" s="734">
        <f t="shared" si="9"/>
        <v>0</v>
      </c>
      <c r="BK15" s="734">
        <f t="shared" si="9"/>
        <v>0</v>
      </c>
      <c r="BL15" s="734">
        <f t="shared" si="9"/>
        <v>0</v>
      </c>
      <c r="BM15" s="734">
        <f t="shared" si="9"/>
        <v>0</v>
      </c>
      <c r="BN15" s="734">
        <f t="shared" si="9"/>
        <v>0</v>
      </c>
      <c r="BO15" s="734">
        <f t="shared" si="9"/>
        <v>0</v>
      </c>
      <c r="BP15" s="734">
        <f t="shared" si="9"/>
        <v>0</v>
      </c>
    </row>
    <row r="16" spans="1:68">
      <c r="A16" s="984" t="s">
        <v>207</v>
      </c>
      <c r="B16" s="985"/>
      <c r="C16" s="956" t="str">
        <f>IF($B16&lt;&gt;"",VLOOKUP($B16,COSTS_Barrack[#All],2),"")</f>
        <v/>
      </c>
      <c r="D16" s="986" t="str">
        <f>IF($B16&lt;&gt;"",VLOOKUP($B16,COSTS_Barrack[#All],3)/24,"")</f>
        <v/>
      </c>
      <c r="E16" s="989"/>
      <c r="F16" s="990"/>
      <c r="G16" s="981" t="str">
        <f>IF($D16&lt;&gt;"",$D16,"")</f>
        <v/>
      </c>
      <c r="H16" s="978"/>
      <c r="I16" s="736">
        <f t="shared" si="4"/>
        <v>0</v>
      </c>
      <c r="J16" s="736">
        <f t="shared" si="1"/>
        <v>0</v>
      </c>
      <c r="K16" s="736">
        <f t="shared" si="1"/>
        <v>0</v>
      </c>
      <c r="L16" s="736">
        <f t="shared" si="1"/>
        <v>0</v>
      </c>
      <c r="M16" s="736">
        <f t="shared" si="1"/>
        <v>0</v>
      </c>
      <c r="N16" s="736">
        <f t="shared" si="1"/>
        <v>0</v>
      </c>
      <c r="O16" s="736">
        <f t="shared" si="1"/>
        <v>0</v>
      </c>
      <c r="P16" s="736">
        <f t="shared" si="1"/>
        <v>0</v>
      </c>
      <c r="Q16" s="736">
        <f t="shared" si="1"/>
        <v>0</v>
      </c>
      <c r="R16" s="734">
        <f t="shared" si="1"/>
        <v>0</v>
      </c>
      <c r="S16" s="734">
        <f t="shared" si="5"/>
        <v>0</v>
      </c>
      <c r="T16" s="734">
        <f t="shared" si="5"/>
        <v>0</v>
      </c>
      <c r="U16" s="734">
        <f t="shared" si="5"/>
        <v>0</v>
      </c>
      <c r="V16" s="734">
        <f t="shared" si="5"/>
        <v>0</v>
      </c>
      <c r="W16" s="734">
        <f t="shared" si="5"/>
        <v>0</v>
      </c>
      <c r="X16" s="734">
        <f t="shared" si="5"/>
        <v>0</v>
      </c>
      <c r="Y16" s="734">
        <f t="shared" si="5"/>
        <v>0</v>
      </c>
      <c r="Z16" s="734">
        <f t="shared" si="5"/>
        <v>0</v>
      </c>
      <c r="AA16" s="734">
        <f t="shared" si="5"/>
        <v>0</v>
      </c>
      <c r="AB16" s="734">
        <f t="shared" si="5"/>
        <v>0</v>
      </c>
      <c r="AC16" s="734">
        <f t="shared" si="6"/>
        <v>0</v>
      </c>
      <c r="AD16" s="734">
        <f t="shared" si="6"/>
        <v>0</v>
      </c>
      <c r="AE16" s="734">
        <f t="shared" si="6"/>
        <v>0</v>
      </c>
      <c r="AF16" s="734">
        <f t="shared" si="6"/>
        <v>0</v>
      </c>
      <c r="AG16" s="734">
        <f t="shared" si="6"/>
        <v>0</v>
      </c>
      <c r="AH16" s="734">
        <f t="shared" si="6"/>
        <v>0</v>
      </c>
      <c r="AI16" s="734">
        <f t="shared" si="6"/>
        <v>0</v>
      </c>
      <c r="AJ16" s="734">
        <f t="shared" si="6"/>
        <v>0</v>
      </c>
      <c r="AK16" s="734">
        <f t="shared" si="6"/>
        <v>0</v>
      </c>
      <c r="AL16" s="734">
        <f t="shared" si="6"/>
        <v>0</v>
      </c>
      <c r="AM16" s="734">
        <f t="shared" si="7"/>
        <v>0</v>
      </c>
      <c r="AN16" s="734">
        <f t="shared" si="7"/>
        <v>0</v>
      </c>
      <c r="AO16" s="734">
        <f t="shared" si="7"/>
        <v>0</v>
      </c>
      <c r="AP16" s="734">
        <f t="shared" si="7"/>
        <v>0</v>
      </c>
      <c r="AQ16" s="734">
        <f t="shared" si="7"/>
        <v>0</v>
      </c>
      <c r="AR16" s="734">
        <f t="shared" si="7"/>
        <v>0</v>
      </c>
      <c r="AS16" s="734">
        <f t="shared" si="7"/>
        <v>0</v>
      </c>
      <c r="AT16" s="734">
        <f t="shared" si="7"/>
        <v>0</v>
      </c>
      <c r="AU16" s="734">
        <f t="shared" si="7"/>
        <v>0</v>
      </c>
      <c r="AV16" s="734">
        <f t="shared" si="7"/>
        <v>0</v>
      </c>
      <c r="AW16" s="734">
        <f t="shared" si="8"/>
        <v>0</v>
      </c>
      <c r="AX16" s="734">
        <f t="shared" si="8"/>
        <v>0</v>
      </c>
      <c r="AY16" s="734">
        <f t="shared" si="8"/>
        <v>0</v>
      </c>
      <c r="AZ16" s="734">
        <f t="shared" si="8"/>
        <v>0</v>
      </c>
      <c r="BA16" s="734">
        <f t="shared" si="8"/>
        <v>0</v>
      </c>
      <c r="BB16" s="734">
        <f t="shared" si="8"/>
        <v>0</v>
      </c>
      <c r="BC16" s="734">
        <f t="shared" si="8"/>
        <v>0</v>
      </c>
      <c r="BD16" s="734">
        <f t="shared" si="8"/>
        <v>0</v>
      </c>
      <c r="BE16" s="734">
        <f t="shared" si="8"/>
        <v>0</v>
      </c>
      <c r="BF16" s="734">
        <f t="shared" si="8"/>
        <v>0</v>
      </c>
      <c r="BG16" s="734">
        <f t="shared" si="9"/>
        <v>0</v>
      </c>
      <c r="BH16" s="734">
        <f t="shared" si="9"/>
        <v>0</v>
      </c>
      <c r="BI16" s="734">
        <f t="shared" si="9"/>
        <v>0</v>
      </c>
      <c r="BJ16" s="734">
        <f t="shared" si="9"/>
        <v>0</v>
      </c>
      <c r="BK16" s="734">
        <f t="shared" si="9"/>
        <v>0</v>
      </c>
      <c r="BL16" s="734">
        <f t="shared" si="9"/>
        <v>0</v>
      </c>
      <c r="BM16" s="734">
        <f t="shared" si="9"/>
        <v>0</v>
      </c>
      <c r="BN16" s="734">
        <f t="shared" si="9"/>
        <v>0</v>
      </c>
      <c r="BO16" s="734">
        <f t="shared" si="9"/>
        <v>0</v>
      </c>
      <c r="BP16" s="734">
        <f t="shared" si="9"/>
        <v>0</v>
      </c>
    </row>
    <row r="17" spans="1:68">
      <c r="A17" s="421" t="s">
        <v>343</v>
      </c>
      <c r="B17" s="418"/>
      <c r="C17" s="957" t="str">
        <f>IF($B17&lt;&gt;"",VLOOKUP($B17,COSTS_Dark_Barrack[#All],2),"")</f>
        <v/>
      </c>
      <c r="D17" s="987" t="str">
        <f>IF($B17&lt;&gt;"",VLOOKUP($B17,COSTS_Dark_Barrack[#All],3)/24,"")</f>
        <v/>
      </c>
      <c r="E17" s="991"/>
      <c r="F17" s="992"/>
      <c r="G17" s="982" t="str">
        <f t="shared" ref="G17:G21" si="11">IF($D17&lt;&gt;"",$D17,"")</f>
        <v/>
      </c>
      <c r="H17" s="979"/>
      <c r="I17" s="736">
        <f t="shared" si="4"/>
        <v>0</v>
      </c>
      <c r="J17" s="736">
        <f t="shared" si="1"/>
        <v>0</v>
      </c>
      <c r="K17" s="736">
        <f t="shared" si="1"/>
        <v>0</v>
      </c>
      <c r="L17" s="736">
        <f t="shared" si="1"/>
        <v>0</v>
      </c>
      <c r="M17" s="736">
        <f t="shared" si="1"/>
        <v>0</v>
      </c>
      <c r="N17" s="736">
        <f t="shared" si="1"/>
        <v>0</v>
      </c>
      <c r="O17" s="736">
        <f t="shared" si="1"/>
        <v>0</v>
      </c>
      <c r="P17" s="736">
        <f t="shared" si="1"/>
        <v>0</v>
      </c>
      <c r="Q17" s="736">
        <f t="shared" si="1"/>
        <v>0</v>
      </c>
      <c r="R17" s="734">
        <f t="shared" si="1"/>
        <v>0</v>
      </c>
      <c r="S17" s="734">
        <f t="shared" si="5"/>
        <v>0</v>
      </c>
      <c r="T17" s="734">
        <f t="shared" si="5"/>
        <v>0</v>
      </c>
      <c r="U17" s="734">
        <f t="shared" si="5"/>
        <v>0</v>
      </c>
      <c r="V17" s="734">
        <f t="shared" si="5"/>
        <v>0</v>
      </c>
      <c r="W17" s="734">
        <f t="shared" si="5"/>
        <v>0</v>
      </c>
      <c r="X17" s="734">
        <f t="shared" si="5"/>
        <v>0</v>
      </c>
      <c r="Y17" s="734">
        <f t="shared" si="5"/>
        <v>0</v>
      </c>
      <c r="Z17" s="734">
        <f t="shared" si="5"/>
        <v>0</v>
      </c>
      <c r="AA17" s="734">
        <f t="shared" si="5"/>
        <v>0</v>
      </c>
      <c r="AB17" s="734">
        <f t="shared" si="5"/>
        <v>0</v>
      </c>
      <c r="AC17" s="734">
        <f t="shared" si="6"/>
        <v>0</v>
      </c>
      <c r="AD17" s="734">
        <f t="shared" si="6"/>
        <v>0</v>
      </c>
      <c r="AE17" s="734">
        <f t="shared" si="6"/>
        <v>0</v>
      </c>
      <c r="AF17" s="734">
        <f t="shared" si="6"/>
        <v>0</v>
      </c>
      <c r="AG17" s="734">
        <f t="shared" si="6"/>
        <v>0</v>
      </c>
      <c r="AH17" s="734">
        <f t="shared" si="6"/>
        <v>0</v>
      </c>
      <c r="AI17" s="734">
        <f t="shared" si="6"/>
        <v>0</v>
      </c>
      <c r="AJ17" s="734">
        <f t="shared" si="6"/>
        <v>0</v>
      </c>
      <c r="AK17" s="734">
        <f t="shared" si="6"/>
        <v>0</v>
      </c>
      <c r="AL17" s="734">
        <f t="shared" si="6"/>
        <v>0</v>
      </c>
      <c r="AM17" s="734">
        <f t="shared" si="7"/>
        <v>0</v>
      </c>
      <c r="AN17" s="734">
        <f t="shared" si="7"/>
        <v>0</v>
      </c>
      <c r="AO17" s="734">
        <f t="shared" si="7"/>
        <v>0</v>
      </c>
      <c r="AP17" s="734">
        <f t="shared" si="7"/>
        <v>0</v>
      </c>
      <c r="AQ17" s="734">
        <f t="shared" si="7"/>
        <v>0</v>
      </c>
      <c r="AR17" s="734">
        <f t="shared" si="7"/>
        <v>0</v>
      </c>
      <c r="AS17" s="734">
        <f t="shared" si="7"/>
        <v>0</v>
      </c>
      <c r="AT17" s="734">
        <f t="shared" si="7"/>
        <v>0</v>
      </c>
      <c r="AU17" s="734">
        <f t="shared" si="7"/>
        <v>0</v>
      </c>
      <c r="AV17" s="734">
        <f t="shared" si="7"/>
        <v>0</v>
      </c>
      <c r="AW17" s="734">
        <f t="shared" si="8"/>
        <v>0</v>
      </c>
      <c r="AX17" s="734">
        <f t="shared" si="8"/>
        <v>0</v>
      </c>
      <c r="AY17" s="734">
        <f t="shared" si="8"/>
        <v>0</v>
      </c>
      <c r="AZ17" s="734">
        <f t="shared" si="8"/>
        <v>0</v>
      </c>
      <c r="BA17" s="734">
        <f t="shared" si="8"/>
        <v>0</v>
      </c>
      <c r="BB17" s="734">
        <f t="shared" si="8"/>
        <v>0</v>
      </c>
      <c r="BC17" s="734">
        <f t="shared" si="8"/>
        <v>0</v>
      </c>
      <c r="BD17" s="734">
        <f t="shared" si="8"/>
        <v>0</v>
      </c>
      <c r="BE17" s="734">
        <f t="shared" si="8"/>
        <v>0</v>
      </c>
      <c r="BF17" s="734">
        <f t="shared" si="8"/>
        <v>0</v>
      </c>
      <c r="BG17" s="734">
        <f t="shared" si="9"/>
        <v>0</v>
      </c>
      <c r="BH17" s="734">
        <f t="shared" si="9"/>
        <v>0</v>
      </c>
      <c r="BI17" s="734">
        <f t="shared" si="9"/>
        <v>0</v>
      </c>
      <c r="BJ17" s="734">
        <f t="shared" si="9"/>
        <v>0</v>
      </c>
      <c r="BK17" s="734">
        <f t="shared" si="9"/>
        <v>0</v>
      </c>
      <c r="BL17" s="734">
        <f t="shared" si="9"/>
        <v>0</v>
      </c>
      <c r="BM17" s="734">
        <f t="shared" si="9"/>
        <v>0</v>
      </c>
      <c r="BN17" s="734">
        <f t="shared" si="9"/>
        <v>0</v>
      </c>
      <c r="BO17" s="734">
        <f t="shared" si="9"/>
        <v>0</v>
      </c>
      <c r="BP17" s="734">
        <f t="shared" si="9"/>
        <v>0</v>
      </c>
    </row>
    <row r="18" spans="1:68">
      <c r="A18" s="421" t="s">
        <v>338</v>
      </c>
      <c r="B18" s="418"/>
      <c r="C18" s="957" t="str">
        <f>IF($B18&lt;&gt;"",VLOOKUP($B18,COSTS_Army_Camp[#All],2),"")</f>
        <v/>
      </c>
      <c r="D18" s="987" t="str">
        <f>IF($B18&lt;&gt;"",VLOOKUP($B18,COSTS_Army_Camp[#All],3)/24,"")</f>
        <v/>
      </c>
      <c r="E18" s="991"/>
      <c r="F18" s="992"/>
      <c r="G18" s="982" t="str">
        <f t="shared" si="11"/>
        <v/>
      </c>
      <c r="H18" s="979"/>
      <c r="I18" s="736">
        <f t="shared" si="4"/>
        <v>0</v>
      </c>
      <c r="J18" s="736">
        <f t="shared" si="1"/>
        <v>0</v>
      </c>
      <c r="K18" s="736">
        <f t="shared" si="1"/>
        <v>0</v>
      </c>
      <c r="L18" s="736">
        <f t="shared" si="1"/>
        <v>0</v>
      </c>
      <c r="M18" s="736">
        <f t="shared" si="1"/>
        <v>0</v>
      </c>
      <c r="N18" s="736">
        <f t="shared" si="1"/>
        <v>0</v>
      </c>
      <c r="O18" s="736">
        <f t="shared" si="1"/>
        <v>0</v>
      </c>
      <c r="P18" s="736">
        <f t="shared" si="1"/>
        <v>0</v>
      </c>
      <c r="Q18" s="736">
        <f t="shared" si="1"/>
        <v>0</v>
      </c>
      <c r="R18" s="734">
        <f t="shared" si="1"/>
        <v>0</v>
      </c>
      <c r="S18" s="734">
        <f t="shared" si="5"/>
        <v>0</v>
      </c>
      <c r="T18" s="734">
        <f t="shared" si="5"/>
        <v>0</v>
      </c>
      <c r="U18" s="734">
        <f t="shared" si="5"/>
        <v>0</v>
      </c>
      <c r="V18" s="734">
        <f t="shared" si="5"/>
        <v>0</v>
      </c>
      <c r="W18" s="734">
        <f t="shared" si="5"/>
        <v>0</v>
      </c>
      <c r="X18" s="734">
        <f t="shared" si="5"/>
        <v>0</v>
      </c>
      <c r="Y18" s="734">
        <f t="shared" si="5"/>
        <v>0</v>
      </c>
      <c r="Z18" s="734">
        <f t="shared" si="5"/>
        <v>0</v>
      </c>
      <c r="AA18" s="734">
        <f t="shared" si="5"/>
        <v>0</v>
      </c>
      <c r="AB18" s="734">
        <f t="shared" si="5"/>
        <v>0</v>
      </c>
      <c r="AC18" s="734">
        <f t="shared" si="6"/>
        <v>0</v>
      </c>
      <c r="AD18" s="734">
        <f t="shared" si="6"/>
        <v>0</v>
      </c>
      <c r="AE18" s="734">
        <f t="shared" si="6"/>
        <v>0</v>
      </c>
      <c r="AF18" s="734">
        <f t="shared" si="6"/>
        <v>0</v>
      </c>
      <c r="AG18" s="734">
        <f t="shared" si="6"/>
        <v>0</v>
      </c>
      <c r="AH18" s="734">
        <f t="shared" si="6"/>
        <v>0</v>
      </c>
      <c r="AI18" s="734">
        <f t="shared" si="6"/>
        <v>0</v>
      </c>
      <c r="AJ18" s="734">
        <f t="shared" si="6"/>
        <v>0</v>
      </c>
      <c r="AK18" s="734">
        <f t="shared" si="6"/>
        <v>0</v>
      </c>
      <c r="AL18" s="734">
        <f t="shared" si="6"/>
        <v>0</v>
      </c>
      <c r="AM18" s="734">
        <f t="shared" si="7"/>
        <v>0</v>
      </c>
      <c r="AN18" s="734">
        <f t="shared" si="7"/>
        <v>0</v>
      </c>
      <c r="AO18" s="734">
        <f t="shared" si="7"/>
        <v>0</v>
      </c>
      <c r="AP18" s="734">
        <f t="shared" si="7"/>
        <v>0</v>
      </c>
      <c r="AQ18" s="734">
        <f t="shared" si="7"/>
        <v>0</v>
      </c>
      <c r="AR18" s="734">
        <f t="shared" si="7"/>
        <v>0</v>
      </c>
      <c r="AS18" s="734">
        <f t="shared" si="7"/>
        <v>0</v>
      </c>
      <c r="AT18" s="734">
        <f t="shared" si="7"/>
        <v>0</v>
      </c>
      <c r="AU18" s="734">
        <f t="shared" si="7"/>
        <v>0</v>
      </c>
      <c r="AV18" s="734">
        <f t="shared" si="7"/>
        <v>0</v>
      </c>
      <c r="AW18" s="734">
        <f t="shared" si="8"/>
        <v>0</v>
      </c>
      <c r="AX18" s="734">
        <f t="shared" si="8"/>
        <v>0</v>
      </c>
      <c r="AY18" s="734">
        <f t="shared" si="8"/>
        <v>0</v>
      </c>
      <c r="AZ18" s="734">
        <f t="shared" si="8"/>
        <v>0</v>
      </c>
      <c r="BA18" s="734">
        <f t="shared" si="8"/>
        <v>0</v>
      </c>
      <c r="BB18" s="734">
        <f t="shared" si="8"/>
        <v>0</v>
      </c>
      <c r="BC18" s="734">
        <f t="shared" si="8"/>
        <v>0</v>
      </c>
      <c r="BD18" s="734">
        <f t="shared" si="8"/>
        <v>0</v>
      </c>
      <c r="BE18" s="734">
        <f t="shared" si="8"/>
        <v>0</v>
      </c>
      <c r="BF18" s="734">
        <f t="shared" si="8"/>
        <v>0</v>
      </c>
      <c r="BG18" s="734">
        <f t="shared" si="9"/>
        <v>0</v>
      </c>
      <c r="BH18" s="734">
        <f t="shared" si="9"/>
        <v>0</v>
      </c>
      <c r="BI18" s="734">
        <f t="shared" si="9"/>
        <v>0</v>
      </c>
      <c r="BJ18" s="734">
        <f t="shared" si="9"/>
        <v>0</v>
      </c>
      <c r="BK18" s="734">
        <f t="shared" si="9"/>
        <v>0</v>
      </c>
      <c r="BL18" s="734">
        <f t="shared" si="9"/>
        <v>0</v>
      </c>
      <c r="BM18" s="734">
        <f t="shared" si="9"/>
        <v>0</v>
      </c>
      <c r="BN18" s="734">
        <f t="shared" si="9"/>
        <v>0</v>
      </c>
      <c r="BO18" s="734">
        <f t="shared" si="9"/>
        <v>0</v>
      </c>
      <c r="BP18" s="734">
        <f t="shared" si="9"/>
        <v>0</v>
      </c>
    </row>
    <row r="19" spans="1:68">
      <c r="A19" s="421" t="s">
        <v>208</v>
      </c>
      <c r="B19" s="418"/>
      <c r="C19" s="957" t="str">
        <f>IF($B19&lt;&gt;"",VLOOKUP($B19,COSTS_Laboratory[#All],2),"")</f>
        <v/>
      </c>
      <c r="D19" s="987" t="str">
        <f>IF($B19&lt;&gt;"",VLOOKUP($B19,COSTS_Laboratory[#All],3)/24,"")</f>
        <v/>
      </c>
      <c r="E19" s="991"/>
      <c r="F19" s="992"/>
      <c r="G19" s="982" t="str">
        <f t="shared" si="11"/>
        <v/>
      </c>
      <c r="H19" s="979"/>
      <c r="I19" s="736">
        <f t="shared" si="4"/>
        <v>0</v>
      </c>
      <c r="J19" s="736">
        <f t="shared" si="1"/>
        <v>0</v>
      </c>
      <c r="K19" s="736">
        <f t="shared" si="1"/>
        <v>0</v>
      </c>
      <c r="L19" s="736">
        <f t="shared" si="1"/>
        <v>0</v>
      </c>
      <c r="M19" s="736">
        <f t="shared" si="1"/>
        <v>0</v>
      </c>
      <c r="N19" s="736">
        <f t="shared" si="1"/>
        <v>0</v>
      </c>
      <c r="O19" s="736">
        <f t="shared" si="1"/>
        <v>0</v>
      </c>
      <c r="P19" s="736">
        <f t="shared" si="1"/>
        <v>0</v>
      </c>
      <c r="Q19" s="736">
        <f t="shared" si="1"/>
        <v>0</v>
      </c>
      <c r="R19" s="734">
        <f t="shared" si="1"/>
        <v>0</v>
      </c>
      <c r="S19" s="734">
        <f t="shared" si="5"/>
        <v>0</v>
      </c>
      <c r="T19" s="734">
        <f t="shared" si="5"/>
        <v>0</v>
      </c>
      <c r="U19" s="734">
        <f t="shared" si="5"/>
        <v>0</v>
      </c>
      <c r="V19" s="734">
        <f t="shared" si="5"/>
        <v>0</v>
      </c>
      <c r="W19" s="734">
        <f t="shared" si="5"/>
        <v>0</v>
      </c>
      <c r="X19" s="734">
        <f t="shared" si="5"/>
        <v>0</v>
      </c>
      <c r="Y19" s="734">
        <f t="shared" si="5"/>
        <v>0</v>
      </c>
      <c r="Z19" s="734">
        <f t="shared" si="5"/>
        <v>0</v>
      </c>
      <c r="AA19" s="734">
        <f t="shared" si="5"/>
        <v>0</v>
      </c>
      <c r="AB19" s="734">
        <f t="shared" si="5"/>
        <v>0</v>
      </c>
      <c r="AC19" s="734">
        <f t="shared" si="6"/>
        <v>0</v>
      </c>
      <c r="AD19" s="734">
        <f t="shared" si="6"/>
        <v>0</v>
      </c>
      <c r="AE19" s="734">
        <f t="shared" si="6"/>
        <v>0</v>
      </c>
      <c r="AF19" s="734">
        <f t="shared" si="6"/>
        <v>0</v>
      </c>
      <c r="AG19" s="734">
        <f t="shared" si="6"/>
        <v>0</v>
      </c>
      <c r="AH19" s="734">
        <f t="shared" si="6"/>
        <v>0</v>
      </c>
      <c r="AI19" s="734">
        <f t="shared" si="6"/>
        <v>0</v>
      </c>
      <c r="AJ19" s="734">
        <f t="shared" si="6"/>
        <v>0</v>
      </c>
      <c r="AK19" s="734">
        <f t="shared" si="6"/>
        <v>0</v>
      </c>
      <c r="AL19" s="734">
        <f t="shared" si="6"/>
        <v>0</v>
      </c>
      <c r="AM19" s="734">
        <f t="shared" si="7"/>
        <v>0</v>
      </c>
      <c r="AN19" s="734">
        <f t="shared" si="7"/>
        <v>0</v>
      </c>
      <c r="AO19" s="734">
        <f t="shared" si="7"/>
        <v>0</v>
      </c>
      <c r="AP19" s="734">
        <f t="shared" si="7"/>
        <v>0</v>
      </c>
      <c r="AQ19" s="734">
        <f t="shared" si="7"/>
        <v>0</v>
      </c>
      <c r="AR19" s="734">
        <f t="shared" si="7"/>
        <v>0</v>
      </c>
      <c r="AS19" s="734">
        <f t="shared" si="7"/>
        <v>0</v>
      </c>
      <c r="AT19" s="734">
        <f t="shared" si="7"/>
        <v>0</v>
      </c>
      <c r="AU19" s="734">
        <f t="shared" si="7"/>
        <v>0</v>
      </c>
      <c r="AV19" s="734">
        <f t="shared" si="7"/>
        <v>0</v>
      </c>
      <c r="AW19" s="734">
        <f t="shared" si="8"/>
        <v>0</v>
      </c>
      <c r="AX19" s="734">
        <f t="shared" si="8"/>
        <v>0</v>
      </c>
      <c r="AY19" s="734">
        <f t="shared" si="8"/>
        <v>0</v>
      </c>
      <c r="AZ19" s="734">
        <f t="shared" si="8"/>
        <v>0</v>
      </c>
      <c r="BA19" s="734">
        <f t="shared" si="8"/>
        <v>0</v>
      </c>
      <c r="BB19" s="734">
        <f t="shared" si="8"/>
        <v>0</v>
      </c>
      <c r="BC19" s="734">
        <f t="shared" si="8"/>
        <v>0</v>
      </c>
      <c r="BD19" s="734">
        <f t="shared" si="8"/>
        <v>0</v>
      </c>
      <c r="BE19" s="734">
        <f t="shared" si="8"/>
        <v>0</v>
      </c>
      <c r="BF19" s="734">
        <f t="shared" si="8"/>
        <v>0</v>
      </c>
      <c r="BG19" s="734">
        <f t="shared" si="9"/>
        <v>0</v>
      </c>
      <c r="BH19" s="734">
        <f t="shared" si="9"/>
        <v>0</v>
      </c>
      <c r="BI19" s="734">
        <f t="shared" si="9"/>
        <v>0</v>
      </c>
      <c r="BJ19" s="734">
        <f t="shared" si="9"/>
        <v>0</v>
      </c>
      <c r="BK19" s="734">
        <f t="shared" si="9"/>
        <v>0</v>
      </c>
      <c r="BL19" s="734">
        <f t="shared" si="9"/>
        <v>0</v>
      </c>
      <c r="BM19" s="734">
        <f t="shared" si="9"/>
        <v>0</v>
      </c>
      <c r="BN19" s="734">
        <f t="shared" si="9"/>
        <v>0</v>
      </c>
      <c r="BO19" s="734">
        <f t="shared" si="9"/>
        <v>0</v>
      </c>
      <c r="BP19" s="734">
        <f t="shared" si="9"/>
        <v>0</v>
      </c>
    </row>
    <row r="20" spans="1:68">
      <c r="A20" s="421" t="s">
        <v>209</v>
      </c>
      <c r="B20" s="418"/>
      <c r="C20" s="957" t="str">
        <f>IF($B20&lt;&gt;"",VLOOKUP($B20,COSTS_Spell_Factory[#All],2),"")</f>
        <v/>
      </c>
      <c r="D20" s="987" t="str">
        <f>IF($B20&lt;&gt;"",VLOOKUP($B20,COSTS_Spell_Factory[#All],3)/24,"")</f>
        <v/>
      </c>
      <c r="E20" s="991"/>
      <c r="F20" s="992"/>
      <c r="G20" s="982" t="str">
        <f t="shared" si="11"/>
        <v/>
      </c>
      <c r="H20" s="979"/>
      <c r="I20" s="736">
        <f t="shared" si="4"/>
        <v>0</v>
      </c>
      <c r="J20" s="736">
        <f t="shared" si="1"/>
        <v>0</v>
      </c>
      <c r="K20" s="736">
        <f t="shared" si="1"/>
        <v>0</v>
      </c>
      <c r="L20" s="736">
        <f t="shared" si="1"/>
        <v>0</v>
      </c>
      <c r="M20" s="736">
        <f t="shared" si="1"/>
        <v>0</v>
      </c>
      <c r="N20" s="736">
        <f t="shared" si="1"/>
        <v>0</v>
      </c>
      <c r="O20" s="736">
        <f t="shared" si="1"/>
        <v>0</v>
      </c>
      <c r="P20" s="736">
        <f t="shared" si="1"/>
        <v>0</v>
      </c>
      <c r="Q20" s="736">
        <f t="shared" si="1"/>
        <v>0</v>
      </c>
      <c r="R20" s="734">
        <f t="shared" si="1"/>
        <v>0</v>
      </c>
      <c r="S20" s="734">
        <f t="shared" si="5"/>
        <v>0</v>
      </c>
      <c r="T20" s="734">
        <f t="shared" si="5"/>
        <v>0</v>
      </c>
      <c r="U20" s="734">
        <f t="shared" si="5"/>
        <v>0</v>
      </c>
      <c r="V20" s="734">
        <f t="shared" si="5"/>
        <v>0</v>
      </c>
      <c r="W20" s="734">
        <f t="shared" si="5"/>
        <v>0</v>
      </c>
      <c r="X20" s="734">
        <f t="shared" si="5"/>
        <v>0</v>
      </c>
      <c r="Y20" s="734">
        <f t="shared" si="5"/>
        <v>0</v>
      </c>
      <c r="Z20" s="734">
        <f t="shared" si="5"/>
        <v>0</v>
      </c>
      <c r="AA20" s="734">
        <f t="shared" si="5"/>
        <v>0</v>
      </c>
      <c r="AB20" s="734">
        <f t="shared" si="5"/>
        <v>0</v>
      </c>
      <c r="AC20" s="734">
        <f t="shared" si="6"/>
        <v>0</v>
      </c>
      <c r="AD20" s="734">
        <f t="shared" si="6"/>
        <v>0</v>
      </c>
      <c r="AE20" s="734">
        <f t="shared" si="6"/>
        <v>0</v>
      </c>
      <c r="AF20" s="734">
        <f t="shared" si="6"/>
        <v>0</v>
      </c>
      <c r="AG20" s="734">
        <f t="shared" si="6"/>
        <v>0</v>
      </c>
      <c r="AH20" s="734">
        <f t="shared" si="6"/>
        <v>0</v>
      </c>
      <c r="AI20" s="734">
        <f t="shared" si="6"/>
        <v>0</v>
      </c>
      <c r="AJ20" s="734">
        <f t="shared" si="6"/>
        <v>0</v>
      </c>
      <c r="AK20" s="734">
        <f t="shared" si="6"/>
        <v>0</v>
      </c>
      <c r="AL20" s="734">
        <f t="shared" si="6"/>
        <v>0</v>
      </c>
      <c r="AM20" s="734">
        <f t="shared" si="7"/>
        <v>0</v>
      </c>
      <c r="AN20" s="734">
        <f t="shared" si="7"/>
        <v>0</v>
      </c>
      <c r="AO20" s="734">
        <f t="shared" si="7"/>
        <v>0</v>
      </c>
      <c r="AP20" s="734">
        <f t="shared" si="7"/>
        <v>0</v>
      </c>
      <c r="AQ20" s="734">
        <f t="shared" si="7"/>
        <v>0</v>
      </c>
      <c r="AR20" s="734">
        <f t="shared" si="7"/>
        <v>0</v>
      </c>
      <c r="AS20" s="734">
        <f t="shared" si="7"/>
        <v>0</v>
      </c>
      <c r="AT20" s="734">
        <f t="shared" si="7"/>
        <v>0</v>
      </c>
      <c r="AU20" s="734">
        <f t="shared" si="7"/>
        <v>0</v>
      </c>
      <c r="AV20" s="734">
        <f t="shared" si="7"/>
        <v>0</v>
      </c>
      <c r="AW20" s="734">
        <f t="shared" si="8"/>
        <v>0</v>
      </c>
      <c r="AX20" s="734">
        <f t="shared" si="8"/>
        <v>0</v>
      </c>
      <c r="AY20" s="734">
        <f t="shared" si="8"/>
        <v>0</v>
      </c>
      <c r="AZ20" s="734">
        <f t="shared" si="8"/>
        <v>0</v>
      </c>
      <c r="BA20" s="734">
        <f t="shared" si="8"/>
        <v>0</v>
      </c>
      <c r="BB20" s="734">
        <f t="shared" si="8"/>
        <v>0</v>
      </c>
      <c r="BC20" s="734">
        <f t="shared" si="8"/>
        <v>0</v>
      </c>
      <c r="BD20" s="734">
        <f t="shared" si="8"/>
        <v>0</v>
      </c>
      <c r="BE20" s="734">
        <f t="shared" si="8"/>
        <v>0</v>
      </c>
      <c r="BF20" s="734">
        <f t="shared" si="8"/>
        <v>0</v>
      </c>
      <c r="BG20" s="734">
        <f t="shared" si="9"/>
        <v>0</v>
      </c>
      <c r="BH20" s="734">
        <f t="shared" si="9"/>
        <v>0</v>
      </c>
      <c r="BI20" s="734">
        <f t="shared" si="9"/>
        <v>0</v>
      </c>
      <c r="BJ20" s="734">
        <f t="shared" si="9"/>
        <v>0</v>
      </c>
      <c r="BK20" s="734">
        <f t="shared" si="9"/>
        <v>0</v>
      </c>
      <c r="BL20" s="734">
        <f t="shared" si="9"/>
        <v>0</v>
      </c>
      <c r="BM20" s="734">
        <f t="shared" si="9"/>
        <v>0</v>
      </c>
      <c r="BN20" s="734">
        <f t="shared" si="9"/>
        <v>0</v>
      </c>
      <c r="BO20" s="734">
        <f t="shared" si="9"/>
        <v>0</v>
      </c>
      <c r="BP20" s="734">
        <f t="shared" si="9"/>
        <v>0</v>
      </c>
    </row>
    <row r="21" spans="1:68" ht="15.75" thickBot="1">
      <c r="A21" s="429" t="s">
        <v>702</v>
      </c>
      <c r="B21" s="430"/>
      <c r="C21" s="959" t="str">
        <f>IF($B21&lt;&gt;"",VLOOKUP($B21,COSTS_Dark_Spell_Factory[#All],2),"")</f>
        <v/>
      </c>
      <c r="D21" s="988" t="str">
        <f>IF($B21&lt;&gt;"",VLOOKUP($B21,COSTS_Dark_Spell_Factory[#All],3)/24,"")</f>
        <v/>
      </c>
      <c r="E21" s="993"/>
      <c r="F21" s="994"/>
      <c r="G21" s="983" t="str">
        <f t="shared" si="11"/>
        <v/>
      </c>
      <c r="H21" s="980"/>
      <c r="I21" s="736">
        <f>IF(ISERROR(Plan),0,Plan)</f>
        <v>0</v>
      </c>
      <c r="J21" s="736">
        <f t="shared" si="1"/>
        <v>0</v>
      </c>
      <c r="K21" s="736">
        <f t="shared" si="1"/>
        <v>0</v>
      </c>
      <c r="L21" s="736">
        <f t="shared" si="1"/>
        <v>0</v>
      </c>
      <c r="M21" s="736">
        <f t="shared" si="1"/>
        <v>0</v>
      </c>
      <c r="N21" s="736">
        <f t="shared" si="1"/>
        <v>0</v>
      </c>
      <c r="O21" s="736">
        <f t="shared" si="1"/>
        <v>0</v>
      </c>
      <c r="P21" s="736">
        <f t="shared" si="1"/>
        <v>0</v>
      </c>
      <c r="Q21" s="736">
        <f t="shared" si="1"/>
        <v>0</v>
      </c>
      <c r="R21" s="734">
        <f t="shared" si="1"/>
        <v>0</v>
      </c>
      <c r="S21" s="734">
        <f t="shared" si="5"/>
        <v>0</v>
      </c>
      <c r="T21" s="734">
        <f t="shared" si="5"/>
        <v>0</v>
      </c>
      <c r="U21" s="734">
        <f t="shared" si="5"/>
        <v>0</v>
      </c>
      <c r="V21" s="734">
        <f t="shared" si="5"/>
        <v>0</v>
      </c>
      <c r="W21" s="734">
        <f t="shared" si="5"/>
        <v>0</v>
      </c>
      <c r="X21" s="734">
        <f t="shared" si="5"/>
        <v>0</v>
      </c>
      <c r="Y21" s="734">
        <f t="shared" si="5"/>
        <v>0</v>
      </c>
      <c r="Z21" s="734">
        <f t="shared" si="5"/>
        <v>0</v>
      </c>
      <c r="AA21" s="734">
        <f t="shared" si="5"/>
        <v>0</v>
      </c>
      <c r="AB21" s="734">
        <f t="shared" si="5"/>
        <v>0</v>
      </c>
      <c r="AC21" s="734">
        <f t="shared" si="6"/>
        <v>0</v>
      </c>
      <c r="AD21" s="734">
        <f t="shared" si="6"/>
        <v>0</v>
      </c>
      <c r="AE21" s="734">
        <f t="shared" si="6"/>
        <v>0</v>
      </c>
      <c r="AF21" s="734">
        <f t="shared" si="6"/>
        <v>0</v>
      </c>
      <c r="AG21" s="734">
        <f t="shared" si="6"/>
        <v>0</v>
      </c>
      <c r="AH21" s="734">
        <f t="shared" si="6"/>
        <v>0</v>
      </c>
      <c r="AI21" s="734">
        <f t="shared" si="6"/>
        <v>0</v>
      </c>
      <c r="AJ21" s="734">
        <f t="shared" si="6"/>
        <v>0</v>
      </c>
      <c r="AK21" s="734">
        <f t="shared" si="6"/>
        <v>0</v>
      </c>
      <c r="AL21" s="734">
        <f t="shared" si="6"/>
        <v>0</v>
      </c>
      <c r="AM21" s="734">
        <f t="shared" si="7"/>
        <v>0</v>
      </c>
      <c r="AN21" s="734">
        <f t="shared" si="7"/>
        <v>0</v>
      </c>
      <c r="AO21" s="734">
        <f t="shared" si="7"/>
        <v>0</v>
      </c>
      <c r="AP21" s="734">
        <f t="shared" si="7"/>
        <v>0</v>
      </c>
      <c r="AQ21" s="734">
        <f t="shared" si="7"/>
        <v>0</v>
      </c>
      <c r="AR21" s="734">
        <f t="shared" si="7"/>
        <v>0</v>
      </c>
      <c r="AS21" s="734">
        <f t="shared" si="7"/>
        <v>0</v>
      </c>
      <c r="AT21" s="734">
        <f t="shared" si="7"/>
        <v>0</v>
      </c>
      <c r="AU21" s="734">
        <f t="shared" si="7"/>
        <v>0</v>
      </c>
      <c r="AV21" s="734">
        <f t="shared" si="7"/>
        <v>0</v>
      </c>
      <c r="AW21" s="734">
        <f t="shared" si="8"/>
        <v>0</v>
      </c>
      <c r="AX21" s="734">
        <f t="shared" si="8"/>
        <v>0</v>
      </c>
      <c r="AY21" s="734">
        <f t="shared" si="8"/>
        <v>0</v>
      </c>
      <c r="AZ21" s="734">
        <f t="shared" si="8"/>
        <v>0</v>
      </c>
      <c r="BA21" s="734">
        <f t="shared" si="8"/>
        <v>0</v>
      </c>
      <c r="BB21" s="734">
        <f t="shared" si="8"/>
        <v>0</v>
      </c>
      <c r="BC21" s="734">
        <f t="shared" si="8"/>
        <v>0</v>
      </c>
      <c r="BD21" s="734">
        <f t="shared" si="8"/>
        <v>0</v>
      </c>
      <c r="BE21" s="734">
        <f t="shared" si="8"/>
        <v>0</v>
      </c>
      <c r="BF21" s="734">
        <f t="shared" si="8"/>
        <v>0</v>
      </c>
      <c r="BG21" s="734">
        <f t="shared" si="9"/>
        <v>0</v>
      </c>
      <c r="BH21" s="734">
        <f t="shared" si="9"/>
        <v>0</v>
      </c>
      <c r="BI21" s="734">
        <f t="shared" si="9"/>
        <v>0</v>
      </c>
      <c r="BJ21" s="734">
        <f t="shared" si="9"/>
        <v>0</v>
      </c>
      <c r="BK21" s="734">
        <f t="shared" si="9"/>
        <v>0</v>
      </c>
      <c r="BL21" s="734">
        <f t="shared" si="9"/>
        <v>0</v>
      </c>
      <c r="BM21" s="734">
        <f t="shared" si="9"/>
        <v>0</v>
      </c>
      <c r="BN21" s="734">
        <f t="shared" si="9"/>
        <v>0</v>
      </c>
      <c r="BO21" s="734">
        <f t="shared" si="9"/>
        <v>0</v>
      </c>
      <c r="BP21" s="734">
        <f t="shared" si="9"/>
        <v>0</v>
      </c>
    </row>
    <row r="22" spans="1:68" ht="16.5" thickBot="1">
      <c r="A22" s="1015" t="s">
        <v>179</v>
      </c>
      <c r="B22" s="1016"/>
      <c r="C22" s="1016"/>
      <c r="D22" s="1016"/>
      <c r="E22" s="1016"/>
      <c r="F22" s="1016"/>
      <c r="G22" s="1016"/>
      <c r="H22" s="1017"/>
      <c r="I22" s="736">
        <f t="shared" si="4"/>
        <v>0</v>
      </c>
      <c r="J22" s="736">
        <f t="shared" si="1"/>
        <v>0</v>
      </c>
      <c r="K22" s="736">
        <f t="shared" si="1"/>
        <v>0</v>
      </c>
      <c r="L22" s="736">
        <f t="shared" si="1"/>
        <v>0</v>
      </c>
      <c r="M22" s="736">
        <f t="shared" si="1"/>
        <v>0</v>
      </c>
      <c r="N22" s="736">
        <f t="shared" si="1"/>
        <v>0</v>
      </c>
      <c r="O22" s="736">
        <f t="shared" si="1"/>
        <v>0</v>
      </c>
      <c r="P22" s="736">
        <f t="shared" si="1"/>
        <v>0</v>
      </c>
      <c r="Q22" s="736">
        <f t="shared" si="1"/>
        <v>0</v>
      </c>
      <c r="R22" s="734">
        <f t="shared" si="1"/>
        <v>0</v>
      </c>
      <c r="S22" s="734">
        <f t="shared" si="5"/>
        <v>0</v>
      </c>
      <c r="T22" s="734">
        <f t="shared" si="5"/>
        <v>0</v>
      </c>
      <c r="U22" s="734">
        <f t="shared" si="5"/>
        <v>0</v>
      </c>
      <c r="V22" s="734">
        <f t="shared" si="5"/>
        <v>0</v>
      </c>
      <c r="W22" s="734">
        <f t="shared" si="5"/>
        <v>0</v>
      </c>
      <c r="X22" s="734">
        <f t="shared" si="5"/>
        <v>0</v>
      </c>
      <c r="Y22" s="734">
        <f t="shared" si="5"/>
        <v>0</v>
      </c>
      <c r="Z22" s="734">
        <f t="shared" si="5"/>
        <v>0</v>
      </c>
      <c r="AA22" s="734">
        <f t="shared" si="5"/>
        <v>0</v>
      </c>
      <c r="AB22" s="734">
        <f t="shared" si="5"/>
        <v>0</v>
      </c>
      <c r="AC22" s="734">
        <f t="shared" si="6"/>
        <v>0</v>
      </c>
      <c r="AD22" s="734">
        <f t="shared" si="6"/>
        <v>0</v>
      </c>
      <c r="AE22" s="734">
        <f t="shared" si="6"/>
        <v>0</v>
      </c>
      <c r="AF22" s="734">
        <f t="shared" si="6"/>
        <v>0</v>
      </c>
      <c r="AG22" s="734">
        <f t="shared" si="6"/>
        <v>0</v>
      </c>
      <c r="AH22" s="734">
        <f t="shared" si="6"/>
        <v>0</v>
      </c>
      <c r="AI22" s="734">
        <f t="shared" si="6"/>
        <v>0</v>
      </c>
      <c r="AJ22" s="734">
        <f t="shared" si="6"/>
        <v>0</v>
      </c>
      <c r="AK22" s="734">
        <f t="shared" si="6"/>
        <v>0</v>
      </c>
      <c r="AL22" s="734">
        <f t="shared" si="6"/>
        <v>0</v>
      </c>
      <c r="AM22" s="734">
        <f t="shared" si="7"/>
        <v>0</v>
      </c>
      <c r="AN22" s="734">
        <f t="shared" si="7"/>
        <v>0</v>
      </c>
      <c r="AO22" s="734">
        <f t="shared" si="7"/>
        <v>0</v>
      </c>
      <c r="AP22" s="734">
        <f t="shared" si="7"/>
        <v>0</v>
      </c>
      <c r="AQ22" s="734">
        <f t="shared" si="7"/>
        <v>0</v>
      </c>
      <c r="AR22" s="734">
        <f t="shared" si="7"/>
        <v>0</v>
      </c>
      <c r="AS22" s="734">
        <f t="shared" si="7"/>
        <v>0</v>
      </c>
      <c r="AT22" s="734">
        <f t="shared" si="7"/>
        <v>0</v>
      </c>
      <c r="AU22" s="734">
        <f t="shared" si="7"/>
        <v>0</v>
      </c>
      <c r="AV22" s="734">
        <f t="shared" si="7"/>
        <v>0</v>
      </c>
      <c r="AW22" s="734">
        <f t="shared" si="8"/>
        <v>0</v>
      </c>
      <c r="AX22" s="734">
        <f t="shared" si="8"/>
        <v>0</v>
      </c>
      <c r="AY22" s="734">
        <f t="shared" si="8"/>
        <v>0</v>
      </c>
      <c r="AZ22" s="734">
        <f t="shared" si="8"/>
        <v>0</v>
      </c>
      <c r="BA22" s="734">
        <f t="shared" si="8"/>
        <v>0</v>
      </c>
      <c r="BB22" s="734">
        <f t="shared" si="8"/>
        <v>0</v>
      </c>
      <c r="BC22" s="734">
        <f t="shared" si="8"/>
        <v>0</v>
      </c>
      <c r="BD22" s="734">
        <f t="shared" si="8"/>
        <v>0</v>
      </c>
      <c r="BE22" s="734">
        <f t="shared" si="8"/>
        <v>0</v>
      </c>
      <c r="BF22" s="734">
        <f t="shared" si="8"/>
        <v>0</v>
      </c>
      <c r="BG22" s="734">
        <f t="shared" si="9"/>
        <v>0</v>
      </c>
      <c r="BH22" s="734">
        <f t="shared" si="9"/>
        <v>0</v>
      </c>
      <c r="BI22" s="734">
        <f t="shared" si="9"/>
        <v>0</v>
      </c>
      <c r="BJ22" s="734">
        <f t="shared" si="9"/>
        <v>0</v>
      </c>
      <c r="BK22" s="734">
        <f t="shared" si="9"/>
        <v>0</v>
      </c>
      <c r="BL22" s="734">
        <f t="shared" si="9"/>
        <v>0</v>
      </c>
      <c r="BM22" s="734">
        <f t="shared" si="9"/>
        <v>0</v>
      </c>
      <c r="BN22" s="734">
        <f t="shared" si="9"/>
        <v>0</v>
      </c>
      <c r="BO22" s="734">
        <f t="shared" si="9"/>
        <v>0</v>
      </c>
      <c r="BP22" s="734">
        <f t="shared" si="9"/>
        <v>0</v>
      </c>
    </row>
    <row r="23" spans="1:68">
      <c r="A23" s="984" t="s">
        <v>206</v>
      </c>
      <c r="B23" s="985"/>
      <c r="C23" s="954" t="str">
        <f>IF($B23&lt;&gt;"",VLOOKUP($B23,COSTS_Wall[#All],2),"")</f>
        <v/>
      </c>
      <c r="D23" s="986" t="str">
        <f>IF($B23&lt;&gt;"",VLOOKUP($B23,COSTS_Wall[#All],3)/24,"")</f>
        <v/>
      </c>
      <c r="E23" s="989"/>
      <c r="F23" s="990"/>
      <c r="G23" s="981" t="str">
        <f t="shared" ref="G23" si="12">IF($D23&lt;&gt;"",$D23,"")</f>
        <v/>
      </c>
      <c r="H23" s="978"/>
      <c r="I23" s="736">
        <f t="shared" si="4"/>
        <v>0</v>
      </c>
      <c r="J23" s="736">
        <f t="shared" si="1"/>
        <v>0</v>
      </c>
      <c r="K23" s="736">
        <f t="shared" si="1"/>
        <v>0</v>
      </c>
      <c r="L23" s="736">
        <f t="shared" si="1"/>
        <v>0</v>
      </c>
      <c r="M23" s="736">
        <f t="shared" si="1"/>
        <v>0</v>
      </c>
      <c r="N23" s="736">
        <f t="shared" si="1"/>
        <v>0</v>
      </c>
      <c r="O23" s="736">
        <f t="shared" si="1"/>
        <v>0</v>
      </c>
      <c r="P23" s="736">
        <f t="shared" si="1"/>
        <v>0</v>
      </c>
      <c r="Q23" s="736">
        <f t="shared" si="1"/>
        <v>0</v>
      </c>
      <c r="R23" s="734">
        <f t="shared" si="1"/>
        <v>0</v>
      </c>
      <c r="S23" s="734">
        <f t="shared" si="5"/>
        <v>0</v>
      </c>
      <c r="T23" s="734">
        <f t="shared" si="5"/>
        <v>0</v>
      </c>
      <c r="U23" s="734">
        <f t="shared" si="5"/>
        <v>0</v>
      </c>
      <c r="V23" s="734">
        <f t="shared" si="5"/>
        <v>0</v>
      </c>
      <c r="W23" s="734">
        <f t="shared" si="5"/>
        <v>0</v>
      </c>
      <c r="X23" s="734">
        <f t="shared" si="5"/>
        <v>0</v>
      </c>
      <c r="Y23" s="734">
        <f t="shared" si="5"/>
        <v>0</v>
      </c>
      <c r="Z23" s="734">
        <f t="shared" si="5"/>
        <v>0</v>
      </c>
      <c r="AA23" s="734">
        <f t="shared" si="5"/>
        <v>0</v>
      </c>
      <c r="AB23" s="734">
        <f t="shared" si="5"/>
        <v>0</v>
      </c>
      <c r="AC23" s="734">
        <f t="shared" si="6"/>
        <v>0</v>
      </c>
      <c r="AD23" s="734">
        <f t="shared" si="6"/>
        <v>0</v>
      </c>
      <c r="AE23" s="734">
        <f t="shared" si="6"/>
        <v>0</v>
      </c>
      <c r="AF23" s="734">
        <f t="shared" si="6"/>
        <v>0</v>
      </c>
      <c r="AG23" s="734">
        <f t="shared" si="6"/>
        <v>0</v>
      </c>
      <c r="AH23" s="734">
        <f t="shared" si="6"/>
        <v>0</v>
      </c>
      <c r="AI23" s="734">
        <f t="shared" si="6"/>
        <v>0</v>
      </c>
      <c r="AJ23" s="734">
        <f t="shared" si="6"/>
        <v>0</v>
      </c>
      <c r="AK23" s="734">
        <f t="shared" si="6"/>
        <v>0</v>
      </c>
      <c r="AL23" s="734">
        <f t="shared" si="6"/>
        <v>0</v>
      </c>
      <c r="AM23" s="734">
        <f t="shared" si="7"/>
        <v>0</v>
      </c>
      <c r="AN23" s="734">
        <f t="shared" si="7"/>
        <v>0</v>
      </c>
      <c r="AO23" s="734">
        <f t="shared" si="7"/>
        <v>0</v>
      </c>
      <c r="AP23" s="734">
        <f t="shared" si="7"/>
        <v>0</v>
      </c>
      <c r="AQ23" s="734">
        <f t="shared" si="7"/>
        <v>0</v>
      </c>
      <c r="AR23" s="734">
        <f t="shared" si="7"/>
        <v>0</v>
      </c>
      <c r="AS23" s="734">
        <f t="shared" si="7"/>
        <v>0</v>
      </c>
      <c r="AT23" s="734">
        <f t="shared" si="7"/>
        <v>0</v>
      </c>
      <c r="AU23" s="734">
        <f t="shared" si="7"/>
        <v>0</v>
      </c>
      <c r="AV23" s="734">
        <f t="shared" si="7"/>
        <v>0</v>
      </c>
      <c r="AW23" s="734">
        <f t="shared" si="8"/>
        <v>0</v>
      </c>
      <c r="AX23" s="734">
        <f t="shared" si="8"/>
        <v>0</v>
      </c>
      <c r="AY23" s="734">
        <f t="shared" si="8"/>
        <v>0</v>
      </c>
      <c r="AZ23" s="734">
        <f t="shared" si="8"/>
        <v>0</v>
      </c>
      <c r="BA23" s="734">
        <f t="shared" si="8"/>
        <v>0</v>
      </c>
      <c r="BB23" s="734">
        <f t="shared" si="8"/>
        <v>0</v>
      </c>
      <c r="BC23" s="734">
        <f t="shared" si="8"/>
        <v>0</v>
      </c>
      <c r="BD23" s="734">
        <f t="shared" si="8"/>
        <v>0</v>
      </c>
      <c r="BE23" s="734">
        <f t="shared" si="8"/>
        <v>0</v>
      </c>
      <c r="BF23" s="734">
        <f t="shared" si="8"/>
        <v>0</v>
      </c>
      <c r="BG23" s="734">
        <f t="shared" si="9"/>
        <v>0</v>
      </c>
      <c r="BH23" s="734">
        <f t="shared" si="9"/>
        <v>0</v>
      </c>
      <c r="BI23" s="734">
        <f t="shared" si="9"/>
        <v>0</v>
      </c>
      <c r="BJ23" s="734">
        <f t="shared" si="9"/>
        <v>0</v>
      </c>
      <c r="BK23" s="734">
        <f t="shared" si="9"/>
        <v>0</v>
      </c>
      <c r="BL23" s="734">
        <f t="shared" si="9"/>
        <v>0</v>
      </c>
      <c r="BM23" s="734">
        <f t="shared" si="9"/>
        <v>0</v>
      </c>
      <c r="BN23" s="734">
        <f t="shared" si="9"/>
        <v>0</v>
      </c>
      <c r="BO23" s="734">
        <f t="shared" si="9"/>
        <v>0</v>
      </c>
      <c r="BP23" s="734">
        <f t="shared" si="9"/>
        <v>0</v>
      </c>
    </row>
    <row r="24" spans="1:68">
      <c r="A24" s="421" t="s">
        <v>205</v>
      </c>
      <c r="B24" s="418"/>
      <c r="C24" s="955" t="str">
        <f>IF($B24&lt;&gt;"",VLOOKUP($B24,COSTS_Cannon[#All],2),"")</f>
        <v/>
      </c>
      <c r="D24" s="987" t="str">
        <f>IF($B24&lt;&gt;"",VLOOKUP($B24,COSTS_Cannon[#All],3)/24,"")</f>
        <v/>
      </c>
      <c r="E24" s="991"/>
      <c r="F24" s="992"/>
      <c r="G24" s="982" t="str">
        <f t="shared" ref="G24:G33" si="13">IF($D24&lt;&gt;"",$D24,"")</f>
        <v/>
      </c>
      <c r="H24" s="979"/>
      <c r="I24" s="736">
        <f t="shared" si="4"/>
        <v>0</v>
      </c>
      <c r="J24" s="736">
        <f t="shared" si="1"/>
        <v>0</v>
      </c>
      <c r="K24" s="736">
        <f t="shared" si="1"/>
        <v>0</v>
      </c>
      <c r="L24" s="736">
        <f t="shared" si="1"/>
        <v>0</v>
      </c>
      <c r="M24" s="736">
        <f t="shared" si="1"/>
        <v>0</v>
      </c>
      <c r="N24" s="736">
        <f t="shared" si="1"/>
        <v>0</v>
      </c>
      <c r="O24" s="736">
        <f t="shared" si="1"/>
        <v>0</v>
      </c>
      <c r="P24" s="736">
        <f t="shared" si="1"/>
        <v>0</v>
      </c>
      <c r="Q24" s="736">
        <f t="shared" si="1"/>
        <v>0</v>
      </c>
      <c r="R24" s="734">
        <f t="shared" si="1"/>
        <v>0</v>
      </c>
      <c r="S24" s="734">
        <f t="shared" si="5"/>
        <v>0</v>
      </c>
      <c r="T24" s="734">
        <f t="shared" si="5"/>
        <v>0</v>
      </c>
      <c r="U24" s="734">
        <f t="shared" si="5"/>
        <v>0</v>
      </c>
      <c r="V24" s="734">
        <f t="shared" si="5"/>
        <v>0</v>
      </c>
      <c r="W24" s="734">
        <f t="shared" si="5"/>
        <v>0</v>
      </c>
      <c r="X24" s="734">
        <f t="shared" si="5"/>
        <v>0</v>
      </c>
      <c r="Y24" s="734">
        <f t="shared" si="5"/>
        <v>0</v>
      </c>
      <c r="Z24" s="734">
        <f t="shared" si="5"/>
        <v>0</v>
      </c>
      <c r="AA24" s="734">
        <f t="shared" si="5"/>
        <v>0</v>
      </c>
      <c r="AB24" s="734">
        <f t="shared" si="5"/>
        <v>0</v>
      </c>
      <c r="AC24" s="734">
        <f t="shared" si="6"/>
        <v>0</v>
      </c>
      <c r="AD24" s="734">
        <f t="shared" si="6"/>
        <v>0</v>
      </c>
      <c r="AE24" s="734">
        <f t="shared" si="6"/>
        <v>0</v>
      </c>
      <c r="AF24" s="734">
        <f t="shared" si="6"/>
        <v>0</v>
      </c>
      <c r="AG24" s="734">
        <f t="shared" si="6"/>
        <v>0</v>
      </c>
      <c r="AH24" s="734">
        <f t="shared" si="6"/>
        <v>0</v>
      </c>
      <c r="AI24" s="734">
        <f t="shared" si="6"/>
        <v>0</v>
      </c>
      <c r="AJ24" s="734">
        <f t="shared" si="6"/>
        <v>0</v>
      </c>
      <c r="AK24" s="734">
        <f t="shared" si="6"/>
        <v>0</v>
      </c>
      <c r="AL24" s="734">
        <f t="shared" si="6"/>
        <v>0</v>
      </c>
      <c r="AM24" s="734">
        <f t="shared" si="7"/>
        <v>0</v>
      </c>
      <c r="AN24" s="734">
        <f t="shared" si="7"/>
        <v>0</v>
      </c>
      <c r="AO24" s="734">
        <f t="shared" si="7"/>
        <v>0</v>
      </c>
      <c r="AP24" s="734">
        <f t="shared" si="7"/>
        <v>0</v>
      </c>
      <c r="AQ24" s="734">
        <f t="shared" si="7"/>
        <v>0</v>
      </c>
      <c r="AR24" s="734">
        <f t="shared" si="7"/>
        <v>0</v>
      </c>
      <c r="AS24" s="734">
        <f t="shared" si="7"/>
        <v>0</v>
      </c>
      <c r="AT24" s="734">
        <f t="shared" si="7"/>
        <v>0</v>
      </c>
      <c r="AU24" s="734">
        <f t="shared" si="7"/>
        <v>0</v>
      </c>
      <c r="AV24" s="734">
        <f t="shared" si="7"/>
        <v>0</v>
      </c>
      <c r="AW24" s="734">
        <f t="shared" si="8"/>
        <v>0</v>
      </c>
      <c r="AX24" s="734">
        <f t="shared" si="8"/>
        <v>0</v>
      </c>
      <c r="AY24" s="734">
        <f t="shared" si="8"/>
        <v>0</v>
      </c>
      <c r="AZ24" s="734">
        <f t="shared" si="8"/>
        <v>0</v>
      </c>
      <c r="BA24" s="734">
        <f t="shared" si="8"/>
        <v>0</v>
      </c>
      <c r="BB24" s="734">
        <f t="shared" si="8"/>
        <v>0</v>
      </c>
      <c r="BC24" s="734">
        <f t="shared" si="8"/>
        <v>0</v>
      </c>
      <c r="BD24" s="734">
        <f t="shared" si="8"/>
        <v>0</v>
      </c>
      <c r="BE24" s="734">
        <f t="shared" si="8"/>
        <v>0</v>
      </c>
      <c r="BF24" s="734">
        <f t="shared" si="8"/>
        <v>0</v>
      </c>
      <c r="BG24" s="734">
        <f t="shared" si="9"/>
        <v>0</v>
      </c>
      <c r="BH24" s="734">
        <f t="shared" si="9"/>
        <v>0</v>
      </c>
      <c r="BI24" s="734">
        <f t="shared" si="9"/>
        <v>0</v>
      </c>
      <c r="BJ24" s="734">
        <f t="shared" si="9"/>
        <v>0</v>
      </c>
      <c r="BK24" s="734">
        <f t="shared" si="9"/>
        <v>0</v>
      </c>
      <c r="BL24" s="734">
        <f t="shared" si="9"/>
        <v>0</v>
      </c>
      <c r="BM24" s="734">
        <f t="shared" si="9"/>
        <v>0</v>
      </c>
      <c r="BN24" s="734">
        <f t="shared" si="9"/>
        <v>0</v>
      </c>
      <c r="BO24" s="734">
        <f t="shared" si="9"/>
        <v>0</v>
      </c>
      <c r="BP24" s="734">
        <f t="shared" si="9"/>
        <v>0</v>
      </c>
    </row>
    <row r="25" spans="1:68">
      <c r="A25" s="421" t="s">
        <v>204</v>
      </c>
      <c r="B25" s="418"/>
      <c r="C25" s="955" t="str">
        <f>IF($B25&lt;&gt;"",VLOOKUP($B25,COSTS_Archer_Tower[#All],2),"")</f>
        <v/>
      </c>
      <c r="D25" s="987" t="str">
        <f>IF($B25&lt;&gt;"",VLOOKUP($B25,COSTS_Archer_Tower[#All],3)/24,"")</f>
        <v/>
      </c>
      <c r="E25" s="991"/>
      <c r="F25" s="992"/>
      <c r="G25" s="982" t="str">
        <f t="shared" si="13"/>
        <v/>
      </c>
      <c r="H25" s="979"/>
      <c r="I25" s="736">
        <f t="shared" si="4"/>
        <v>0</v>
      </c>
      <c r="J25" s="736">
        <f t="shared" si="4"/>
        <v>0</v>
      </c>
      <c r="K25" s="736">
        <f t="shared" si="4"/>
        <v>0</v>
      </c>
      <c r="L25" s="736">
        <f t="shared" si="4"/>
        <v>0</v>
      </c>
      <c r="M25" s="736">
        <f t="shared" si="4"/>
        <v>0</v>
      </c>
      <c r="N25" s="736">
        <f t="shared" si="4"/>
        <v>0</v>
      </c>
      <c r="O25" s="736">
        <f t="shared" si="4"/>
        <v>0</v>
      </c>
      <c r="P25" s="736">
        <f t="shared" si="4"/>
        <v>0</v>
      </c>
      <c r="Q25" s="736">
        <f t="shared" si="4"/>
        <v>0</v>
      </c>
      <c r="R25" s="734">
        <f t="shared" si="4"/>
        <v>0</v>
      </c>
      <c r="S25" s="734">
        <f t="shared" si="5"/>
        <v>0</v>
      </c>
      <c r="T25" s="734">
        <f t="shared" si="5"/>
        <v>0</v>
      </c>
      <c r="U25" s="734">
        <f t="shared" si="5"/>
        <v>0</v>
      </c>
      <c r="V25" s="734">
        <f t="shared" si="5"/>
        <v>0</v>
      </c>
      <c r="W25" s="734">
        <f t="shared" si="5"/>
        <v>0</v>
      </c>
      <c r="X25" s="734">
        <f t="shared" si="5"/>
        <v>0</v>
      </c>
      <c r="Y25" s="734">
        <f t="shared" si="5"/>
        <v>0</v>
      </c>
      <c r="Z25" s="734">
        <f t="shared" si="5"/>
        <v>0</v>
      </c>
      <c r="AA25" s="734">
        <f t="shared" si="5"/>
        <v>0</v>
      </c>
      <c r="AB25" s="734">
        <f t="shared" si="5"/>
        <v>0</v>
      </c>
      <c r="AC25" s="734">
        <f t="shared" si="6"/>
        <v>0</v>
      </c>
      <c r="AD25" s="734">
        <f t="shared" si="6"/>
        <v>0</v>
      </c>
      <c r="AE25" s="734">
        <f t="shared" si="6"/>
        <v>0</v>
      </c>
      <c r="AF25" s="734">
        <f t="shared" si="6"/>
        <v>0</v>
      </c>
      <c r="AG25" s="734">
        <f t="shared" si="6"/>
        <v>0</v>
      </c>
      <c r="AH25" s="734">
        <f t="shared" si="6"/>
        <v>0</v>
      </c>
      <c r="AI25" s="734">
        <f t="shared" si="6"/>
        <v>0</v>
      </c>
      <c r="AJ25" s="734">
        <f t="shared" si="6"/>
        <v>0</v>
      </c>
      <c r="AK25" s="734">
        <f t="shared" si="6"/>
        <v>0</v>
      </c>
      <c r="AL25" s="734">
        <f t="shared" si="6"/>
        <v>0</v>
      </c>
      <c r="AM25" s="734">
        <f t="shared" si="7"/>
        <v>0</v>
      </c>
      <c r="AN25" s="734">
        <f t="shared" si="7"/>
        <v>0</v>
      </c>
      <c r="AO25" s="734">
        <f t="shared" si="7"/>
        <v>0</v>
      </c>
      <c r="AP25" s="734">
        <f t="shared" si="7"/>
        <v>0</v>
      </c>
      <c r="AQ25" s="734">
        <f t="shared" si="7"/>
        <v>0</v>
      </c>
      <c r="AR25" s="734">
        <f t="shared" si="7"/>
        <v>0</v>
      </c>
      <c r="AS25" s="734">
        <f t="shared" si="7"/>
        <v>0</v>
      </c>
      <c r="AT25" s="734">
        <f t="shared" si="7"/>
        <v>0</v>
      </c>
      <c r="AU25" s="734">
        <f t="shared" si="7"/>
        <v>0</v>
      </c>
      <c r="AV25" s="734">
        <f t="shared" si="7"/>
        <v>0</v>
      </c>
      <c r="AW25" s="734">
        <f t="shared" si="8"/>
        <v>0</v>
      </c>
      <c r="AX25" s="734">
        <f t="shared" si="8"/>
        <v>0</v>
      </c>
      <c r="AY25" s="734">
        <f t="shared" si="8"/>
        <v>0</v>
      </c>
      <c r="AZ25" s="734">
        <f t="shared" si="8"/>
        <v>0</v>
      </c>
      <c r="BA25" s="734">
        <f t="shared" si="8"/>
        <v>0</v>
      </c>
      <c r="BB25" s="734">
        <f t="shared" si="8"/>
        <v>0</v>
      </c>
      <c r="BC25" s="734">
        <f t="shared" si="8"/>
        <v>0</v>
      </c>
      <c r="BD25" s="734">
        <f t="shared" si="8"/>
        <v>0</v>
      </c>
      <c r="BE25" s="734">
        <f t="shared" si="8"/>
        <v>0</v>
      </c>
      <c r="BF25" s="734">
        <f t="shared" si="8"/>
        <v>0</v>
      </c>
      <c r="BG25" s="734">
        <f t="shared" si="9"/>
        <v>0</v>
      </c>
      <c r="BH25" s="734">
        <f t="shared" si="9"/>
        <v>0</v>
      </c>
      <c r="BI25" s="734">
        <f t="shared" si="9"/>
        <v>0</v>
      </c>
      <c r="BJ25" s="734">
        <f t="shared" si="9"/>
        <v>0</v>
      </c>
      <c r="BK25" s="734">
        <f t="shared" si="9"/>
        <v>0</v>
      </c>
      <c r="BL25" s="734">
        <f t="shared" si="9"/>
        <v>0</v>
      </c>
      <c r="BM25" s="734">
        <f t="shared" si="9"/>
        <v>0</v>
      </c>
      <c r="BN25" s="734">
        <f t="shared" si="9"/>
        <v>0</v>
      </c>
      <c r="BO25" s="734">
        <f t="shared" si="9"/>
        <v>0</v>
      </c>
      <c r="BP25" s="734">
        <f t="shared" si="9"/>
        <v>0</v>
      </c>
    </row>
    <row r="26" spans="1:68">
      <c r="A26" s="421" t="s">
        <v>203</v>
      </c>
      <c r="B26" s="418"/>
      <c r="C26" s="955" t="str">
        <f>IF($B26&lt;&gt;"",VLOOKUP($B26,COSTS_Mortar[#All],2),"")</f>
        <v/>
      </c>
      <c r="D26" s="987" t="str">
        <f>IF($B26&lt;&gt;"",VLOOKUP($B26,COSTS_Mortar[#All],3)/24,"")</f>
        <v/>
      </c>
      <c r="E26" s="991"/>
      <c r="F26" s="992"/>
      <c r="G26" s="982" t="str">
        <f t="shared" si="13"/>
        <v/>
      </c>
      <c r="H26" s="979"/>
      <c r="I26" s="736">
        <f t="shared" si="4"/>
        <v>0</v>
      </c>
      <c r="J26" s="736">
        <f t="shared" si="4"/>
        <v>0</v>
      </c>
      <c r="K26" s="736">
        <f t="shared" si="4"/>
        <v>0</v>
      </c>
      <c r="L26" s="736">
        <f t="shared" si="4"/>
        <v>0</v>
      </c>
      <c r="M26" s="736">
        <f t="shared" si="4"/>
        <v>0</v>
      </c>
      <c r="N26" s="736">
        <f t="shared" si="4"/>
        <v>0</v>
      </c>
      <c r="O26" s="736">
        <f t="shared" si="4"/>
        <v>0</v>
      </c>
      <c r="P26" s="736">
        <f t="shared" si="4"/>
        <v>0</v>
      </c>
      <c r="Q26" s="736">
        <f t="shared" si="4"/>
        <v>0</v>
      </c>
      <c r="R26" s="734">
        <f t="shared" si="4"/>
        <v>0</v>
      </c>
      <c r="S26" s="734">
        <f t="shared" si="4"/>
        <v>0</v>
      </c>
      <c r="T26" s="734">
        <f t="shared" si="4"/>
        <v>0</v>
      </c>
      <c r="U26" s="734">
        <f t="shared" si="4"/>
        <v>0</v>
      </c>
      <c r="V26" s="734">
        <f t="shared" si="4"/>
        <v>0</v>
      </c>
      <c r="W26" s="734">
        <f t="shared" si="4"/>
        <v>0</v>
      </c>
      <c r="X26" s="734">
        <f t="shared" si="4"/>
        <v>0</v>
      </c>
      <c r="Y26" s="734">
        <f t="shared" ref="Y26:AN42" si="14">IF(ISERROR(Plan),0,Plan)</f>
        <v>0</v>
      </c>
      <c r="Z26" s="734">
        <f t="shared" si="14"/>
        <v>0</v>
      </c>
      <c r="AA26" s="734">
        <f t="shared" si="14"/>
        <v>0</v>
      </c>
      <c r="AB26" s="734">
        <f t="shared" si="14"/>
        <v>0</v>
      </c>
      <c r="AC26" s="734">
        <f t="shared" si="14"/>
        <v>0</v>
      </c>
      <c r="AD26" s="734">
        <f t="shared" si="14"/>
        <v>0</v>
      </c>
      <c r="AE26" s="734">
        <f t="shared" si="14"/>
        <v>0</v>
      </c>
      <c r="AF26" s="734">
        <f t="shared" si="14"/>
        <v>0</v>
      </c>
      <c r="AG26" s="734">
        <f t="shared" si="14"/>
        <v>0</v>
      </c>
      <c r="AH26" s="734">
        <f t="shared" si="14"/>
        <v>0</v>
      </c>
      <c r="AI26" s="734">
        <f t="shared" si="14"/>
        <v>0</v>
      </c>
      <c r="AJ26" s="734">
        <f t="shared" si="14"/>
        <v>0</v>
      </c>
      <c r="AK26" s="734">
        <f t="shared" si="14"/>
        <v>0</v>
      </c>
      <c r="AL26" s="734">
        <f t="shared" si="14"/>
        <v>0</v>
      </c>
      <c r="AM26" s="734">
        <f t="shared" si="14"/>
        <v>0</v>
      </c>
      <c r="AN26" s="734">
        <f t="shared" si="14"/>
        <v>0</v>
      </c>
      <c r="AO26" s="734">
        <f t="shared" ref="AO26:BD42" si="15">IF(ISERROR(Plan),0,Plan)</f>
        <v>0</v>
      </c>
      <c r="AP26" s="734">
        <f t="shared" si="15"/>
        <v>0</v>
      </c>
      <c r="AQ26" s="734">
        <f t="shared" si="15"/>
        <v>0</v>
      </c>
      <c r="AR26" s="734">
        <f t="shared" si="15"/>
        <v>0</v>
      </c>
      <c r="AS26" s="734">
        <f t="shared" si="15"/>
        <v>0</v>
      </c>
      <c r="AT26" s="734">
        <f t="shared" si="15"/>
        <v>0</v>
      </c>
      <c r="AU26" s="734">
        <f t="shared" si="15"/>
        <v>0</v>
      </c>
      <c r="AV26" s="734">
        <f t="shared" si="15"/>
        <v>0</v>
      </c>
      <c r="AW26" s="734">
        <f t="shared" si="15"/>
        <v>0</v>
      </c>
      <c r="AX26" s="734">
        <f t="shared" si="15"/>
        <v>0</v>
      </c>
      <c r="AY26" s="734">
        <f t="shared" si="15"/>
        <v>0</v>
      </c>
      <c r="AZ26" s="734">
        <f t="shared" si="15"/>
        <v>0</v>
      </c>
      <c r="BA26" s="734">
        <f t="shared" si="15"/>
        <v>0</v>
      </c>
      <c r="BB26" s="734">
        <f t="shared" si="15"/>
        <v>0</v>
      </c>
      <c r="BC26" s="734">
        <f t="shared" si="15"/>
        <v>0</v>
      </c>
      <c r="BD26" s="734">
        <f t="shared" si="15"/>
        <v>0</v>
      </c>
      <c r="BE26" s="734">
        <f t="shared" ref="BE26:BP52" si="16">IF(ISERROR(Plan),0,Plan)</f>
        <v>0</v>
      </c>
      <c r="BF26" s="734">
        <f t="shared" si="16"/>
        <v>0</v>
      </c>
      <c r="BG26" s="734">
        <f t="shared" si="16"/>
        <v>0</v>
      </c>
      <c r="BH26" s="734">
        <f t="shared" si="16"/>
        <v>0</v>
      </c>
      <c r="BI26" s="734">
        <f t="shared" si="16"/>
        <v>0</v>
      </c>
      <c r="BJ26" s="734">
        <f t="shared" si="16"/>
        <v>0</v>
      </c>
      <c r="BK26" s="734">
        <f t="shared" si="16"/>
        <v>0</v>
      </c>
      <c r="BL26" s="734">
        <f t="shared" si="16"/>
        <v>0</v>
      </c>
      <c r="BM26" s="734">
        <f t="shared" si="16"/>
        <v>0</v>
      </c>
      <c r="BN26" s="734">
        <f t="shared" si="16"/>
        <v>0</v>
      </c>
      <c r="BO26" s="734">
        <f t="shared" si="16"/>
        <v>0</v>
      </c>
      <c r="BP26" s="734">
        <f t="shared" si="16"/>
        <v>0</v>
      </c>
    </row>
    <row r="27" spans="1:68">
      <c r="A27" s="421" t="s">
        <v>202</v>
      </c>
      <c r="B27" s="418"/>
      <c r="C27" s="955" t="str">
        <f>IF($B27&lt;&gt;"",VLOOKUP($B27,COSTS_Air_Defense[#All],2),"")</f>
        <v/>
      </c>
      <c r="D27" s="987" t="str">
        <f>IF($B27&lt;&gt;"",VLOOKUP($B27,COSTS_Air_Defense[#All],3)/24,"")</f>
        <v/>
      </c>
      <c r="E27" s="991"/>
      <c r="F27" s="992"/>
      <c r="G27" s="982" t="str">
        <f t="shared" si="13"/>
        <v/>
      </c>
      <c r="H27" s="979"/>
      <c r="I27" s="736">
        <f t="shared" si="4"/>
        <v>0</v>
      </c>
      <c r="J27" s="736">
        <f t="shared" si="4"/>
        <v>0</v>
      </c>
      <c r="K27" s="736">
        <f t="shared" si="4"/>
        <v>0</v>
      </c>
      <c r="L27" s="736">
        <f t="shared" si="4"/>
        <v>0</v>
      </c>
      <c r="M27" s="736">
        <f t="shared" si="4"/>
        <v>0</v>
      </c>
      <c r="N27" s="736">
        <f t="shared" si="4"/>
        <v>0</v>
      </c>
      <c r="O27" s="736">
        <f t="shared" si="4"/>
        <v>0</v>
      </c>
      <c r="P27" s="736">
        <f t="shared" si="4"/>
        <v>0</v>
      </c>
      <c r="Q27" s="736">
        <f t="shared" si="4"/>
        <v>0</v>
      </c>
      <c r="R27" s="734">
        <f t="shared" si="4"/>
        <v>0</v>
      </c>
      <c r="S27" s="734">
        <f t="shared" si="4"/>
        <v>0</v>
      </c>
      <c r="T27" s="734">
        <f t="shared" si="4"/>
        <v>0</v>
      </c>
      <c r="U27" s="734">
        <f t="shared" si="4"/>
        <v>0</v>
      </c>
      <c r="V27" s="734">
        <f t="shared" si="4"/>
        <v>0</v>
      </c>
      <c r="W27" s="734">
        <f t="shared" si="4"/>
        <v>0</v>
      </c>
      <c r="X27" s="734">
        <f t="shared" si="4"/>
        <v>0</v>
      </c>
      <c r="Y27" s="734">
        <f t="shared" si="14"/>
        <v>0</v>
      </c>
      <c r="Z27" s="734">
        <f t="shared" si="14"/>
        <v>0</v>
      </c>
      <c r="AA27" s="734">
        <f t="shared" si="14"/>
        <v>0</v>
      </c>
      <c r="AB27" s="734">
        <f t="shared" si="14"/>
        <v>0</v>
      </c>
      <c r="AC27" s="734">
        <f t="shared" si="14"/>
        <v>0</v>
      </c>
      <c r="AD27" s="734">
        <f t="shared" si="14"/>
        <v>0</v>
      </c>
      <c r="AE27" s="734">
        <f t="shared" si="14"/>
        <v>0</v>
      </c>
      <c r="AF27" s="734">
        <f t="shared" si="14"/>
        <v>0</v>
      </c>
      <c r="AG27" s="734">
        <f t="shared" si="14"/>
        <v>0</v>
      </c>
      <c r="AH27" s="734">
        <f t="shared" si="14"/>
        <v>0</v>
      </c>
      <c r="AI27" s="734">
        <f t="shared" si="14"/>
        <v>0</v>
      </c>
      <c r="AJ27" s="734">
        <f t="shared" si="14"/>
        <v>0</v>
      </c>
      <c r="AK27" s="734">
        <f t="shared" si="14"/>
        <v>0</v>
      </c>
      <c r="AL27" s="734">
        <f t="shared" si="14"/>
        <v>0</v>
      </c>
      <c r="AM27" s="734">
        <f t="shared" si="14"/>
        <v>0</v>
      </c>
      <c r="AN27" s="734">
        <f t="shared" si="14"/>
        <v>0</v>
      </c>
      <c r="AO27" s="734">
        <f t="shared" si="15"/>
        <v>0</v>
      </c>
      <c r="AP27" s="734">
        <f t="shared" si="15"/>
        <v>0</v>
      </c>
      <c r="AQ27" s="734">
        <f t="shared" si="15"/>
        <v>0</v>
      </c>
      <c r="AR27" s="734">
        <f t="shared" si="15"/>
        <v>0</v>
      </c>
      <c r="AS27" s="734">
        <f t="shared" si="15"/>
        <v>0</v>
      </c>
      <c r="AT27" s="734">
        <f t="shared" si="15"/>
        <v>0</v>
      </c>
      <c r="AU27" s="734">
        <f t="shared" si="15"/>
        <v>0</v>
      </c>
      <c r="AV27" s="734">
        <f t="shared" si="15"/>
        <v>0</v>
      </c>
      <c r="AW27" s="734">
        <f t="shared" si="15"/>
        <v>0</v>
      </c>
      <c r="AX27" s="734">
        <f t="shared" si="15"/>
        <v>0</v>
      </c>
      <c r="AY27" s="734">
        <f t="shared" si="15"/>
        <v>0</v>
      </c>
      <c r="AZ27" s="734">
        <f t="shared" si="15"/>
        <v>0</v>
      </c>
      <c r="BA27" s="734">
        <f t="shared" si="15"/>
        <v>0</v>
      </c>
      <c r="BB27" s="734">
        <f t="shared" si="15"/>
        <v>0</v>
      </c>
      <c r="BC27" s="734">
        <f t="shared" si="15"/>
        <v>0</v>
      </c>
      <c r="BD27" s="734">
        <f t="shared" si="15"/>
        <v>0</v>
      </c>
      <c r="BE27" s="734">
        <f t="shared" si="16"/>
        <v>0</v>
      </c>
      <c r="BF27" s="734">
        <f t="shared" si="16"/>
        <v>0</v>
      </c>
      <c r="BG27" s="734">
        <f t="shared" si="16"/>
        <v>0</v>
      </c>
      <c r="BH27" s="734">
        <f t="shared" si="16"/>
        <v>0</v>
      </c>
      <c r="BI27" s="734">
        <f t="shared" si="16"/>
        <v>0</v>
      </c>
      <c r="BJ27" s="734">
        <f t="shared" si="16"/>
        <v>0</v>
      </c>
      <c r="BK27" s="734">
        <f t="shared" si="16"/>
        <v>0</v>
      </c>
      <c r="BL27" s="734">
        <f t="shared" si="16"/>
        <v>0</v>
      </c>
      <c r="BM27" s="734">
        <f t="shared" si="16"/>
        <v>0</v>
      </c>
      <c r="BN27" s="734">
        <f t="shared" si="16"/>
        <v>0</v>
      </c>
      <c r="BO27" s="734">
        <f t="shared" si="16"/>
        <v>0</v>
      </c>
      <c r="BP27" s="734">
        <f t="shared" si="16"/>
        <v>0</v>
      </c>
    </row>
    <row r="28" spans="1:68">
      <c r="A28" s="421" t="s">
        <v>454</v>
      </c>
      <c r="B28" s="418"/>
      <c r="C28" s="955" t="str">
        <f>IF($B28&lt;&gt;"",VLOOKUP($B28,COSTS_Wizard_Tower[#All],2),"")</f>
        <v/>
      </c>
      <c r="D28" s="987" t="str">
        <f>IF($B28&lt;&gt;"",VLOOKUP($B28,COSTS_Wizard_Tower[#All],3)/24,"")</f>
        <v/>
      </c>
      <c r="E28" s="991"/>
      <c r="F28" s="992"/>
      <c r="G28" s="982" t="str">
        <f t="shared" si="13"/>
        <v/>
      </c>
      <c r="H28" s="979"/>
      <c r="I28" s="736">
        <f t="shared" si="4"/>
        <v>0</v>
      </c>
      <c r="J28" s="736">
        <f t="shared" si="4"/>
        <v>0</v>
      </c>
      <c r="K28" s="736">
        <f t="shared" si="4"/>
        <v>0</v>
      </c>
      <c r="L28" s="736">
        <f t="shared" si="4"/>
        <v>0</v>
      </c>
      <c r="M28" s="736">
        <f t="shared" si="4"/>
        <v>0</v>
      </c>
      <c r="N28" s="736">
        <f t="shared" si="4"/>
        <v>0</v>
      </c>
      <c r="O28" s="736">
        <f t="shared" si="4"/>
        <v>0</v>
      </c>
      <c r="P28" s="736">
        <f t="shared" si="4"/>
        <v>0</v>
      </c>
      <c r="Q28" s="736">
        <f t="shared" si="4"/>
        <v>0</v>
      </c>
      <c r="R28" s="734">
        <f t="shared" si="4"/>
        <v>0</v>
      </c>
      <c r="S28" s="734">
        <f t="shared" si="4"/>
        <v>0</v>
      </c>
      <c r="T28" s="734">
        <f t="shared" si="4"/>
        <v>0</v>
      </c>
      <c r="U28" s="734">
        <f t="shared" si="4"/>
        <v>0</v>
      </c>
      <c r="V28" s="734">
        <f t="shared" si="4"/>
        <v>0</v>
      </c>
      <c r="W28" s="734">
        <f t="shared" si="4"/>
        <v>0</v>
      </c>
      <c r="X28" s="734">
        <f t="shared" si="4"/>
        <v>0</v>
      </c>
      <c r="Y28" s="734">
        <f t="shared" si="14"/>
        <v>0</v>
      </c>
      <c r="Z28" s="734">
        <f t="shared" si="14"/>
        <v>0</v>
      </c>
      <c r="AA28" s="734">
        <f t="shared" si="14"/>
        <v>0</v>
      </c>
      <c r="AB28" s="734">
        <f t="shared" si="14"/>
        <v>0</v>
      </c>
      <c r="AC28" s="734">
        <f t="shared" si="14"/>
        <v>0</v>
      </c>
      <c r="AD28" s="734">
        <f t="shared" si="14"/>
        <v>0</v>
      </c>
      <c r="AE28" s="734">
        <f t="shared" si="14"/>
        <v>0</v>
      </c>
      <c r="AF28" s="734">
        <f t="shared" si="14"/>
        <v>0</v>
      </c>
      <c r="AG28" s="734">
        <f t="shared" si="14"/>
        <v>0</v>
      </c>
      <c r="AH28" s="734">
        <f t="shared" si="14"/>
        <v>0</v>
      </c>
      <c r="AI28" s="734">
        <f t="shared" si="14"/>
        <v>0</v>
      </c>
      <c r="AJ28" s="734">
        <f t="shared" si="14"/>
        <v>0</v>
      </c>
      <c r="AK28" s="734">
        <f t="shared" si="14"/>
        <v>0</v>
      </c>
      <c r="AL28" s="734">
        <f t="shared" si="14"/>
        <v>0</v>
      </c>
      <c r="AM28" s="734">
        <f t="shared" si="14"/>
        <v>0</v>
      </c>
      <c r="AN28" s="734">
        <f t="shared" si="14"/>
        <v>0</v>
      </c>
      <c r="AO28" s="734">
        <f t="shared" si="15"/>
        <v>0</v>
      </c>
      <c r="AP28" s="734">
        <f t="shared" si="15"/>
        <v>0</v>
      </c>
      <c r="AQ28" s="734">
        <f t="shared" si="15"/>
        <v>0</v>
      </c>
      <c r="AR28" s="734">
        <f t="shared" si="15"/>
        <v>0</v>
      </c>
      <c r="AS28" s="734">
        <f t="shared" si="15"/>
        <v>0</v>
      </c>
      <c r="AT28" s="734">
        <f t="shared" si="15"/>
        <v>0</v>
      </c>
      <c r="AU28" s="734">
        <f t="shared" si="15"/>
        <v>0</v>
      </c>
      <c r="AV28" s="734">
        <f t="shared" si="15"/>
        <v>0</v>
      </c>
      <c r="AW28" s="734">
        <f t="shared" si="15"/>
        <v>0</v>
      </c>
      <c r="AX28" s="734">
        <f t="shared" si="15"/>
        <v>0</v>
      </c>
      <c r="AY28" s="734">
        <f t="shared" si="15"/>
        <v>0</v>
      </c>
      <c r="AZ28" s="734">
        <f t="shared" si="15"/>
        <v>0</v>
      </c>
      <c r="BA28" s="734">
        <f t="shared" si="15"/>
        <v>0</v>
      </c>
      <c r="BB28" s="734">
        <f t="shared" si="15"/>
        <v>0</v>
      </c>
      <c r="BC28" s="734">
        <f t="shared" si="15"/>
        <v>0</v>
      </c>
      <c r="BD28" s="734">
        <f t="shared" si="15"/>
        <v>0</v>
      </c>
      <c r="BE28" s="734">
        <f t="shared" si="16"/>
        <v>0</v>
      </c>
      <c r="BF28" s="734">
        <f t="shared" si="16"/>
        <v>0</v>
      </c>
      <c r="BG28" s="734">
        <f t="shared" si="16"/>
        <v>0</v>
      </c>
      <c r="BH28" s="734">
        <f t="shared" si="16"/>
        <v>0</v>
      </c>
      <c r="BI28" s="734">
        <f t="shared" si="16"/>
        <v>0</v>
      </c>
      <c r="BJ28" s="734">
        <f t="shared" si="16"/>
        <v>0</v>
      </c>
      <c r="BK28" s="734">
        <f t="shared" si="16"/>
        <v>0</v>
      </c>
      <c r="BL28" s="734">
        <f t="shared" si="16"/>
        <v>0</v>
      </c>
      <c r="BM28" s="734">
        <f t="shared" si="16"/>
        <v>0</v>
      </c>
      <c r="BN28" s="734">
        <f t="shared" si="16"/>
        <v>0</v>
      </c>
      <c r="BO28" s="734">
        <f t="shared" si="16"/>
        <v>0</v>
      </c>
      <c r="BP28" s="734">
        <f t="shared" si="16"/>
        <v>0</v>
      </c>
    </row>
    <row r="29" spans="1:68">
      <c r="A29" s="421" t="s">
        <v>643</v>
      </c>
      <c r="B29" s="418"/>
      <c r="C29" s="955" t="str">
        <f>IF($B29&lt;&gt;"",VLOOKUP($B29,COSTS_Air_Sweeper[#All],2),"")</f>
        <v/>
      </c>
      <c r="D29" s="987" t="str">
        <f>IF($B29&lt;&gt;"",VLOOKUP($B29,COSTS_Air_Sweeper[#All],3)/24,"")</f>
        <v/>
      </c>
      <c r="E29" s="991"/>
      <c r="F29" s="992"/>
      <c r="G29" s="982" t="str">
        <f t="shared" si="13"/>
        <v/>
      </c>
      <c r="H29" s="979"/>
      <c r="I29" s="736">
        <f t="shared" si="4"/>
        <v>0</v>
      </c>
      <c r="J29" s="736">
        <f t="shared" si="4"/>
        <v>0</v>
      </c>
      <c r="K29" s="736">
        <f t="shared" si="4"/>
        <v>0</v>
      </c>
      <c r="L29" s="736">
        <f t="shared" si="4"/>
        <v>0</v>
      </c>
      <c r="M29" s="736">
        <f t="shared" si="4"/>
        <v>0</v>
      </c>
      <c r="N29" s="736">
        <f t="shared" si="4"/>
        <v>0</v>
      </c>
      <c r="O29" s="736">
        <f t="shared" si="4"/>
        <v>0</v>
      </c>
      <c r="P29" s="736">
        <f t="shared" si="4"/>
        <v>0</v>
      </c>
      <c r="Q29" s="736">
        <f t="shared" si="4"/>
        <v>0</v>
      </c>
      <c r="R29" s="734">
        <f t="shared" si="4"/>
        <v>0</v>
      </c>
      <c r="S29" s="734">
        <f t="shared" si="4"/>
        <v>0</v>
      </c>
      <c r="T29" s="734">
        <f t="shared" si="4"/>
        <v>0</v>
      </c>
      <c r="U29" s="734">
        <f t="shared" si="4"/>
        <v>0</v>
      </c>
      <c r="V29" s="734">
        <f t="shared" si="4"/>
        <v>0</v>
      </c>
      <c r="W29" s="734">
        <f t="shared" si="4"/>
        <v>0</v>
      </c>
      <c r="X29" s="734">
        <f t="shared" si="4"/>
        <v>0</v>
      </c>
      <c r="Y29" s="734">
        <f t="shared" si="14"/>
        <v>0</v>
      </c>
      <c r="Z29" s="734">
        <f t="shared" si="14"/>
        <v>0</v>
      </c>
      <c r="AA29" s="734">
        <f t="shared" si="14"/>
        <v>0</v>
      </c>
      <c r="AB29" s="734">
        <f t="shared" si="14"/>
        <v>0</v>
      </c>
      <c r="AC29" s="734">
        <f t="shared" si="14"/>
        <v>0</v>
      </c>
      <c r="AD29" s="734">
        <f t="shared" si="14"/>
        <v>0</v>
      </c>
      <c r="AE29" s="734">
        <f t="shared" si="14"/>
        <v>0</v>
      </c>
      <c r="AF29" s="734">
        <f t="shared" si="14"/>
        <v>0</v>
      </c>
      <c r="AG29" s="734">
        <f t="shared" si="14"/>
        <v>0</v>
      </c>
      <c r="AH29" s="734">
        <f t="shared" si="14"/>
        <v>0</v>
      </c>
      <c r="AI29" s="734">
        <f t="shared" si="14"/>
        <v>0</v>
      </c>
      <c r="AJ29" s="734">
        <f t="shared" si="14"/>
        <v>0</v>
      </c>
      <c r="AK29" s="734">
        <f t="shared" si="14"/>
        <v>0</v>
      </c>
      <c r="AL29" s="734">
        <f t="shared" si="14"/>
        <v>0</v>
      </c>
      <c r="AM29" s="734">
        <f t="shared" si="14"/>
        <v>0</v>
      </c>
      <c r="AN29" s="734">
        <f t="shared" si="14"/>
        <v>0</v>
      </c>
      <c r="AO29" s="734">
        <f t="shared" si="15"/>
        <v>0</v>
      </c>
      <c r="AP29" s="734">
        <f t="shared" si="15"/>
        <v>0</v>
      </c>
      <c r="AQ29" s="734">
        <f t="shared" si="15"/>
        <v>0</v>
      </c>
      <c r="AR29" s="734">
        <f t="shared" si="15"/>
        <v>0</v>
      </c>
      <c r="AS29" s="734">
        <f t="shared" si="15"/>
        <v>0</v>
      </c>
      <c r="AT29" s="734">
        <f t="shared" si="15"/>
        <v>0</v>
      </c>
      <c r="AU29" s="734">
        <f t="shared" si="15"/>
        <v>0</v>
      </c>
      <c r="AV29" s="734">
        <f t="shared" si="15"/>
        <v>0</v>
      </c>
      <c r="AW29" s="734">
        <f t="shared" si="15"/>
        <v>0</v>
      </c>
      <c r="AX29" s="734">
        <f t="shared" si="15"/>
        <v>0</v>
      </c>
      <c r="AY29" s="734">
        <f t="shared" si="15"/>
        <v>0</v>
      </c>
      <c r="AZ29" s="734">
        <f t="shared" si="15"/>
        <v>0</v>
      </c>
      <c r="BA29" s="734">
        <f t="shared" si="15"/>
        <v>0</v>
      </c>
      <c r="BB29" s="734">
        <f t="shared" si="15"/>
        <v>0</v>
      </c>
      <c r="BC29" s="734">
        <f t="shared" si="15"/>
        <v>0</v>
      </c>
      <c r="BD29" s="734">
        <f t="shared" si="15"/>
        <v>0</v>
      </c>
      <c r="BE29" s="734">
        <f t="shared" si="16"/>
        <v>0</v>
      </c>
      <c r="BF29" s="734">
        <f t="shared" si="16"/>
        <v>0</v>
      </c>
      <c r="BG29" s="734">
        <f t="shared" si="16"/>
        <v>0</v>
      </c>
      <c r="BH29" s="734">
        <f t="shared" si="16"/>
        <v>0</v>
      </c>
      <c r="BI29" s="734">
        <f t="shared" si="16"/>
        <v>0</v>
      </c>
      <c r="BJ29" s="734">
        <f t="shared" si="16"/>
        <v>0</v>
      </c>
      <c r="BK29" s="734">
        <f t="shared" si="16"/>
        <v>0</v>
      </c>
      <c r="BL29" s="734">
        <f t="shared" si="16"/>
        <v>0</v>
      </c>
      <c r="BM29" s="734">
        <f t="shared" si="16"/>
        <v>0</v>
      </c>
      <c r="BN29" s="734">
        <f t="shared" si="16"/>
        <v>0</v>
      </c>
      <c r="BO29" s="734">
        <f t="shared" si="16"/>
        <v>0</v>
      </c>
      <c r="BP29" s="734">
        <f t="shared" si="16"/>
        <v>0</v>
      </c>
    </row>
    <row r="30" spans="1:68">
      <c r="A30" s="421" t="s">
        <v>201</v>
      </c>
      <c r="B30" s="418"/>
      <c r="C30" s="955" t="str">
        <f>IF($B30&lt;&gt;"",VLOOKUP($B30,COSTS_Hidden_Tesla[#All],2),"")</f>
        <v/>
      </c>
      <c r="D30" s="987" t="str">
        <f>IF($B30&lt;&gt;"",VLOOKUP($B30,COSTS_Hidden_Tesla[#All],3)/24,"")</f>
        <v/>
      </c>
      <c r="E30" s="991"/>
      <c r="F30" s="992"/>
      <c r="G30" s="982" t="str">
        <f t="shared" si="13"/>
        <v/>
      </c>
      <c r="H30" s="979"/>
      <c r="I30" s="736">
        <f t="shared" si="4"/>
        <v>0</v>
      </c>
      <c r="J30" s="736">
        <f t="shared" si="4"/>
        <v>0</v>
      </c>
      <c r="K30" s="736">
        <f t="shared" si="4"/>
        <v>0</v>
      </c>
      <c r="L30" s="736">
        <f t="shared" si="4"/>
        <v>0</v>
      </c>
      <c r="M30" s="736">
        <f t="shared" si="4"/>
        <v>0</v>
      </c>
      <c r="N30" s="736">
        <f t="shared" si="4"/>
        <v>0</v>
      </c>
      <c r="O30" s="736">
        <f t="shared" si="4"/>
        <v>0</v>
      </c>
      <c r="P30" s="736">
        <f t="shared" si="4"/>
        <v>0</v>
      </c>
      <c r="Q30" s="736">
        <f t="shared" si="4"/>
        <v>0</v>
      </c>
      <c r="R30" s="734">
        <f t="shared" si="4"/>
        <v>0</v>
      </c>
      <c r="S30" s="734">
        <f t="shared" si="4"/>
        <v>0</v>
      </c>
      <c r="T30" s="734">
        <f t="shared" si="4"/>
        <v>0</v>
      </c>
      <c r="U30" s="734">
        <f t="shared" si="4"/>
        <v>0</v>
      </c>
      <c r="V30" s="734">
        <f t="shared" si="4"/>
        <v>0</v>
      </c>
      <c r="W30" s="734">
        <f t="shared" si="4"/>
        <v>0</v>
      </c>
      <c r="X30" s="734">
        <f t="shared" si="4"/>
        <v>0</v>
      </c>
      <c r="Y30" s="734">
        <f t="shared" si="14"/>
        <v>0</v>
      </c>
      <c r="Z30" s="734">
        <f t="shared" si="14"/>
        <v>0</v>
      </c>
      <c r="AA30" s="734">
        <f t="shared" si="14"/>
        <v>0</v>
      </c>
      <c r="AB30" s="734">
        <f t="shared" si="14"/>
        <v>0</v>
      </c>
      <c r="AC30" s="734">
        <f t="shared" si="14"/>
        <v>0</v>
      </c>
      <c r="AD30" s="734">
        <f t="shared" si="14"/>
        <v>0</v>
      </c>
      <c r="AE30" s="734">
        <f t="shared" si="14"/>
        <v>0</v>
      </c>
      <c r="AF30" s="734">
        <f t="shared" si="14"/>
        <v>0</v>
      </c>
      <c r="AG30" s="734">
        <f t="shared" si="14"/>
        <v>0</v>
      </c>
      <c r="AH30" s="734">
        <f t="shared" si="14"/>
        <v>0</v>
      </c>
      <c r="AI30" s="734">
        <f t="shared" si="14"/>
        <v>0</v>
      </c>
      <c r="AJ30" s="734">
        <f t="shared" si="14"/>
        <v>0</v>
      </c>
      <c r="AK30" s="734">
        <f t="shared" si="14"/>
        <v>0</v>
      </c>
      <c r="AL30" s="734">
        <f t="shared" si="14"/>
        <v>0</v>
      </c>
      <c r="AM30" s="734">
        <f t="shared" si="14"/>
        <v>0</v>
      </c>
      <c r="AN30" s="734">
        <f t="shared" si="14"/>
        <v>0</v>
      </c>
      <c r="AO30" s="734">
        <f t="shared" si="15"/>
        <v>0</v>
      </c>
      <c r="AP30" s="734">
        <f t="shared" si="15"/>
        <v>0</v>
      </c>
      <c r="AQ30" s="734">
        <f t="shared" si="15"/>
        <v>0</v>
      </c>
      <c r="AR30" s="734">
        <f t="shared" si="15"/>
        <v>0</v>
      </c>
      <c r="AS30" s="734">
        <f t="shared" si="15"/>
        <v>0</v>
      </c>
      <c r="AT30" s="734">
        <f t="shared" si="15"/>
        <v>0</v>
      </c>
      <c r="AU30" s="734">
        <f t="shared" si="15"/>
        <v>0</v>
      </c>
      <c r="AV30" s="734">
        <f t="shared" si="15"/>
        <v>0</v>
      </c>
      <c r="AW30" s="734">
        <f t="shared" si="15"/>
        <v>0</v>
      </c>
      <c r="AX30" s="734">
        <f t="shared" si="15"/>
        <v>0</v>
      </c>
      <c r="AY30" s="734">
        <f t="shared" si="15"/>
        <v>0</v>
      </c>
      <c r="AZ30" s="734">
        <f t="shared" si="15"/>
        <v>0</v>
      </c>
      <c r="BA30" s="734">
        <f t="shared" si="15"/>
        <v>0</v>
      </c>
      <c r="BB30" s="734">
        <f t="shared" si="15"/>
        <v>0</v>
      </c>
      <c r="BC30" s="734">
        <f t="shared" si="15"/>
        <v>0</v>
      </c>
      <c r="BD30" s="734">
        <f t="shared" si="15"/>
        <v>0</v>
      </c>
      <c r="BE30" s="734">
        <f t="shared" si="16"/>
        <v>0</v>
      </c>
      <c r="BF30" s="734">
        <f t="shared" si="16"/>
        <v>0</v>
      </c>
      <c r="BG30" s="734">
        <f t="shared" si="16"/>
        <v>0</v>
      </c>
      <c r="BH30" s="734">
        <f t="shared" si="16"/>
        <v>0</v>
      </c>
      <c r="BI30" s="734">
        <f t="shared" si="16"/>
        <v>0</v>
      </c>
      <c r="BJ30" s="734">
        <f t="shared" si="16"/>
        <v>0</v>
      </c>
      <c r="BK30" s="734">
        <f t="shared" si="16"/>
        <v>0</v>
      </c>
      <c r="BL30" s="734">
        <f t="shared" si="16"/>
        <v>0</v>
      </c>
      <c r="BM30" s="734">
        <f t="shared" si="16"/>
        <v>0</v>
      </c>
      <c r="BN30" s="734">
        <f t="shared" si="16"/>
        <v>0</v>
      </c>
      <c r="BO30" s="734">
        <f t="shared" si="16"/>
        <v>0</v>
      </c>
      <c r="BP30" s="734">
        <f t="shared" si="16"/>
        <v>0</v>
      </c>
    </row>
    <row r="31" spans="1:68">
      <c r="A31" s="421" t="s">
        <v>200</v>
      </c>
      <c r="B31" s="418"/>
      <c r="C31" s="955" t="str">
        <f>IF($B31&lt;&gt;"",VLOOKUP($B31,COSTS_XBow[#All],2),"")</f>
        <v/>
      </c>
      <c r="D31" s="987" t="str">
        <f>IF($B31&lt;&gt;"",VLOOKUP($B31,COSTS_XBow[#All],3)/24,"")</f>
        <v/>
      </c>
      <c r="E31" s="991"/>
      <c r="F31" s="992"/>
      <c r="G31" s="982" t="str">
        <f t="shared" si="13"/>
        <v/>
      </c>
      <c r="H31" s="979"/>
      <c r="I31" s="736">
        <f t="shared" si="4"/>
        <v>0</v>
      </c>
      <c r="J31" s="736">
        <f t="shared" si="4"/>
        <v>0</v>
      </c>
      <c r="K31" s="736">
        <f t="shared" si="4"/>
        <v>0</v>
      </c>
      <c r="L31" s="736">
        <f t="shared" si="4"/>
        <v>0</v>
      </c>
      <c r="M31" s="736">
        <f t="shared" si="4"/>
        <v>0</v>
      </c>
      <c r="N31" s="736">
        <f t="shared" si="4"/>
        <v>0</v>
      </c>
      <c r="O31" s="736">
        <f t="shared" si="4"/>
        <v>0</v>
      </c>
      <c r="P31" s="736">
        <f t="shared" si="4"/>
        <v>0</v>
      </c>
      <c r="Q31" s="736">
        <f t="shared" si="4"/>
        <v>0</v>
      </c>
      <c r="R31" s="734">
        <f t="shared" si="4"/>
        <v>0</v>
      </c>
      <c r="S31" s="734">
        <f t="shared" si="4"/>
        <v>0</v>
      </c>
      <c r="T31" s="734">
        <f t="shared" si="4"/>
        <v>0</v>
      </c>
      <c r="U31" s="734">
        <f t="shared" si="4"/>
        <v>0</v>
      </c>
      <c r="V31" s="734">
        <f t="shared" si="4"/>
        <v>0</v>
      </c>
      <c r="W31" s="734">
        <f t="shared" si="4"/>
        <v>0</v>
      </c>
      <c r="X31" s="734">
        <f t="shared" si="4"/>
        <v>0</v>
      </c>
      <c r="Y31" s="734">
        <f t="shared" si="14"/>
        <v>0</v>
      </c>
      <c r="Z31" s="734">
        <f t="shared" si="14"/>
        <v>0</v>
      </c>
      <c r="AA31" s="734">
        <f t="shared" si="14"/>
        <v>0</v>
      </c>
      <c r="AB31" s="734">
        <f t="shared" si="14"/>
        <v>0</v>
      </c>
      <c r="AC31" s="734">
        <f t="shared" si="14"/>
        <v>0</v>
      </c>
      <c r="AD31" s="734">
        <f t="shared" si="14"/>
        <v>0</v>
      </c>
      <c r="AE31" s="734">
        <f t="shared" si="14"/>
        <v>0</v>
      </c>
      <c r="AF31" s="734">
        <f t="shared" si="14"/>
        <v>0</v>
      </c>
      <c r="AG31" s="734">
        <f t="shared" si="14"/>
        <v>0</v>
      </c>
      <c r="AH31" s="734">
        <f t="shared" si="14"/>
        <v>0</v>
      </c>
      <c r="AI31" s="734">
        <f t="shared" si="14"/>
        <v>0</v>
      </c>
      <c r="AJ31" s="734">
        <f t="shared" si="14"/>
        <v>0</v>
      </c>
      <c r="AK31" s="734">
        <f t="shared" si="14"/>
        <v>0</v>
      </c>
      <c r="AL31" s="734">
        <f t="shared" si="14"/>
        <v>0</v>
      </c>
      <c r="AM31" s="734">
        <f t="shared" si="14"/>
        <v>0</v>
      </c>
      <c r="AN31" s="734">
        <f t="shared" si="14"/>
        <v>0</v>
      </c>
      <c r="AO31" s="734">
        <f t="shared" si="15"/>
        <v>0</v>
      </c>
      <c r="AP31" s="734">
        <f t="shared" si="15"/>
        <v>0</v>
      </c>
      <c r="AQ31" s="734">
        <f t="shared" si="15"/>
        <v>0</v>
      </c>
      <c r="AR31" s="734">
        <f t="shared" si="15"/>
        <v>0</v>
      </c>
      <c r="AS31" s="734">
        <f t="shared" si="15"/>
        <v>0</v>
      </c>
      <c r="AT31" s="734">
        <f t="shared" si="15"/>
        <v>0</v>
      </c>
      <c r="AU31" s="734">
        <f t="shared" si="15"/>
        <v>0</v>
      </c>
      <c r="AV31" s="734">
        <f t="shared" si="15"/>
        <v>0</v>
      </c>
      <c r="AW31" s="734">
        <f t="shared" si="15"/>
        <v>0</v>
      </c>
      <c r="AX31" s="734">
        <f t="shared" si="15"/>
        <v>0</v>
      </c>
      <c r="AY31" s="734">
        <f t="shared" si="15"/>
        <v>0</v>
      </c>
      <c r="AZ31" s="734">
        <f t="shared" si="15"/>
        <v>0</v>
      </c>
      <c r="BA31" s="734">
        <f t="shared" si="15"/>
        <v>0</v>
      </c>
      <c r="BB31" s="734">
        <f t="shared" si="15"/>
        <v>0</v>
      </c>
      <c r="BC31" s="734">
        <f t="shared" si="15"/>
        <v>0</v>
      </c>
      <c r="BD31" s="734">
        <f t="shared" si="15"/>
        <v>0</v>
      </c>
      <c r="BE31" s="734">
        <f t="shared" si="16"/>
        <v>0</v>
      </c>
      <c r="BF31" s="734">
        <f t="shared" si="16"/>
        <v>0</v>
      </c>
      <c r="BG31" s="734">
        <f t="shared" si="16"/>
        <v>0</v>
      </c>
      <c r="BH31" s="734">
        <f t="shared" si="16"/>
        <v>0</v>
      </c>
      <c r="BI31" s="734">
        <f t="shared" si="16"/>
        <v>0</v>
      </c>
      <c r="BJ31" s="734">
        <f t="shared" si="16"/>
        <v>0</v>
      </c>
      <c r="BK31" s="734">
        <f t="shared" si="16"/>
        <v>0</v>
      </c>
      <c r="BL31" s="734">
        <f t="shared" si="16"/>
        <v>0</v>
      </c>
      <c r="BM31" s="734">
        <f t="shared" si="16"/>
        <v>0</v>
      </c>
      <c r="BN31" s="734">
        <f t="shared" si="16"/>
        <v>0</v>
      </c>
      <c r="BO31" s="734">
        <f t="shared" si="16"/>
        <v>0</v>
      </c>
      <c r="BP31" s="734">
        <f t="shared" si="16"/>
        <v>0</v>
      </c>
    </row>
    <row r="32" spans="1:68">
      <c r="A32" s="421" t="s">
        <v>199</v>
      </c>
      <c r="B32" s="418"/>
      <c r="C32" s="955" t="str">
        <f>IF($B32&lt;&gt;"",VLOOKUP($B32,COSTS_Inferno_Tower[#All],2),"")</f>
        <v/>
      </c>
      <c r="D32" s="987" t="str">
        <f>IF($B32&lt;&gt;"",VLOOKUP($B32,COSTS_Inferno_Tower[#All],3)/24,"")</f>
        <v/>
      </c>
      <c r="E32" s="991"/>
      <c r="F32" s="992"/>
      <c r="G32" s="982" t="str">
        <f t="shared" si="13"/>
        <v/>
      </c>
      <c r="H32" s="979"/>
      <c r="I32" s="736">
        <f t="shared" si="4"/>
        <v>0</v>
      </c>
      <c r="J32" s="736">
        <f t="shared" si="4"/>
        <v>0</v>
      </c>
      <c r="K32" s="736">
        <f t="shared" si="4"/>
        <v>0</v>
      </c>
      <c r="L32" s="736">
        <f t="shared" si="4"/>
        <v>0</v>
      </c>
      <c r="M32" s="736">
        <f t="shared" si="4"/>
        <v>0</v>
      </c>
      <c r="N32" s="736">
        <f t="shared" si="4"/>
        <v>0</v>
      </c>
      <c r="O32" s="736">
        <f t="shared" si="4"/>
        <v>0</v>
      </c>
      <c r="P32" s="736">
        <f t="shared" si="4"/>
        <v>0</v>
      </c>
      <c r="Q32" s="736">
        <f t="shared" si="4"/>
        <v>0</v>
      </c>
      <c r="R32" s="734">
        <f t="shared" si="4"/>
        <v>0</v>
      </c>
      <c r="S32" s="734">
        <f t="shared" si="4"/>
        <v>0</v>
      </c>
      <c r="T32" s="734">
        <f t="shared" si="4"/>
        <v>0</v>
      </c>
      <c r="U32" s="734">
        <f t="shared" si="4"/>
        <v>0</v>
      </c>
      <c r="V32" s="734">
        <f t="shared" si="4"/>
        <v>0</v>
      </c>
      <c r="W32" s="734">
        <f t="shared" si="4"/>
        <v>0</v>
      </c>
      <c r="X32" s="734">
        <f t="shared" si="4"/>
        <v>0</v>
      </c>
      <c r="Y32" s="734">
        <f t="shared" si="14"/>
        <v>0</v>
      </c>
      <c r="Z32" s="734">
        <f t="shared" si="14"/>
        <v>0</v>
      </c>
      <c r="AA32" s="734">
        <f t="shared" si="14"/>
        <v>0</v>
      </c>
      <c r="AB32" s="734">
        <f t="shared" si="14"/>
        <v>0</v>
      </c>
      <c r="AC32" s="734">
        <f t="shared" si="14"/>
        <v>0</v>
      </c>
      <c r="AD32" s="734">
        <f t="shared" si="14"/>
        <v>0</v>
      </c>
      <c r="AE32" s="734">
        <f t="shared" si="14"/>
        <v>0</v>
      </c>
      <c r="AF32" s="734">
        <f t="shared" si="14"/>
        <v>0</v>
      </c>
      <c r="AG32" s="734">
        <f t="shared" si="14"/>
        <v>0</v>
      </c>
      <c r="AH32" s="734">
        <f t="shared" si="14"/>
        <v>0</v>
      </c>
      <c r="AI32" s="734">
        <f t="shared" si="14"/>
        <v>0</v>
      </c>
      <c r="AJ32" s="734">
        <f t="shared" si="14"/>
        <v>0</v>
      </c>
      <c r="AK32" s="734">
        <f t="shared" si="14"/>
        <v>0</v>
      </c>
      <c r="AL32" s="734">
        <f t="shared" si="14"/>
        <v>0</v>
      </c>
      <c r="AM32" s="734">
        <f t="shared" si="14"/>
        <v>0</v>
      </c>
      <c r="AN32" s="734">
        <f t="shared" si="14"/>
        <v>0</v>
      </c>
      <c r="AO32" s="734">
        <f t="shared" si="15"/>
        <v>0</v>
      </c>
      <c r="AP32" s="734">
        <f t="shared" si="15"/>
        <v>0</v>
      </c>
      <c r="AQ32" s="734">
        <f t="shared" si="15"/>
        <v>0</v>
      </c>
      <c r="AR32" s="734">
        <f t="shared" si="15"/>
        <v>0</v>
      </c>
      <c r="AS32" s="734">
        <f t="shared" si="15"/>
        <v>0</v>
      </c>
      <c r="AT32" s="734">
        <f t="shared" si="15"/>
        <v>0</v>
      </c>
      <c r="AU32" s="734">
        <f t="shared" si="15"/>
        <v>0</v>
      </c>
      <c r="AV32" s="734">
        <f t="shared" si="15"/>
        <v>0</v>
      </c>
      <c r="AW32" s="734">
        <f t="shared" si="15"/>
        <v>0</v>
      </c>
      <c r="AX32" s="734">
        <f t="shared" si="15"/>
        <v>0</v>
      </c>
      <c r="AY32" s="734">
        <f t="shared" si="15"/>
        <v>0</v>
      </c>
      <c r="AZ32" s="734">
        <f t="shared" si="15"/>
        <v>0</v>
      </c>
      <c r="BA32" s="734">
        <f t="shared" si="15"/>
        <v>0</v>
      </c>
      <c r="BB32" s="734">
        <f t="shared" si="15"/>
        <v>0</v>
      </c>
      <c r="BC32" s="734">
        <f t="shared" si="15"/>
        <v>0</v>
      </c>
      <c r="BD32" s="734">
        <f t="shared" si="15"/>
        <v>0</v>
      </c>
      <c r="BE32" s="734">
        <f t="shared" si="16"/>
        <v>0</v>
      </c>
      <c r="BF32" s="734">
        <f t="shared" si="16"/>
        <v>0</v>
      </c>
      <c r="BG32" s="734">
        <f t="shared" si="16"/>
        <v>0</v>
      </c>
      <c r="BH32" s="734">
        <f t="shared" si="16"/>
        <v>0</v>
      </c>
      <c r="BI32" s="734">
        <f t="shared" si="16"/>
        <v>0</v>
      </c>
      <c r="BJ32" s="734">
        <f t="shared" si="16"/>
        <v>0</v>
      </c>
      <c r="BK32" s="734">
        <f t="shared" si="16"/>
        <v>0</v>
      </c>
      <c r="BL32" s="734">
        <f t="shared" si="16"/>
        <v>0</v>
      </c>
      <c r="BM32" s="734">
        <f t="shared" si="16"/>
        <v>0</v>
      </c>
      <c r="BN32" s="734">
        <f t="shared" si="16"/>
        <v>0</v>
      </c>
      <c r="BO32" s="734">
        <f t="shared" si="16"/>
        <v>0</v>
      </c>
      <c r="BP32" s="734">
        <f t="shared" si="16"/>
        <v>0</v>
      </c>
    </row>
    <row r="33" spans="1:68" ht="15.75" thickBot="1">
      <c r="A33" s="429" t="s">
        <v>747</v>
      </c>
      <c r="B33" s="430"/>
      <c r="C33" s="958" t="str">
        <f>IF($B33&lt;&gt;"",VLOOKUP($B33,COSTS_Defense_Aigle[#All],2),"")</f>
        <v/>
      </c>
      <c r="D33" s="988" t="str">
        <f>IF($B33&lt;&gt;"",VLOOKUP($B33,COSTS_Defense_Aigle[#All],3)/24,"")</f>
        <v/>
      </c>
      <c r="E33" s="993"/>
      <c r="F33" s="994"/>
      <c r="G33" s="983" t="str">
        <f t="shared" si="13"/>
        <v/>
      </c>
      <c r="H33" s="980"/>
      <c r="I33" s="736">
        <f t="shared" si="4"/>
        <v>0</v>
      </c>
      <c r="J33" s="736">
        <f t="shared" si="4"/>
        <v>0</v>
      </c>
      <c r="K33" s="736">
        <f t="shared" si="4"/>
        <v>0</v>
      </c>
      <c r="L33" s="736">
        <f t="shared" si="4"/>
        <v>0</v>
      </c>
      <c r="M33" s="736">
        <f t="shared" si="4"/>
        <v>0</v>
      </c>
      <c r="N33" s="736">
        <f t="shared" si="4"/>
        <v>0</v>
      </c>
      <c r="O33" s="736">
        <f t="shared" si="4"/>
        <v>0</v>
      </c>
      <c r="P33" s="736">
        <f t="shared" si="4"/>
        <v>0</v>
      </c>
      <c r="Q33" s="736">
        <f t="shared" si="4"/>
        <v>0</v>
      </c>
      <c r="R33" s="734">
        <f t="shared" si="4"/>
        <v>0</v>
      </c>
      <c r="S33" s="734">
        <f t="shared" si="4"/>
        <v>0</v>
      </c>
      <c r="T33" s="734">
        <f t="shared" si="4"/>
        <v>0</v>
      </c>
      <c r="U33" s="734">
        <f t="shared" si="4"/>
        <v>0</v>
      </c>
      <c r="V33" s="734">
        <f t="shared" si="4"/>
        <v>0</v>
      </c>
      <c r="W33" s="734">
        <f t="shared" si="4"/>
        <v>0</v>
      </c>
      <c r="X33" s="734">
        <f t="shared" si="4"/>
        <v>0</v>
      </c>
      <c r="Y33" s="734">
        <f t="shared" si="14"/>
        <v>0</v>
      </c>
      <c r="Z33" s="734">
        <f t="shared" si="14"/>
        <v>0</v>
      </c>
      <c r="AA33" s="734">
        <f t="shared" si="14"/>
        <v>0</v>
      </c>
      <c r="AB33" s="734">
        <f t="shared" si="14"/>
        <v>0</v>
      </c>
      <c r="AC33" s="734">
        <f t="shared" si="14"/>
        <v>0</v>
      </c>
      <c r="AD33" s="734">
        <f t="shared" si="14"/>
        <v>0</v>
      </c>
      <c r="AE33" s="734">
        <f t="shared" si="14"/>
        <v>0</v>
      </c>
      <c r="AF33" s="734">
        <f t="shared" si="14"/>
        <v>0</v>
      </c>
      <c r="AG33" s="734">
        <f t="shared" si="14"/>
        <v>0</v>
      </c>
      <c r="AH33" s="734">
        <f t="shared" si="14"/>
        <v>0</v>
      </c>
      <c r="AI33" s="734">
        <f t="shared" si="14"/>
        <v>0</v>
      </c>
      <c r="AJ33" s="734">
        <f t="shared" si="14"/>
        <v>0</v>
      </c>
      <c r="AK33" s="734">
        <f t="shared" si="14"/>
        <v>0</v>
      </c>
      <c r="AL33" s="734">
        <f t="shared" si="14"/>
        <v>0</v>
      </c>
      <c r="AM33" s="734">
        <f t="shared" si="14"/>
        <v>0</v>
      </c>
      <c r="AN33" s="734">
        <f t="shared" si="14"/>
        <v>0</v>
      </c>
      <c r="AO33" s="734">
        <f t="shared" ref="AO33:BD33" si="17">IF(ISERROR(Plan),0,Plan)</f>
        <v>0</v>
      </c>
      <c r="AP33" s="734">
        <f t="shared" si="17"/>
        <v>0</v>
      </c>
      <c r="AQ33" s="734">
        <f t="shared" si="17"/>
        <v>0</v>
      </c>
      <c r="AR33" s="734">
        <f t="shared" si="17"/>
        <v>0</v>
      </c>
      <c r="AS33" s="734">
        <f t="shared" si="17"/>
        <v>0</v>
      </c>
      <c r="AT33" s="734">
        <f t="shared" si="17"/>
        <v>0</v>
      </c>
      <c r="AU33" s="734">
        <f t="shared" si="17"/>
        <v>0</v>
      </c>
      <c r="AV33" s="734">
        <f t="shared" si="17"/>
        <v>0</v>
      </c>
      <c r="AW33" s="734">
        <f t="shared" si="17"/>
        <v>0</v>
      </c>
      <c r="AX33" s="734">
        <f t="shared" si="17"/>
        <v>0</v>
      </c>
      <c r="AY33" s="734">
        <f t="shared" si="17"/>
        <v>0</v>
      </c>
      <c r="AZ33" s="734">
        <f t="shared" si="17"/>
        <v>0</v>
      </c>
      <c r="BA33" s="734">
        <f t="shared" si="17"/>
        <v>0</v>
      </c>
      <c r="BB33" s="734">
        <f t="shared" si="17"/>
        <v>0</v>
      </c>
      <c r="BC33" s="734">
        <f t="shared" si="17"/>
        <v>0</v>
      </c>
      <c r="BD33" s="734">
        <f t="shared" si="17"/>
        <v>0</v>
      </c>
      <c r="BE33" s="734">
        <f t="shared" si="16"/>
        <v>0</v>
      </c>
      <c r="BF33" s="734">
        <f t="shared" si="16"/>
        <v>0</v>
      </c>
      <c r="BG33" s="734">
        <f t="shared" si="16"/>
        <v>0</v>
      </c>
      <c r="BH33" s="734">
        <f t="shared" si="16"/>
        <v>0</v>
      </c>
      <c r="BI33" s="734">
        <f t="shared" si="16"/>
        <v>0</v>
      </c>
      <c r="BJ33" s="734">
        <f t="shared" si="16"/>
        <v>0</v>
      </c>
      <c r="BK33" s="734">
        <f t="shared" si="16"/>
        <v>0</v>
      </c>
      <c r="BL33" s="734">
        <f t="shared" si="16"/>
        <v>0</v>
      </c>
      <c r="BM33" s="734">
        <f t="shared" si="16"/>
        <v>0</v>
      </c>
      <c r="BN33" s="734">
        <f t="shared" si="16"/>
        <v>0</v>
      </c>
      <c r="BO33" s="734">
        <f t="shared" si="16"/>
        <v>0</v>
      </c>
      <c r="BP33" s="734">
        <f t="shared" si="16"/>
        <v>0</v>
      </c>
    </row>
    <row r="34" spans="1:68" ht="16.5" thickBot="1">
      <c r="A34" s="1015" t="s">
        <v>180</v>
      </c>
      <c r="B34" s="1016"/>
      <c r="C34" s="1016"/>
      <c r="D34" s="1016"/>
      <c r="E34" s="1016"/>
      <c r="F34" s="1016"/>
      <c r="G34" s="1016"/>
      <c r="H34" s="1017"/>
      <c r="I34" s="736">
        <f t="shared" si="4"/>
        <v>0</v>
      </c>
      <c r="J34" s="736">
        <f t="shared" si="4"/>
        <v>0</v>
      </c>
      <c r="K34" s="736">
        <f t="shared" si="4"/>
        <v>0</v>
      </c>
      <c r="L34" s="736">
        <f t="shared" si="4"/>
        <v>0</v>
      </c>
      <c r="M34" s="736">
        <f t="shared" si="4"/>
        <v>0</v>
      </c>
      <c r="N34" s="736">
        <f t="shared" si="4"/>
        <v>0</v>
      </c>
      <c r="O34" s="736">
        <f t="shared" si="4"/>
        <v>0</v>
      </c>
      <c r="P34" s="736">
        <f t="shared" si="4"/>
        <v>0</v>
      </c>
      <c r="Q34" s="736">
        <f t="shared" si="4"/>
        <v>0</v>
      </c>
      <c r="R34" s="734">
        <f t="shared" si="4"/>
        <v>0</v>
      </c>
      <c r="S34" s="734">
        <f t="shared" si="4"/>
        <v>0</v>
      </c>
      <c r="T34" s="734">
        <f t="shared" si="4"/>
        <v>0</v>
      </c>
      <c r="U34" s="734">
        <f t="shared" si="4"/>
        <v>0</v>
      </c>
      <c r="V34" s="734">
        <f t="shared" si="4"/>
        <v>0</v>
      </c>
      <c r="W34" s="734">
        <f t="shared" si="4"/>
        <v>0</v>
      </c>
      <c r="X34" s="734">
        <f t="shared" si="4"/>
        <v>0</v>
      </c>
      <c r="Y34" s="734">
        <f t="shared" si="14"/>
        <v>0</v>
      </c>
      <c r="Z34" s="734">
        <f t="shared" si="14"/>
        <v>0</v>
      </c>
      <c r="AA34" s="734">
        <f t="shared" si="14"/>
        <v>0</v>
      </c>
      <c r="AB34" s="734">
        <f t="shared" si="14"/>
        <v>0</v>
      </c>
      <c r="AC34" s="734">
        <f t="shared" si="14"/>
        <v>0</v>
      </c>
      <c r="AD34" s="734">
        <f t="shared" si="14"/>
        <v>0</v>
      </c>
      <c r="AE34" s="734">
        <f t="shared" si="14"/>
        <v>0</v>
      </c>
      <c r="AF34" s="734">
        <f t="shared" si="14"/>
        <v>0</v>
      </c>
      <c r="AG34" s="734">
        <f t="shared" si="14"/>
        <v>0</v>
      </c>
      <c r="AH34" s="734">
        <f t="shared" si="14"/>
        <v>0</v>
      </c>
      <c r="AI34" s="734">
        <f t="shared" si="14"/>
        <v>0</v>
      </c>
      <c r="AJ34" s="734">
        <f t="shared" si="14"/>
        <v>0</v>
      </c>
      <c r="AK34" s="734">
        <f t="shared" si="14"/>
        <v>0</v>
      </c>
      <c r="AL34" s="734">
        <f t="shared" si="14"/>
        <v>0</v>
      </c>
      <c r="AM34" s="734">
        <f t="shared" si="14"/>
        <v>0</v>
      </c>
      <c r="AN34" s="734">
        <f t="shared" si="14"/>
        <v>0</v>
      </c>
      <c r="AO34" s="734">
        <f t="shared" si="15"/>
        <v>0</v>
      </c>
      <c r="AP34" s="734">
        <f t="shared" si="15"/>
        <v>0</v>
      </c>
      <c r="AQ34" s="734">
        <f t="shared" si="15"/>
        <v>0</v>
      </c>
      <c r="AR34" s="734">
        <f t="shared" si="15"/>
        <v>0</v>
      </c>
      <c r="AS34" s="734">
        <f t="shared" si="15"/>
        <v>0</v>
      </c>
      <c r="AT34" s="734">
        <f t="shared" si="15"/>
        <v>0</v>
      </c>
      <c r="AU34" s="734">
        <f t="shared" si="15"/>
        <v>0</v>
      </c>
      <c r="AV34" s="734">
        <f t="shared" si="15"/>
        <v>0</v>
      </c>
      <c r="AW34" s="734">
        <f t="shared" si="15"/>
        <v>0</v>
      </c>
      <c r="AX34" s="734">
        <f t="shared" si="15"/>
        <v>0</v>
      </c>
      <c r="AY34" s="734">
        <f t="shared" si="15"/>
        <v>0</v>
      </c>
      <c r="AZ34" s="734">
        <f t="shared" si="15"/>
        <v>0</v>
      </c>
      <c r="BA34" s="734">
        <f t="shared" si="15"/>
        <v>0</v>
      </c>
      <c r="BB34" s="734">
        <f t="shared" si="15"/>
        <v>0</v>
      </c>
      <c r="BC34" s="734">
        <f t="shared" si="15"/>
        <v>0</v>
      </c>
      <c r="BD34" s="734">
        <f t="shared" si="15"/>
        <v>0</v>
      </c>
      <c r="BE34" s="734">
        <f t="shared" si="16"/>
        <v>0</v>
      </c>
      <c r="BF34" s="734">
        <f t="shared" si="16"/>
        <v>0</v>
      </c>
      <c r="BG34" s="734">
        <f t="shared" si="16"/>
        <v>0</v>
      </c>
      <c r="BH34" s="734">
        <f t="shared" si="16"/>
        <v>0</v>
      </c>
      <c r="BI34" s="734">
        <f t="shared" si="16"/>
        <v>0</v>
      </c>
      <c r="BJ34" s="734">
        <f t="shared" si="16"/>
        <v>0</v>
      </c>
      <c r="BK34" s="734">
        <f t="shared" si="16"/>
        <v>0</v>
      </c>
      <c r="BL34" s="734">
        <f t="shared" si="16"/>
        <v>0</v>
      </c>
      <c r="BM34" s="734">
        <f t="shared" si="16"/>
        <v>0</v>
      </c>
      <c r="BN34" s="734">
        <f t="shared" si="16"/>
        <v>0</v>
      </c>
      <c r="BO34" s="734">
        <f t="shared" si="16"/>
        <v>0</v>
      </c>
      <c r="BP34" s="734">
        <f t="shared" si="16"/>
        <v>0</v>
      </c>
    </row>
    <row r="35" spans="1:68">
      <c r="A35" s="984" t="s">
        <v>198</v>
      </c>
      <c r="B35" s="985"/>
      <c r="C35" s="954" t="str">
        <f>IF($B35&lt;&gt;"",VLOOKUP($B35,COSTS_Clan_Castle[#All],2),"")</f>
        <v/>
      </c>
      <c r="D35" s="986" t="str">
        <f>IF($B35&lt;&gt;"",VLOOKUP($B35,COSTS_Clan_Castle[#All],3)/24,"")</f>
        <v/>
      </c>
      <c r="E35" s="989"/>
      <c r="F35" s="990"/>
      <c r="G35" s="981" t="str">
        <f>IF($D35&lt;&gt;"",$D35,"")</f>
        <v/>
      </c>
      <c r="H35" s="978"/>
      <c r="I35" s="736">
        <f t="shared" si="4"/>
        <v>0</v>
      </c>
      <c r="J35" s="736">
        <f t="shared" si="4"/>
        <v>0</v>
      </c>
      <c r="K35" s="736">
        <f t="shared" si="4"/>
        <v>0</v>
      </c>
      <c r="L35" s="736">
        <f t="shared" si="4"/>
        <v>0</v>
      </c>
      <c r="M35" s="736">
        <f t="shared" si="4"/>
        <v>0</v>
      </c>
      <c r="N35" s="736">
        <f t="shared" si="4"/>
        <v>0</v>
      </c>
      <c r="O35" s="736">
        <f t="shared" si="4"/>
        <v>0</v>
      </c>
      <c r="P35" s="736">
        <f t="shared" si="4"/>
        <v>0</v>
      </c>
      <c r="Q35" s="736">
        <f t="shared" si="4"/>
        <v>0</v>
      </c>
      <c r="R35" s="734">
        <f t="shared" si="4"/>
        <v>0</v>
      </c>
      <c r="S35" s="734">
        <f t="shared" si="4"/>
        <v>0</v>
      </c>
      <c r="T35" s="734">
        <f t="shared" si="4"/>
        <v>0</v>
      </c>
      <c r="U35" s="734">
        <f t="shared" si="4"/>
        <v>0</v>
      </c>
      <c r="V35" s="734">
        <f t="shared" si="4"/>
        <v>0</v>
      </c>
      <c r="W35" s="734">
        <f t="shared" si="4"/>
        <v>0</v>
      </c>
      <c r="X35" s="734">
        <f t="shared" si="4"/>
        <v>0</v>
      </c>
      <c r="Y35" s="734">
        <f t="shared" si="14"/>
        <v>0</v>
      </c>
      <c r="Z35" s="734">
        <f t="shared" si="14"/>
        <v>0</v>
      </c>
      <c r="AA35" s="734">
        <f t="shared" si="14"/>
        <v>0</v>
      </c>
      <c r="AB35" s="734">
        <f t="shared" si="14"/>
        <v>0</v>
      </c>
      <c r="AC35" s="734">
        <f t="shared" si="14"/>
        <v>0</v>
      </c>
      <c r="AD35" s="734">
        <f t="shared" si="14"/>
        <v>0</v>
      </c>
      <c r="AE35" s="734">
        <f t="shared" si="14"/>
        <v>0</v>
      </c>
      <c r="AF35" s="734">
        <f t="shared" si="14"/>
        <v>0</v>
      </c>
      <c r="AG35" s="734">
        <f t="shared" si="14"/>
        <v>0</v>
      </c>
      <c r="AH35" s="734">
        <f t="shared" si="14"/>
        <v>0</v>
      </c>
      <c r="AI35" s="734">
        <f t="shared" si="14"/>
        <v>0</v>
      </c>
      <c r="AJ35" s="734">
        <f t="shared" si="14"/>
        <v>0</v>
      </c>
      <c r="AK35" s="734">
        <f t="shared" si="14"/>
        <v>0</v>
      </c>
      <c r="AL35" s="734">
        <f t="shared" si="14"/>
        <v>0</v>
      </c>
      <c r="AM35" s="734">
        <f t="shared" si="14"/>
        <v>0</v>
      </c>
      <c r="AN35" s="734">
        <f t="shared" si="14"/>
        <v>0</v>
      </c>
      <c r="AO35" s="734">
        <f t="shared" si="15"/>
        <v>0</v>
      </c>
      <c r="AP35" s="734">
        <f t="shared" si="15"/>
        <v>0</v>
      </c>
      <c r="AQ35" s="734">
        <f t="shared" si="15"/>
        <v>0</v>
      </c>
      <c r="AR35" s="734">
        <f t="shared" si="15"/>
        <v>0</v>
      </c>
      <c r="AS35" s="734">
        <f t="shared" si="15"/>
        <v>0</v>
      </c>
      <c r="AT35" s="734">
        <f t="shared" si="15"/>
        <v>0</v>
      </c>
      <c r="AU35" s="734">
        <f t="shared" si="15"/>
        <v>0</v>
      </c>
      <c r="AV35" s="734">
        <f t="shared" si="15"/>
        <v>0</v>
      </c>
      <c r="AW35" s="734">
        <f t="shared" si="15"/>
        <v>0</v>
      </c>
      <c r="AX35" s="734">
        <f t="shared" si="15"/>
        <v>0</v>
      </c>
      <c r="AY35" s="734">
        <f t="shared" si="15"/>
        <v>0</v>
      </c>
      <c r="AZ35" s="734">
        <f t="shared" si="15"/>
        <v>0</v>
      </c>
      <c r="BA35" s="734">
        <f t="shared" si="15"/>
        <v>0</v>
      </c>
      <c r="BB35" s="734">
        <f t="shared" si="15"/>
        <v>0</v>
      </c>
      <c r="BC35" s="734">
        <f t="shared" si="15"/>
        <v>0</v>
      </c>
      <c r="BD35" s="734">
        <f t="shared" si="15"/>
        <v>0</v>
      </c>
      <c r="BE35" s="734">
        <f t="shared" si="16"/>
        <v>0</v>
      </c>
      <c r="BF35" s="734">
        <f t="shared" si="16"/>
        <v>0</v>
      </c>
      <c r="BG35" s="734">
        <f t="shared" si="16"/>
        <v>0</v>
      </c>
      <c r="BH35" s="734">
        <f t="shared" si="16"/>
        <v>0</v>
      </c>
      <c r="BI35" s="734">
        <f t="shared" si="16"/>
        <v>0</v>
      </c>
      <c r="BJ35" s="734">
        <f t="shared" si="16"/>
        <v>0</v>
      </c>
      <c r="BK35" s="734">
        <f t="shared" si="16"/>
        <v>0</v>
      </c>
      <c r="BL35" s="734">
        <f t="shared" si="16"/>
        <v>0</v>
      </c>
      <c r="BM35" s="734">
        <f t="shared" si="16"/>
        <v>0</v>
      </c>
      <c r="BN35" s="734">
        <f t="shared" si="16"/>
        <v>0</v>
      </c>
      <c r="BO35" s="734">
        <f t="shared" si="16"/>
        <v>0</v>
      </c>
      <c r="BP35" s="734">
        <f t="shared" si="16"/>
        <v>0</v>
      </c>
    </row>
    <row r="36" spans="1:68" ht="15.75" thickBot="1">
      <c r="A36" s="429" t="s">
        <v>197</v>
      </c>
      <c r="B36" s="430"/>
      <c r="C36" s="958" t="str">
        <f>IF($B36&lt;&gt;"",VLOOKUP($B36,COSTS_Town_Home[#All],2),"")</f>
        <v/>
      </c>
      <c r="D36" s="988" t="str">
        <f>IF($B36&lt;&gt;"",VLOOKUP($B36,COSTS_Town_Home[#All],3)/24,"")</f>
        <v/>
      </c>
      <c r="E36" s="993"/>
      <c r="F36" s="994"/>
      <c r="G36" s="983" t="str">
        <f>IF($D36&lt;&gt;"",$D36,"")</f>
        <v/>
      </c>
      <c r="H36" s="980"/>
      <c r="I36" s="736">
        <f t="shared" si="4"/>
        <v>0</v>
      </c>
      <c r="J36" s="736">
        <f t="shared" si="4"/>
        <v>0</v>
      </c>
      <c r="K36" s="736">
        <f t="shared" si="4"/>
        <v>0</v>
      </c>
      <c r="L36" s="736">
        <f t="shared" si="4"/>
        <v>0</v>
      </c>
      <c r="M36" s="736">
        <f t="shared" si="4"/>
        <v>0</v>
      </c>
      <c r="N36" s="736">
        <f t="shared" si="4"/>
        <v>0</v>
      </c>
      <c r="O36" s="736">
        <f t="shared" si="4"/>
        <v>0</v>
      </c>
      <c r="P36" s="736">
        <f t="shared" si="4"/>
        <v>0</v>
      </c>
      <c r="Q36" s="736">
        <f t="shared" si="4"/>
        <v>0</v>
      </c>
      <c r="R36" s="734">
        <f t="shared" si="4"/>
        <v>0</v>
      </c>
      <c r="S36" s="734">
        <f t="shared" si="4"/>
        <v>0</v>
      </c>
      <c r="T36" s="734">
        <f t="shared" si="4"/>
        <v>0</v>
      </c>
      <c r="U36" s="734">
        <f t="shared" si="4"/>
        <v>0</v>
      </c>
      <c r="V36" s="734">
        <f t="shared" si="4"/>
        <v>0</v>
      </c>
      <c r="W36" s="734">
        <f t="shared" si="4"/>
        <v>0</v>
      </c>
      <c r="X36" s="734">
        <f t="shared" si="4"/>
        <v>0</v>
      </c>
      <c r="Y36" s="734">
        <f t="shared" si="14"/>
        <v>0</v>
      </c>
      <c r="Z36" s="734">
        <f t="shared" si="14"/>
        <v>0</v>
      </c>
      <c r="AA36" s="734">
        <f t="shared" si="14"/>
        <v>0</v>
      </c>
      <c r="AB36" s="734">
        <f t="shared" si="14"/>
        <v>0</v>
      </c>
      <c r="AC36" s="734">
        <f t="shared" si="14"/>
        <v>0</v>
      </c>
      <c r="AD36" s="734">
        <f t="shared" si="14"/>
        <v>0</v>
      </c>
      <c r="AE36" s="734">
        <f t="shared" si="14"/>
        <v>0</v>
      </c>
      <c r="AF36" s="734">
        <f t="shared" si="14"/>
        <v>0</v>
      </c>
      <c r="AG36" s="734">
        <f t="shared" si="14"/>
        <v>0</v>
      </c>
      <c r="AH36" s="734">
        <f t="shared" si="14"/>
        <v>0</v>
      </c>
      <c r="AI36" s="734">
        <f t="shared" si="14"/>
        <v>0</v>
      </c>
      <c r="AJ36" s="734">
        <f t="shared" si="14"/>
        <v>0</v>
      </c>
      <c r="AK36" s="734">
        <f t="shared" si="14"/>
        <v>0</v>
      </c>
      <c r="AL36" s="734">
        <f t="shared" si="14"/>
        <v>0</v>
      </c>
      <c r="AM36" s="734">
        <f t="shared" si="14"/>
        <v>0</v>
      </c>
      <c r="AN36" s="734">
        <f t="shared" si="14"/>
        <v>0</v>
      </c>
      <c r="AO36" s="734">
        <f t="shared" si="15"/>
        <v>0</v>
      </c>
      <c r="AP36" s="734">
        <f t="shared" si="15"/>
        <v>0</v>
      </c>
      <c r="AQ36" s="734">
        <f t="shared" si="15"/>
        <v>0</v>
      </c>
      <c r="AR36" s="734">
        <f t="shared" si="15"/>
        <v>0</v>
      </c>
      <c r="AS36" s="734">
        <f t="shared" si="15"/>
        <v>0</v>
      </c>
      <c r="AT36" s="734">
        <f t="shared" si="15"/>
        <v>0</v>
      </c>
      <c r="AU36" s="734">
        <f t="shared" si="15"/>
        <v>0</v>
      </c>
      <c r="AV36" s="734">
        <f t="shared" si="15"/>
        <v>0</v>
      </c>
      <c r="AW36" s="734">
        <f t="shared" si="15"/>
        <v>0</v>
      </c>
      <c r="AX36" s="734">
        <f t="shared" si="15"/>
        <v>0</v>
      </c>
      <c r="AY36" s="734">
        <f t="shared" si="15"/>
        <v>0</v>
      </c>
      <c r="AZ36" s="734">
        <f t="shared" si="15"/>
        <v>0</v>
      </c>
      <c r="BA36" s="734">
        <f t="shared" si="15"/>
        <v>0</v>
      </c>
      <c r="BB36" s="734">
        <f t="shared" si="15"/>
        <v>0</v>
      </c>
      <c r="BC36" s="734">
        <f t="shared" si="15"/>
        <v>0</v>
      </c>
      <c r="BD36" s="734">
        <f t="shared" si="15"/>
        <v>0</v>
      </c>
      <c r="BE36" s="734">
        <f t="shared" si="16"/>
        <v>0</v>
      </c>
      <c r="BF36" s="734">
        <f t="shared" si="16"/>
        <v>0</v>
      </c>
      <c r="BG36" s="734">
        <f t="shared" si="16"/>
        <v>0</v>
      </c>
      <c r="BH36" s="734">
        <f t="shared" si="16"/>
        <v>0</v>
      </c>
      <c r="BI36" s="734">
        <f t="shared" si="16"/>
        <v>0</v>
      </c>
      <c r="BJ36" s="734">
        <f t="shared" si="16"/>
        <v>0</v>
      </c>
      <c r="BK36" s="734">
        <f t="shared" si="16"/>
        <v>0</v>
      </c>
      <c r="BL36" s="734">
        <f t="shared" si="16"/>
        <v>0</v>
      </c>
      <c r="BM36" s="734">
        <f t="shared" si="16"/>
        <v>0</v>
      </c>
      <c r="BN36" s="734">
        <f t="shared" si="16"/>
        <v>0</v>
      </c>
      <c r="BO36" s="734">
        <f t="shared" si="16"/>
        <v>0</v>
      </c>
      <c r="BP36" s="734">
        <f t="shared" si="16"/>
        <v>0</v>
      </c>
    </row>
    <row r="37" spans="1:68" ht="16.5" thickBot="1">
      <c r="A37" s="1015" t="s">
        <v>226</v>
      </c>
      <c r="B37" s="1016"/>
      <c r="C37" s="1016"/>
      <c r="D37" s="1016"/>
      <c r="E37" s="1016"/>
      <c r="F37" s="1016"/>
      <c r="G37" s="1016"/>
      <c r="H37" s="1017"/>
      <c r="I37" s="736">
        <f t="shared" si="4"/>
        <v>0</v>
      </c>
      <c r="J37" s="736">
        <f t="shared" si="4"/>
        <v>0</v>
      </c>
      <c r="K37" s="736">
        <f t="shared" si="4"/>
        <v>0</v>
      </c>
      <c r="L37" s="736">
        <f t="shared" si="4"/>
        <v>0</v>
      </c>
      <c r="M37" s="736">
        <f t="shared" si="4"/>
        <v>0</v>
      </c>
      <c r="N37" s="736">
        <f t="shared" si="4"/>
        <v>0</v>
      </c>
      <c r="O37" s="736">
        <f t="shared" si="4"/>
        <v>0</v>
      </c>
      <c r="P37" s="736">
        <f t="shared" si="4"/>
        <v>0</v>
      </c>
      <c r="Q37" s="736">
        <f t="shared" si="4"/>
        <v>0</v>
      </c>
      <c r="R37" s="734">
        <f t="shared" si="4"/>
        <v>0</v>
      </c>
      <c r="S37" s="734">
        <f t="shared" si="4"/>
        <v>0</v>
      </c>
      <c r="T37" s="734">
        <f t="shared" si="4"/>
        <v>0</v>
      </c>
      <c r="U37" s="734">
        <f t="shared" si="4"/>
        <v>0</v>
      </c>
      <c r="V37" s="734">
        <f t="shared" si="4"/>
        <v>0</v>
      </c>
      <c r="W37" s="734">
        <f t="shared" si="4"/>
        <v>0</v>
      </c>
      <c r="X37" s="734">
        <f t="shared" si="4"/>
        <v>0</v>
      </c>
      <c r="Y37" s="734">
        <f t="shared" si="14"/>
        <v>0</v>
      </c>
      <c r="Z37" s="734">
        <f t="shared" si="14"/>
        <v>0</v>
      </c>
      <c r="AA37" s="734">
        <f t="shared" si="14"/>
        <v>0</v>
      </c>
      <c r="AB37" s="734">
        <f t="shared" si="14"/>
        <v>0</v>
      </c>
      <c r="AC37" s="734">
        <f t="shared" si="14"/>
        <v>0</v>
      </c>
      <c r="AD37" s="734">
        <f t="shared" si="14"/>
        <v>0</v>
      </c>
      <c r="AE37" s="734">
        <f t="shared" si="14"/>
        <v>0</v>
      </c>
      <c r="AF37" s="734">
        <f t="shared" si="14"/>
        <v>0</v>
      </c>
      <c r="AG37" s="734">
        <f t="shared" si="14"/>
        <v>0</v>
      </c>
      <c r="AH37" s="734">
        <f t="shared" si="14"/>
        <v>0</v>
      </c>
      <c r="AI37" s="734">
        <f t="shared" si="14"/>
        <v>0</v>
      </c>
      <c r="AJ37" s="734">
        <f t="shared" si="14"/>
        <v>0</v>
      </c>
      <c r="AK37" s="734">
        <f t="shared" si="14"/>
        <v>0</v>
      </c>
      <c r="AL37" s="734">
        <f t="shared" si="14"/>
        <v>0</v>
      </c>
      <c r="AM37" s="734">
        <f t="shared" si="14"/>
        <v>0</v>
      </c>
      <c r="AN37" s="734">
        <f t="shared" si="14"/>
        <v>0</v>
      </c>
      <c r="AO37" s="734">
        <f t="shared" si="15"/>
        <v>0</v>
      </c>
      <c r="AP37" s="734">
        <f t="shared" si="15"/>
        <v>0</v>
      </c>
      <c r="AQ37" s="734">
        <f t="shared" si="15"/>
        <v>0</v>
      </c>
      <c r="AR37" s="734">
        <f t="shared" si="15"/>
        <v>0</v>
      </c>
      <c r="AS37" s="734">
        <f t="shared" si="15"/>
        <v>0</v>
      </c>
      <c r="AT37" s="734">
        <f t="shared" si="15"/>
        <v>0</v>
      </c>
      <c r="AU37" s="734">
        <f t="shared" si="15"/>
        <v>0</v>
      </c>
      <c r="AV37" s="734">
        <f t="shared" si="15"/>
        <v>0</v>
      </c>
      <c r="AW37" s="734">
        <f t="shared" si="15"/>
        <v>0</v>
      </c>
      <c r="AX37" s="734">
        <f t="shared" si="15"/>
        <v>0</v>
      </c>
      <c r="AY37" s="734">
        <f t="shared" si="15"/>
        <v>0</v>
      </c>
      <c r="AZ37" s="734">
        <f t="shared" si="15"/>
        <v>0</v>
      </c>
      <c r="BA37" s="734">
        <f t="shared" si="15"/>
        <v>0</v>
      </c>
      <c r="BB37" s="734">
        <f t="shared" si="15"/>
        <v>0</v>
      </c>
      <c r="BC37" s="734">
        <f t="shared" si="15"/>
        <v>0</v>
      </c>
      <c r="BD37" s="734">
        <f t="shared" si="15"/>
        <v>0</v>
      </c>
      <c r="BE37" s="734">
        <f t="shared" si="16"/>
        <v>0</v>
      </c>
      <c r="BF37" s="734">
        <f t="shared" si="16"/>
        <v>0</v>
      </c>
      <c r="BG37" s="734">
        <f t="shared" si="16"/>
        <v>0</v>
      </c>
      <c r="BH37" s="734">
        <f t="shared" si="16"/>
        <v>0</v>
      </c>
      <c r="BI37" s="734">
        <f t="shared" si="16"/>
        <v>0</v>
      </c>
      <c r="BJ37" s="734">
        <f t="shared" si="16"/>
        <v>0</v>
      </c>
      <c r="BK37" s="734">
        <f t="shared" si="16"/>
        <v>0</v>
      </c>
      <c r="BL37" s="734">
        <f t="shared" si="16"/>
        <v>0</v>
      </c>
      <c r="BM37" s="734">
        <f t="shared" si="16"/>
        <v>0</v>
      </c>
      <c r="BN37" s="734">
        <f t="shared" si="16"/>
        <v>0</v>
      </c>
      <c r="BO37" s="734">
        <f t="shared" si="16"/>
        <v>0</v>
      </c>
      <c r="BP37" s="734">
        <f t="shared" si="16"/>
        <v>0</v>
      </c>
    </row>
    <row r="38" spans="1:68">
      <c r="A38" s="984" t="s">
        <v>190</v>
      </c>
      <c r="B38" s="985"/>
      <c r="C38" s="956" t="str">
        <f>IF($B38&lt;&gt;"",VLOOKUP($B38,COSTS_Spell_Lightning[#All],2),"")</f>
        <v/>
      </c>
      <c r="D38" s="986" t="str">
        <f>IF($B38&lt;&gt;"",VLOOKUP($B38,COSTS_Spell_Lightning[#All],3)/24,"")</f>
        <v/>
      </c>
      <c r="E38" s="989"/>
      <c r="F38" s="990"/>
      <c r="G38" s="981" t="str">
        <f>IF($D38&lt;&gt;"",$D38,"")</f>
        <v/>
      </c>
      <c r="H38" s="978"/>
      <c r="I38" s="736">
        <f t="shared" si="4"/>
        <v>0</v>
      </c>
      <c r="J38" s="736">
        <f t="shared" si="4"/>
        <v>0</v>
      </c>
      <c r="K38" s="736">
        <f t="shared" si="4"/>
        <v>0</v>
      </c>
      <c r="L38" s="736">
        <f t="shared" si="4"/>
        <v>0</v>
      </c>
      <c r="M38" s="736">
        <f t="shared" si="4"/>
        <v>0</v>
      </c>
      <c r="N38" s="736">
        <f t="shared" si="4"/>
        <v>0</v>
      </c>
      <c r="O38" s="736">
        <f t="shared" si="4"/>
        <v>0</v>
      </c>
      <c r="P38" s="736">
        <f t="shared" ref="P38:AB66" si="18">IF(ISERROR(Plan),0,Plan)</f>
        <v>0</v>
      </c>
      <c r="Q38" s="736">
        <f t="shared" si="18"/>
        <v>0</v>
      </c>
      <c r="R38" s="734">
        <f t="shared" si="18"/>
        <v>0</v>
      </c>
      <c r="S38" s="734">
        <f t="shared" si="18"/>
        <v>0</v>
      </c>
      <c r="T38" s="734">
        <f t="shared" si="18"/>
        <v>0</v>
      </c>
      <c r="U38" s="734">
        <f t="shared" si="18"/>
        <v>0</v>
      </c>
      <c r="V38" s="734">
        <f t="shared" si="18"/>
        <v>0</v>
      </c>
      <c r="W38" s="734">
        <f t="shared" si="18"/>
        <v>0</v>
      </c>
      <c r="X38" s="734">
        <f t="shared" si="18"/>
        <v>0</v>
      </c>
      <c r="Y38" s="734">
        <f t="shared" si="18"/>
        <v>0</v>
      </c>
      <c r="Z38" s="734">
        <f t="shared" si="18"/>
        <v>0</v>
      </c>
      <c r="AA38" s="734">
        <f t="shared" si="18"/>
        <v>0</v>
      </c>
      <c r="AB38" s="734">
        <f t="shared" si="18"/>
        <v>0</v>
      </c>
      <c r="AC38" s="734">
        <f t="shared" si="14"/>
        <v>0</v>
      </c>
      <c r="AD38" s="734">
        <f t="shared" si="14"/>
        <v>0</v>
      </c>
      <c r="AE38" s="734">
        <f t="shared" si="14"/>
        <v>0</v>
      </c>
      <c r="AF38" s="734">
        <f t="shared" si="14"/>
        <v>0</v>
      </c>
      <c r="AG38" s="734">
        <f t="shared" si="14"/>
        <v>0</v>
      </c>
      <c r="AH38" s="734">
        <f t="shared" si="14"/>
        <v>0</v>
      </c>
      <c r="AI38" s="734">
        <f t="shared" si="14"/>
        <v>0</v>
      </c>
      <c r="AJ38" s="734">
        <f t="shared" si="14"/>
        <v>0</v>
      </c>
      <c r="AK38" s="734">
        <f t="shared" si="14"/>
        <v>0</v>
      </c>
      <c r="AL38" s="734">
        <f t="shared" si="14"/>
        <v>0</v>
      </c>
      <c r="AM38" s="734">
        <f t="shared" si="14"/>
        <v>0</v>
      </c>
      <c r="AN38" s="734">
        <f t="shared" si="14"/>
        <v>0</v>
      </c>
      <c r="AO38" s="734">
        <f t="shared" si="15"/>
        <v>0</v>
      </c>
      <c r="AP38" s="734">
        <f t="shared" si="15"/>
        <v>0</v>
      </c>
      <c r="AQ38" s="734">
        <f t="shared" si="15"/>
        <v>0</v>
      </c>
      <c r="AR38" s="734">
        <f t="shared" si="15"/>
        <v>0</v>
      </c>
      <c r="AS38" s="734">
        <f t="shared" si="15"/>
        <v>0</v>
      </c>
      <c r="AT38" s="734">
        <f t="shared" si="15"/>
        <v>0</v>
      </c>
      <c r="AU38" s="734">
        <f t="shared" si="15"/>
        <v>0</v>
      </c>
      <c r="AV38" s="734">
        <f t="shared" si="15"/>
        <v>0</v>
      </c>
      <c r="AW38" s="734">
        <f t="shared" si="15"/>
        <v>0</v>
      </c>
      <c r="AX38" s="734">
        <f t="shared" si="15"/>
        <v>0</v>
      </c>
      <c r="AY38" s="734">
        <f t="shared" si="15"/>
        <v>0</v>
      </c>
      <c r="AZ38" s="734">
        <f t="shared" si="15"/>
        <v>0</v>
      </c>
      <c r="BA38" s="734">
        <f t="shared" si="15"/>
        <v>0</v>
      </c>
      <c r="BB38" s="734">
        <f t="shared" si="15"/>
        <v>0</v>
      </c>
      <c r="BC38" s="734">
        <f t="shared" si="15"/>
        <v>0</v>
      </c>
      <c r="BD38" s="734">
        <f t="shared" si="15"/>
        <v>0</v>
      </c>
      <c r="BE38" s="734">
        <f t="shared" si="16"/>
        <v>0</v>
      </c>
      <c r="BF38" s="734">
        <f t="shared" si="16"/>
        <v>0</v>
      </c>
      <c r="BG38" s="734">
        <f t="shared" si="16"/>
        <v>0</v>
      </c>
      <c r="BH38" s="734">
        <f t="shared" si="16"/>
        <v>0</v>
      </c>
      <c r="BI38" s="734">
        <f t="shared" si="16"/>
        <v>0</v>
      </c>
      <c r="BJ38" s="734">
        <f t="shared" si="16"/>
        <v>0</v>
      </c>
      <c r="BK38" s="734">
        <f t="shared" si="16"/>
        <v>0</v>
      </c>
      <c r="BL38" s="734">
        <f t="shared" si="16"/>
        <v>0</v>
      </c>
      <c r="BM38" s="734">
        <f t="shared" si="16"/>
        <v>0</v>
      </c>
      <c r="BN38" s="734">
        <f t="shared" si="16"/>
        <v>0</v>
      </c>
      <c r="BO38" s="734">
        <f t="shared" si="16"/>
        <v>0</v>
      </c>
      <c r="BP38" s="734">
        <f t="shared" si="16"/>
        <v>0</v>
      </c>
    </row>
    <row r="39" spans="1:68">
      <c r="A39" s="421" t="s">
        <v>191</v>
      </c>
      <c r="B39" s="418"/>
      <c r="C39" s="957" t="str">
        <f>IF($B39&lt;&gt;"",VLOOKUP($B39,COSTS_Spell_Healing[#All],2),"")</f>
        <v/>
      </c>
      <c r="D39" s="987" t="str">
        <f>IF($B39&lt;&gt;"",VLOOKUP($B39,COSTS_Spell_Healing[#All],3)/24,"")</f>
        <v/>
      </c>
      <c r="E39" s="991"/>
      <c r="F39" s="992"/>
      <c r="G39" s="982" t="str">
        <f t="shared" ref="G39:G68" si="19">IF($D39&lt;&gt;"",$D39,"")</f>
        <v/>
      </c>
      <c r="H39" s="979"/>
      <c r="I39" s="736">
        <f t="shared" ref="I39:R67" si="20">IF(ISERROR(Plan),0,Plan)</f>
        <v>0</v>
      </c>
      <c r="J39" s="736">
        <f t="shared" si="20"/>
        <v>0</v>
      </c>
      <c r="K39" s="736">
        <f t="shared" si="20"/>
        <v>0</v>
      </c>
      <c r="L39" s="736">
        <f t="shared" si="20"/>
        <v>0</v>
      </c>
      <c r="M39" s="736">
        <f t="shared" si="20"/>
        <v>0</v>
      </c>
      <c r="N39" s="736">
        <f t="shared" si="20"/>
        <v>0</v>
      </c>
      <c r="O39" s="736">
        <f t="shared" si="20"/>
        <v>0</v>
      </c>
      <c r="P39" s="736">
        <f t="shared" si="20"/>
        <v>0</v>
      </c>
      <c r="Q39" s="736">
        <f t="shared" si="20"/>
        <v>0</v>
      </c>
      <c r="R39" s="734">
        <f t="shared" si="20"/>
        <v>0</v>
      </c>
      <c r="S39" s="734">
        <f t="shared" si="18"/>
        <v>0</v>
      </c>
      <c r="T39" s="734">
        <f t="shared" si="18"/>
        <v>0</v>
      </c>
      <c r="U39" s="734">
        <f t="shared" si="18"/>
        <v>0</v>
      </c>
      <c r="V39" s="734">
        <f t="shared" si="18"/>
        <v>0</v>
      </c>
      <c r="W39" s="734">
        <f t="shared" si="18"/>
        <v>0</v>
      </c>
      <c r="X39" s="734">
        <f t="shared" si="18"/>
        <v>0</v>
      </c>
      <c r="Y39" s="734">
        <f t="shared" si="18"/>
        <v>0</v>
      </c>
      <c r="Z39" s="734">
        <f t="shared" si="18"/>
        <v>0</v>
      </c>
      <c r="AA39" s="734">
        <f t="shared" si="18"/>
        <v>0</v>
      </c>
      <c r="AB39" s="734">
        <f t="shared" si="18"/>
        <v>0</v>
      </c>
      <c r="AC39" s="734">
        <f t="shared" si="14"/>
        <v>0</v>
      </c>
      <c r="AD39" s="734">
        <f t="shared" si="14"/>
        <v>0</v>
      </c>
      <c r="AE39" s="734">
        <f t="shared" si="14"/>
        <v>0</v>
      </c>
      <c r="AF39" s="734">
        <f t="shared" si="14"/>
        <v>0</v>
      </c>
      <c r="AG39" s="734">
        <f t="shared" si="14"/>
        <v>0</v>
      </c>
      <c r="AH39" s="734">
        <f t="shared" si="14"/>
        <v>0</v>
      </c>
      <c r="AI39" s="734">
        <f t="shared" si="14"/>
        <v>0</v>
      </c>
      <c r="AJ39" s="734">
        <f t="shared" si="14"/>
        <v>0</v>
      </c>
      <c r="AK39" s="734">
        <f t="shared" si="14"/>
        <v>0</v>
      </c>
      <c r="AL39" s="734">
        <f t="shared" si="14"/>
        <v>0</v>
      </c>
      <c r="AM39" s="734">
        <f t="shared" si="14"/>
        <v>0</v>
      </c>
      <c r="AN39" s="734">
        <f t="shared" si="14"/>
        <v>0</v>
      </c>
      <c r="AO39" s="734">
        <f t="shared" si="15"/>
        <v>0</v>
      </c>
      <c r="AP39" s="734">
        <f t="shared" si="15"/>
        <v>0</v>
      </c>
      <c r="AQ39" s="734">
        <f t="shared" si="15"/>
        <v>0</v>
      </c>
      <c r="AR39" s="734">
        <f t="shared" si="15"/>
        <v>0</v>
      </c>
      <c r="AS39" s="734">
        <f t="shared" si="15"/>
        <v>0</v>
      </c>
      <c r="AT39" s="734">
        <f t="shared" si="15"/>
        <v>0</v>
      </c>
      <c r="AU39" s="734">
        <f t="shared" si="15"/>
        <v>0</v>
      </c>
      <c r="AV39" s="734">
        <f t="shared" si="15"/>
        <v>0</v>
      </c>
      <c r="AW39" s="734">
        <f t="shared" si="15"/>
        <v>0</v>
      </c>
      <c r="AX39" s="734">
        <f t="shared" si="15"/>
        <v>0</v>
      </c>
      <c r="AY39" s="734">
        <f t="shared" si="15"/>
        <v>0</v>
      </c>
      <c r="AZ39" s="734">
        <f t="shared" si="15"/>
        <v>0</v>
      </c>
      <c r="BA39" s="734">
        <f t="shared" si="15"/>
        <v>0</v>
      </c>
      <c r="BB39" s="734">
        <f t="shared" si="15"/>
        <v>0</v>
      </c>
      <c r="BC39" s="734">
        <f t="shared" si="15"/>
        <v>0</v>
      </c>
      <c r="BD39" s="734">
        <f t="shared" si="15"/>
        <v>0</v>
      </c>
      <c r="BE39" s="734">
        <f t="shared" si="16"/>
        <v>0</v>
      </c>
      <c r="BF39" s="734">
        <f t="shared" si="16"/>
        <v>0</v>
      </c>
      <c r="BG39" s="734">
        <f t="shared" si="16"/>
        <v>0</v>
      </c>
      <c r="BH39" s="734">
        <f t="shared" si="16"/>
        <v>0</v>
      </c>
      <c r="BI39" s="734">
        <f t="shared" si="16"/>
        <v>0</v>
      </c>
      <c r="BJ39" s="734">
        <f t="shared" si="16"/>
        <v>0</v>
      </c>
      <c r="BK39" s="734">
        <f t="shared" si="16"/>
        <v>0</v>
      </c>
      <c r="BL39" s="734">
        <f t="shared" si="16"/>
        <v>0</v>
      </c>
      <c r="BM39" s="734">
        <f t="shared" si="16"/>
        <v>0</v>
      </c>
      <c r="BN39" s="734">
        <f t="shared" si="16"/>
        <v>0</v>
      </c>
      <c r="BO39" s="734">
        <f t="shared" si="16"/>
        <v>0</v>
      </c>
      <c r="BP39" s="734">
        <f t="shared" si="16"/>
        <v>0</v>
      </c>
    </row>
    <row r="40" spans="1:68">
      <c r="A40" s="421" t="s">
        <v>192</v>
      </c>
      <c r="B40" s="418"/>
      <c r="C40" s="957" t="str">
        <f>IF($B40&lt;&gt;"",VLOOKUP($B40,COSTS_Spell_Rage[#All],2),"")</f>
        <v/>
      </c>
      <c r="D40" s="987" t="str">
        <f>IF($B40&lt;&gt;"",VLOOKUP($B40,COSTS_Spell_Rage[#All],3)/24,"")</f>
        <v/>
      </c>
      <c r="E40" s="991"/>
      <c r="F40" s="992"/>
      <c r="G40" s="982" t="str">
        <f t="shared" si="19"/>
        <v/>
      </c>
      <c r="H40" s="979"/>
      <c r="I40" s="736">
        <f t="shared" si="20"/>
        <v>0</v>
      </c>
      <c r="J40" s="736">
        <f t="shared" si="20"/>
        <v>0</v>
      </c>
      <c r="K40" s="736">
        <f t="shared" si="20"/>
        <v>0</v>
      </c>
      <c r="L40" s="736">
        <f t="shared" si="20"/>
        <v>0</v>
      </c>
      <c r="M40" s="736">
        <f t="shared" si="20"/>
        <v>0</v>
      </c>
      <c r="N40" s="736">
        <f t="shared" si="20"/>
        <v>0</v>
      </c>
      <c r="O40" s="736">
        <f t="shared" si="20"/>
        <v>0</v>
      </c>
      <c r="P40" s="736">
        <f t="shared" si="20"/>
        <v>0</v>
      </c>
      <c r="Q40" s="736">
        <f t="shared" si="20"/>
        <v>0</v>
      </c>
      <c r="R40" s="734">
        <f t="shared" si="20"/>
        <v>0</v>
      </c>
      <c r="S40" s="734">
        <f t="shared" si="18"/>
        <v>0</v>
      </c>
      <c r="T40" s="734">
        <f t="shared" si="18"/>
        <v>0</v>
      </c>
      <c r="U40" s="734">
        <f t="shared" si="18"/>
        <v>0</v>
      </c>
      <c r="V40" s="734">
        <f t="shared" si="18"/>
        <v>0</v>
      </c>
      <c r="W40" s="734">
        <f t="shared" si="18"/>
        <v>0</v>
      </c>
      <c r="X40" s="734">
        <f t="shared" si="18"/>
        <v>0</v>
      </c>
      <c r="Y40" s="734">
        <f t="shared" si="18"/>
        <v>0</v>
      </c>
      <c r="Z40" s="734">
        <f t="shared" si="18"/>
        <v>0</v>
      </c>
      <c r="AA40" s="734">
        <f t="shared" si="18"/>
        <v>0</v>
      </c>
      <c r="AB40" s="734">
        <f t="shared" si="18"/>
        <v>0</v>
      </c>
      <c r="AC40" s="734">
        <f t="shared" si="14"/>
        <v>0</v>
      </c>
      <c r="AD40" s="734">
        <f t="shared" si="14"/>
        <v>0</v>
      </c>
      <c r="AE40" s="734">
        <f t="shared" si="14"/>
        <v>0</v>
      </c>
      <c r="AF40" s="734">
        <f t="shared" si="14"/>
        <v>0</v>
      </c>
      <c r="AG40" s="734">
        <f t="shared" si="14"/>
        <v>0</v>
      </c>
      <c r="AH40" s="734">
        <f t="shared" si="14"/>
        <v>0</v>
      </c>
      <c r="AI40" s="734">
        <f t="shared" si="14"/>
        <v>0</v>
      </c>
      <c r="AJ40" s="734">
        <f t="shared" si="14"/>
        <v>0</v>
      </c>
      <c r="AK40" s="734">
        <f t="shared" si="14"/>
        <v>0</v>
      </c>
      <c r="AL40" s="734">
        <f t="shared" si="14"/>
        <v>0</v>
      </c>
      <c r="AM40" s="734">
        <f t="shared" si="14"/>
        <v>0</v>
      </c>
      <c r="AN40" s="734">
        <f t="shared" si="14"/>
        <v>0</v>
      </c>
      <c r="AO40" s="734">
        <f t="shared" si="15"/>
        <v>0</v>
      </c>
      <c r="AP40" s="734">
        <f t="shared" si="15"/>
        <v>0</v>
      </c>
      <c r="AQ40" s="734">
        <f t="shared" si="15"/>
        <v>0</v>
      </c>
      <c r="AR40" s="734">
        <f t="shared" si="15"/>
        <v>0</v>
      </c>
      <c r="AS40" s="734">
        <f t="shared" si="15"/>
        <v>0</v>
      </c>
      <c r="AT40" s="734">
        <f t="shared" si="15"/>
        <v>0</v>
      </c>
      <c r="AU40" s="734">
        <f t="shared" si="15"/>
        <v>0</v>
      </c>
      <c r="AV40" s="734">
        <f t="shared" si="15"/>
        <v>0</v>
      </c>
      <c r="AW40" s="734">
        <f t="shared" si="15"/>
        <v>0</v>
      </c>
      <c r="AX40" s="734">
        <f t="shared" si="15"/>
        <v>0</v>
      </c>
      <c r="AY40" s="734">
        <f t="shared" si="15"/>
        <v>0</v>
      </c>
      <c r="AZ40" s="734">
        <f t="shared" si="15"/>
        <v>0</v>
      </c>
      <c r="BA40" s="734">
        <f t="shared" si="15"/>
        <v>0</v>
      </c>
      <c r="BB40" s="734">
        <f t="shared" si="15"/>
        <v>0</v>
      </c>
      <c r="BC40" s="734">
        <f t="shared" si="15"/>
        <v>0</v>
      </c>
      <c r="BD40" s="734">
        <f t="shared" si="15"/>
        <v>0</v>
      </c>
      <c r="BE40" s="734">
        <f t="shared" si="16"/>
        <v>0</v>
      </c>
      <c r="BF40" s="734">
        <f t="shared" si="16"/>
        <v>0</v>
      </c>
      <c r="BG40" s="734">
        <f t="shared" si="16"/>
        <v>0</v>
      </c>
      <c r="BH40" s="734">
        <f t="shared" si="16"/>
        <v>0</v>
      </c>
      <c r="BI40" s="734">
        <f t="shared" si="16"/>
        <v>0</v>
      </c>
      <c r="BJ40" s="734">
        <f t="shared" si="16"/>
        <v>0</v>
      </c>
      <c r="BK40" s="734">
        <f t="shared" si="16"/>
        <v>0</v>
      </c>
      <c r="BL40" s="734">
        <f t="shared" si="16"/>
        <v>0</v>
      </c>
      <c r="BM40" s="734">
        <f t="shared" si="16"/>
        <v>0</v>
      </c>
      <c r="BN40" s="734">
        <f t="shared" si="16"/>
        <v>0</v>
      </c>
      <c r="BO40" s="734">
        <f t="shared" si="16"/>
        <v>0</v>
      </c>
      <c r="BP40" s="734">
        <f t="shared" si="16"/>
        <v>0</v>
      </c>
    </row>
    <row r="41" spans="1:68">
      <c r="A41" s="421" t="s">
        <v>193</v>
      </c>
      <c r="B41" s="418"/>
      <c r="C41" s="957" t="str">
        <f>IF($B41&lt;&gt;"",VLOOKUP($B41,COSTS_Spell_Jump[#All],2),"")</f>
        <v/>
      </c>
      <c r="D41" s="987" t="str">
        <f>IF($B41&lt;&gt;"",VLOOKUP($B41,COSTS_Spell_Jump[#All],3)/24,"")</f>
        <v/>
      </c>
      <c r="E41" s="991"/>
      <c r="F41" s="992"/>
      <c r="G41" s="982" t="str">
        <f t="shared" si="19"/>
        <v/>
      </c>
      <c r="H41" s="979"/>
      <c r="I41" s="736">
        <f t="shared" si="20"/>
        <v>0</v>
      </c>
      <c r="J41" s="736">
        <f t="shared" si="20"/>
        <v>0</v>
      </c>
      <c r="K41" s="736">
        <f t="shared" si="20"/>
        <v>0</v>
      </c>
      <c r="L41" s="736">
        <f t="shared" si="20"/>
        <v>0</v>
      </c>
      <c r="M41" s="736">
        <f t="shared" si="20"/>
        <v>0</v>
      </c>
      <c r="N41" s="736">
        <f t="shared" si="20"/>
        <v>0</v>
      </c>
      <c r="O41" s="736">
        <f t="shared" si="20"/>
        <v>0</v>
      </c>
      <c r="P41" s="736">
        <f t="shared" si="20"/>
        <v>0</v>
      </c>
      <c r="Q41" s="736">
        <f t="shared" si="20"/>
        <v>0</v>
      </c>
      <c r="R41" s="734">
        <f t="shared" si="20"/>
        <v>0</v>
      </c>
      <c r="S41" s="734">
        <f t="shared" si="18"/>
        <v>0</v>
      </c>
      <c r="T41" s="734">
        <f t="shared" si="18"/>
        <v>0</v>
      </c>
      <c r="U41" s="734">
        <f t="shared" si="18"/>
        <v>0</v>
      </c>
      <c r="V41" s="734">
        <f t="shared" si="18"/>
        <v>0</v>
      </c>
      <c r="W41" s="734">
        <f t="shared" si="18"/>
        <v>0</v>
      </c>
      <c r="X41" s="734">
        <f t="shared" si="18"/>
        <v>0</v>
      </c>
      <c r="Y41" s="734">
        <f t="shared" si="18"/>
        <v>0</v>
      </c>
      <c r="Z41" s="734">
        <f t="shared" si="18"/>
        <v>0</v>
      </c>
      <c r="AA41" s="734">
        <f t="shared" si="18"/>
        <v>0</v>
      </c>
      <c r="AB41" s="734">
        <f t="shared" si="18"/>
        <v>0</v>
      </c>
      <c r="AC41" s="734">
        <f t="shared" si="14"/>
        <v>0</v>
      </c>
      <c r="AD41" s="734">
        <f t="shared" si="14"/>
        <v>0</v>
      </c>
      <c r="AE41" s="734">
        <f t="shared" si="14"/>
        <v>0</v>
      </c>
      <c r="AF41" s="734">
        <f t="shared" si="14"/>
        <v>0</v>
      </c>
      <c r="AG41" s="734">
        <f t="shared" si="14"/>
        <v>0</v>
      </c>
      <c r="AH41" s="734">
        <f t="shared" si="14"/>
        <v>0</v>
      </c>
      <c r="AI41" s="734">
        <f t="shared" si="14"/>
        <v>0</v>
      </c>
      <c r="AJ41" s="734">
        <f t="shared" si="14"/>
        <v>0</v>
      </c>
      <c r="AK41" s="734">
        <f t="shared" si="14"/>
        <v>0</v>
      </c>
      <c r="AL41" s="734">
        <f t="shared" si="14"/>
        <v>0</v>
      </c>
      <c r="AM41" s="734">
        <f t="shared" si="14"/>
        <v>0</v>
      </c>
      <c r="AN41" s="734">
        <f t="shared" si="14"/>
        <v>0</v>
      </c>
      <c r="AO41" s="734">
        <f t="shared" si="15"/>
        <v>0</v>
      </c>
      <c r="AP41" s="734">
        <f t="shared" si="15"/>
        <v>0</v>
      </c>
      <c r="AQ41" s="734">
        <f t="shared" si="15"/>
        <v>0</v>
      </c>
      <c r="AR41" s="734">
        <f t="shared" si="15"/>
        <v>0</v>
      </c>
      <c r="AS41" s="734">
        <f t="shared" si="15"/>
        <v>0</v>
      </c>
      <c r="AT41" s="734">
        <f t="shared" si="15"/>
        <v>0</v>
      </c>
      <c r="AU41" s="734">
        <f t="shared" si="15"/>
        <v>0</v>
      </c>
      <c r="AV41" s="734">
        <f t="shared" si="15"/>
        <v>0</v>
      </c>
      <c r="AW41" s="734">
        <f t="shared" si="15"/>
        <v>0</v>
      </c>
      <c r="AX41" s="734">
        <f t="shared" si="15"/>
        <v>0</v>
      </c>
      <c r="AY41" s="734">
        <f t="shared" si="15"/>
        <v>0</v>
      </c>
      <c r="AZ41" s="734">
        <f t="shared" si="15"/>
        <v>0</v>
      </c>
      <c r="BA41" s="734">
        <f t="shared" si="15"/>
        <v>0</v>
      </c>
      <c r="BB41" s="734">
        <f t="shared" si="15"/>
        <v>0</v>
      </c>
      <c r="BC41" s="734">
        <f t="shared" si="15"/>
        <v>0</v>
      </c>
      <c r="BD41" s="734">
        <f t="shared" si="15"/>
        <v>0</v>
      </c>
      <c r="BE41" s="734">
        <f t="shared" si="16"/>
        <v>0</v>
      </c>
      <c r="BF41" s="734">
        <f t="shared" si="16"/>
        <v>0</v>
      </c>
      <c r="BG41" s="734">
        <f t="shared" si="16"/>
        <v>0</v>
      </c>
      <c r="BH41" s="734">
        <f t="shared" si="16"/>
        <v>0</v>
      </c>
      <c r="BI41" s="734">
        <f t="shared" si="16"/>
        <v>0</v>
      </c>
      <c r="BJ41" s="734">
        <f t="shared" si="16"/>
        <v>0</v>
      </c>
      <c r="BK41" s="734">
        <f t="shared" si="16"/>
        <v>0</v>
      </c>
      <c r="BL41" s="734">
        <f t="shared" si="16"/>
        <v>0</v>
      </c>
      <c r="BM41" s="734">
        <f t="shared" si="16"/>
        <v>0</v>
      </c>
      <c r="BN41" s="734">
        <f t="shared" si="16"/>
        <v>0</v>
      </c>
      <c r="BO41" s="734">
        <f t="shared" si="16"/>
        <v>0</v>
      </c>
      <c r="BP41" s="734">
        <f t="shared" si="16"/>
        <v>0</v>
      </c>
    </row>
    <row r="42" spans="1:68">
      <c r="A42" s="421" t="s">
        <v>194</v>
      </c>
      <c r="B42" s="418"/>
      <c r="C42" s="957" t="str">
        <f>IF($B42&lt;&gt;"",VLOOKUP($B42,COSTS_Spell_Freeze[#All],2),"")</f>
        <v/>
      </c>
      <c r="D42" s="987" t="str">
        <f>IF($B42&lt;&gt;"",VLOOKUP($B42,COSTS_Spell_Freeze[#All],3)/24,"")</f>
        <v/>
      </c>
      <c r="E42" s="991"/>
      <c r="F42" s="992"/>
      <c r="G42" s="982" t="str">
        <f t="shared" si="19"/>
        <v/>
      </c>
      <c r="H42" s="979"/>
      <c r="I42" s="736">
        <f t="shared" si="20"/>
        <v>0</v>
      </c>
      <c r="J42" s="736">
        <f t="shared" si="20"/>
        <v>0</v>
      </c>
      <c r="K42" s="736">
        <f t="shared" si="20"/>
        <v>0</v>
      </c>
      <c r="L42" s="736">
        <f t="shared" si="20"/>
        <v>0</v>
      </c>
      <c r="M42" s="736">
        <f t="shared" si="20"/>
        <v>0</v>
      </c>
      <c r="N42" s="736">
        <f t="shared" si="20"/>
        <v>0</v>
      </c>
      <c r="O42" s="736">
        <f t="shared" si="20"/>
        <v>0</v>
      </c>
      <c r="P42" s="736">
        <f t="shared" si="20"/>
        <v>0</v>
      </c>
      <c r="Q42" s="736">
        <f t="shared" si="20"/>
        <v>0</v>
      </c>
      <c r="R42" s="734">
        <f t="shared" si="20"/>
        <v>0</v>
      </c>
      <c r="S42" s="734">
        <f t="shared" si="18"/>
        <v>0</v>
      </c>
      <c r="T42" s="734">
        <f t="shared" si="18"/>
        <v>0</v>
      </c>
      <c r="U42" s="734">
        <f t="shared" si="18"/>
        <v>0</v>
      </c>
      <c r="V42" s="734">
        <f t="shared" si="18"/>
        <v>0</v>
      </c>
      <c r="W42" s="734">
        <f t="shared" si="18"/>
        <v>0</v>
      </c>
      <c r="X42" s="734">
        <f t="shared" si="18"/>
        <v>0</v>
      </c>
      <c r="Y42" s="734">
        <f t="shared" si="18"/>
        <v>0</v>
      </c>
      <c r="Z42" s="734">
        <f t="shared" si="18"/>
        <v>0</v>
      </c>
      <c r="AA42" s="734">
        <f t="shared" si="18"/>
        <v>0</v>
      </c>
      <c r="AB42" s="734">
        <f t="shared" si="18"/>
        <v>0</v>
      </c>
      <c r="AC42" s="734">
        <f t="shared" si="14"/>
        <v>0</v>
      </c>
      <c r="AD42" s="734">
        <f t="shared" si="14"/>
        <v>0</v>
      </c>
      <c r="AE42" s="734">
        <f t="shared" si="14"/>
        <v>0</v>
      </c>
      <c r="AF42" s="734">
        <f t="shared" si="14"/>
        <v>0</v>
      </c>
      <c r="AG42" s="734">
        <f t="shared" si="14"/>
        <v>0</v>
      </c>
      <c r="AH42" s="734">
        <f t="shared" si="14"/>
        <v>0</v>
      </c>
      <c r="AI42" s="734">
        <f t="shared" si="14"/>
        <v>0</v>
      </c>
      <c r="AJ42" s="734">
        <f t="shared" si="14"/>
        <v>0</v>
      </c>
      <c r="AK42" s="734">
        <f t="shared" si="14"/>
        <v>0</v>
      </c>
      <c r="AL42" s="734">
        <f t="shared" si="14"/>
        <v>0</v>
      </c>
      <c r="AM42" s="734">
        <f t="shared" si="14"/>
        <v>0</v>
      </c>
      <c r="AN42" s="734">
        <f t="shared" si="14"/>
        <v>0</v>
      </c>
      <c r="AO42" s="734">
        <f t="shared" si="15"/>
        <v>0</v>
      </c>
      <c r="AP42" s="734">
        <f t="shared" si="15"/>
        <v>0</v>
      </c>
      <c r="AQ42" s="734">
        <f t="shared" si="15"/>
        <v>0</v>
      </c>
      <c r="AR42" s="734">
        <f t="shared" si="15"/>
        <v>0</v>
      </c>
      <c r="AS42" s="734">
        <f t="shared" si="15"/>
        <v>0</v>
      </c>
      <c r="AT42" s="734">
        <f t="shared" si="15"/>
        <v>0</v>
      </c>
      <c r="AU42" s="734">
        <f t="shared" si="15"/>
        <v>0</v>
      </c>
      <c r="AV42" s="734">
        <f t="shared" si="15"/>
        <v>0</v>
      </c>
      <c r="AW42" s="734">
        <f t="shared" si="15"/>
        <v>0</v>
      </c>
      <c r="AX42" s="734">
        <f t="shared" si="15"/>
        <v>0</v>
      </c>
      <c r="AY42" s="734">
        <f t="shared" si="15"/>
        <v>0</v>
      </c>
      <c r="AZ42" s="734">
        <f t="shared" si="15"/>
        <v>0</v>
      </c>
      <c r="BA42" s="734">
        <f t="shared" si="15"/>
        <v>0</v>
      </c>
      <c r="BB42" s="734">
        <f t="shared" si="15"/>
        <v>0</v>
      </c>
      <c r="BC42" s="734">
        <f t="shared" si="15"/>
        <v>0</v>
      </c>
      <c r="BD42" s="734">
        <f t="shared" ref="AW42:BF71" si="21">IF(ISERROR(Plan),0,Plan)</f>
        <v>0</v>
      </c>
      <c r="BE42" s="734">
        <f t="shared" si="21"/>
        <v>0</v>
      </c>
      <c r="BF42" s="734">
        <f t="shared" si="21"/>
        <v>0</v>
      </c>
      <c r="BG42" s="734">
        <f t="shared" si="16"/>
        <v>0</v>
      </c>
      <c r="BH42" s="734">
        <f t="shared" si="16"/>
        <v>0</v>
      </c>
      <c r="BI42" s="734">
        <f t="shared" si="16"/>
        <v>0</v>
      </c>
      <c r="BJ42" s="734">
        <f t="shared" si="16"/>
        <v>0</v>
      </c>
      <c r="BK42" s="734">
        <f t="shared" si="16"/>
        <v>0</v>
      </c>
      <c r="BL42" s="734">
        <f t="shared" si="16"/>
        <v>0</v>
      </c>
      <c r="BM42" s="734">
        <f t="shared" si="16"/>
        <v>0</v>
      </c>
      <c r="BN42" s="734">
        <f t="shared" si="16"/>
        <v>0</v>
      </c>
      <c r="BO42" s="734">
        <f t="shared" si="16"/>
        <v>0</v>
      </c>
      <c r="BP42" s="734">
        <f t="shared" si="16"/>
        <v>0</v>
      </c>
    </row>
    <row r="43" spans="1:68">
      <c r="A43" s="421" t="s">
        <v>707</v>
      </c>
      <c r="B43" s="418"/>
      <c r="C43" s="426" t="str">
        <f>IF($B43&lt;&gt;"",VLOOKUP($B43,COSTS_Spell_Poison[#All],2),"")</f>
        <v/>
      </c>
      <c r="D43" s="987" t="str">
        <f>IF($B43&lt;&gt;"",VLOOKUP($B43,COSTS_Spell_Poison[#All],3)/24,"")</f>
        <v/>
      </c>
      <c r="E43" s="991"/>
      <c r="F43" s="992"/>
      <c r="G43" s="982" t="str">
        <f t="shared" si="19"/>
        <v/>
      </c>
      <c r="H43" s="979"/>
      <c r="I43" s="736">
        <f t="shared" ref="I43:BP47" si="22">IF(ISERROR(Plan),0,Plan)</f>
        <v>0</v>
      </c>
      <c r="J43" s="736">
        <f t="shared" si="22"/>
        <v>0</v>
      </c>
      <c r="K43" s="736">
        <f t="shared" si="22"/>
        <v>0</v>
      </c>
      <c r="L43" s="736">
        <f t="shared" si="22"/>
        <v>0</v>
      </c>
      <c r="M43" s="736">
        <f t="shared" si="22"/>
        <v>0</v>
      </c>
      <c r="N43" s="736">
        <f t="shared" si="22"/>
        <v>0</v>
      </c>
      <c r="O43" s="736">
        <f t="shared" si="22"/>
        <v>0</v>
      </c>
      <c r="P43" s="736">
        <f t="shared" si="22"/>
        <v>0</v>
      </c>
      <c r="Q43" s="736">
        <f t="shared" si="22"/>
        <v>0</v>
      </c>
      <c r="R43" s="734">
        <f t="shared" si="22"/>
        <v>0</v>
      </c>
      <c r="S43" s="734">
        <f t="shared" si="22"/>
        <v>0</v>
      </c>
      <c r="T43" s="734">
        <f t="shared" si="22"/>
        <v>0</v>
      </c>
      <c r="U43" s="734">
        <f t="shared" si="22"/>
        <v>0</v>
      </c>
      <c r="V43" s="734">
        <f t="shared" si="22"/>
        <v>0</v>
      </c>
      <c r="W43" s="734">
        <f t="shared" si="22"/>
        <v>0</v>
      </c>
      <c r="X43" s="734">
        <f t="shared" si="22"/>
        <v>0</v>
      </c>
      <c r="Y43" s="734">
        <f t="shared" si="22"/>
        <v>0</v>
      </c>
      <c r="Z43" s="734">
        <f t="shared" si="22"/>
        <v>0</v>
      </c>
      <c r="AA43" s="734">
        <f t="shared" si="22"/>
        <v>0</v>
      </c>
      <c r="AB43" s="734">
        <f t="shared" si="22"/>
        <v>0</v>
      </c>
      <c r="AC43" s="734">
        <f t="shared" si="22"/>
        <v>0</v>
      </c>
      <c r="AD43" s="734">
        <f t="shared" si="22"/>
        <v>0</v>
      </c>
      <c r="AE43" s="734">
        <f t="shared" si="22"/>
        <v>0</v>
      </c>
      <c r="AF43" s="734">
        <f t="shared" si="22"/>
        <v>0</v>
      </c>
      <c r="AG43" s="734">
        <f t="shared" si="22"/>
        <v>0</v>
      </c>
      <c r="AH43" s="734">
        <f t="shared" si="22"/>
        <v>0</v>
      </c>
      <c r="AI43" s="734">
        <f t="shared" si="22"/>
        <v>0</v>
      </c>
      <c r="AJ43" s="734">
        <f t="shared" si="22"/>
        <v>0</v>
      </c>
      <c r="AK43" s="734">
        <f t="shared" si="22"/>
        <v>0</v>
      </c>
      <c r="AL43" s="734">
        <f t="shared" si="22"/>
        <v>0</v>
      </c>
      <c r="AM43" s="734">
        <f t="shared" si="22"/>
        <v>0</v>
      </c>
      <c r="AN43" s="734">
        <f t="shared" si="22"/>
        <v>0</v>
      </c>
      <c r="AO43" s="734">
        <f t="shared" si="22"/>
        <v>0</v>
      </c>
      <c r="AP43" s="734">
        <f t="shared" si="22"/>
        <v>0</v>
      </c>
      <c r="AQ43" s="734">
        <f t="shared" si="22"/>
        <v>0</v>
      </c>
      <c r="AR43" s="734">
        <f t="shared" si="22"/>
        <v>0</v>
      </c>
      <c r="AS43" s="734">
        <f t="shared" si="22"/>
        <v>0</v>
      </c>
      <c r="AT43" s="734">
        <f t="shared" si="22"/>
        <v>0</v>
      </c>
      <c r="AU43" s="734">
        <f t="shared" si="22"/>
        <v>0</v>
      </c>
      <c r="AV43" s="734">
        <f t="shared" si="22"/>
        <v>0</v>
      </c>
      <c r="AW43" s="734">
        <f t="shared" si="22"/>
        <v>0</v>
      </c>
      <c r="AX43" s="734">
        <f t="shared" si="22"/>
        <v>0</v>
      </c>
      <c r="AY43" s="734">
        <f t="shared" si="22"/>
        <v>0</v>
      </c>
      <c r="AZ43" s="734">
        <f t="shared" si="22"/>
        <v>0</v>
      </c>
      <c r="BA43" s="734">
        <f t="shared" si="22"/>
        <v>0</v>
      </c>
      <c r="BB43" s="734">
        <f t="shared" si="22"/>
        <v>0</v>
      </c>
      <c r="BC43" s="734">
        <f t="shared" si="22"/>
        <v>0</v>
      </c>
      <c r="BD43" s="734">
        <f t="shared" si="22"/>
        <v>0</v>
      </c>
      <c r="BE43" s="734">
        <f t="shared" si="22"/>
        <v>0</v>
      </c>
      <c r="BF43" s="734">
        <f t="shared" si="22"/>
        <v>0</v>
      </c>
      <c r="BG43" s="734">
        <f t="shared" si="22"/>
        <v>0</v>
      </c>
      <c r="BH43" s="734">
        <f t="shared" si="22"/>
        <v>0</v>
      </c>
      <c r="BI43" s="734">
        <f t="shared" si="22"/>
        <v>0</v>
      </c>
      <c r="BJ43" s="734">
        <f t="shared" si="22"/>
        <v>0</v>
      </c>
      <c r="BK43" s="734">
        <f t="shared" si="22"/>
        <v>0</v>
      </c>
      <c r="BL43" s="734">
        <f t="shared" si="22"/>
        <v>0</v>
      </c>
      <c r="BM43" s="734">
        <f t="shared" si="22"/>
        <v>0</v>
      </c>
      <c r="BN43" s="734">
        <f t="shared" si="22"/>
        <v>0</v>
      </c>
      <c r="BO43" s="734">
        <f t="shared" si="22"/>
        <v>0</v>
      </c>
      <c r="BP43" s="734">
        <f t="shared" si="22"/>
        <v>0</v>
      </c>
    </row>
    <row r="44" spans="1:68">
      <c r="A44" s="421" t="s">
        <v>719</v>
      </c>
      <c r="B44" s="418"/>
      <c r="C44" s="426" t="str">
        <f>IF($B44&lt;&gt;"",VLOOKUP($B44,COSTS_Spell_Earthquake[#All],2),"")</f>
        <v/>
      </c>
      <c r="D44" s="987" t="str">
        <f>IF($B44&lt;&gt;"",VLOOKUP($B44,COSTS_Spell_Earthquake[#All],3)/24,"")</f>
        <v/>
      </c>
      <c r="E44" s="991"/>
      <c r="F44" s="992"/>
      <c r="G44" s="982" t="str">
        <f t="shared" si="19"/>
        <v/>
      </c>
      <c r="H44" s="979"/>
      <c r="I44" s="736">
        <f t="shared" si="22"/>
        <v>0</v>
      </c>
      <c r="J44" s="736">
        <f t="shared" si="22"/>
        <v>0</v>
      </c>
      <c r="K44" s="736">
        <f t="shared" si="22"/>
        <v>0</v>
      </c>
      <c r="L44" s="736">
        <f t="shared" si="22"/>
        <v>0</v>
      </c>
      <c r="M44" s="736">
        <f t="shared" si="22"/>
        <v>0</v>
      </c>
      <c r="N44" s="736">
        <f t="shared" si="22"/>
        <v>0</v>
      </c>
      <c r="O44" s="736">
        <f t="shared" si="22"/>
        <v>0</v>
      </c>
      <c r="P44" s="736">
        <f t="shared" si="22"/>
        <v>0</v>
      </c>
      <c r="Q44" s="736">
        <f t="shared" si="22"/>
        <v>0</v>
      </c>
      <c r="R44" s="734">
        <f t="shared" si="22"/>
        <v>0</v>
      </c>
      <c r="S44" s="734">
        <f t="shared" si="22"/>
        <v>0</v>
      </c>
      <c r="T44" s="734">
        <f t="shared" si="22"/>
        <v>0</v>
      </c>
      <c r="U44" s="734">
        <f t="shared" si="22"/>
        <v>0</v>
      </c>
      <c r="V44" s="734">
        <f t="shared" si="22"/>
        <v>0</v>
      </c>
      <c r="W44" s="734">
        <f t="shared" si="22"/>
        <v>0</v>
      </c>
      <c r="X44" s="734">
        <f t="shared" si="22"/>
        <v>0</v>
      </c>
      <c r="Y44" s="734">
        <f t="shared" si="22"/>
        <v>0</v>
      </c>
      <c r="Z44" s="734">
        <f t="shared" si="22"/>
        <v>0</v>
      </c>
      <c r="AA44" s="734">
        <f t="shared" si="22"/>
        <v>0</v>
      </c>
      <c r="AB44" s="734">
        <f t="shared" si="22"/>
        <v>0</v>
      </c>
      <c r="AC44" s="734">
        <f t="shared" si="22"/>
        <v>0</v>
      </c>
      <c r="AD44" s="734">
        <f t="shared" si="22"/>
        <v>0</v>
      </c>
      <c r="AE44" s="734">
        <f t="shared" si="22"/>
        <v>0</v>
      </c>
      <c r="AF44" s="734">
        <f t="shared" si="22"/>
        <v>0</v>
      </c>
      <c r="AG44" s="734">
        <f t="shared" si="22"/>
        <v>0</v>
      </c>
      <c r="AH44" s="734">
        <f t="shared" si="22"/>
        <v>0</v>
      </c>
      <c r="AI44" s="734">
        <f t="shared" si="22"/>
        <v>0</v>
      </c>
      <c r="AJ44" s="734">
        <f t="shared" si="22"/>
        <v>0</v>
      </c>
      <c r="AK44" s="734">
        <f t="shared" si="22"/>
        <v>0</v>
      </c>
      <c r="AL44" s="734">
        <f t="shared" si="22"/>
        <v>0</v>
      </c>
      <c r="AM44" s="734">
        <f t="shared" si="22"/>
        <v>0</v>
      </c>
      <c r="AN44" s="734">
        <f t="shared" si="22"/>
        <v>0</v>
      </c>
      <c r="AO44" s="734">
        <f t="shared" si="22"/>
        <v>0</v>
      </c>
      <c r="AP44" s="734">
        <f t="shared" si="22"/>
        <v>0</v>
      </c>
      <c r="AQ44" s="734">
        <f t="shared" si="22"/>
        <v>0</v>
      </c>
      <c r="AR44" s="734">
        <f t="shared" si="22"/>
        <v>0</v>
      </c>
      <c r="AS44" s="734">
        <f t="shared" si="22"/>
        <v>0</v>
      </c>
      <c r="AT44" s="734">
        <f t="shared" si="22"/>
        <v>0</v>
      </c>
      <c r="AU44" s="734">
        <f t="shared" si="22"/>
        <v>0</v>
      </c>
      <c r="AV44" s="734">
        <f t="shared" si="22"/>
        <v>0</v>
      </c>
      <c r="AW44" s="734">
        <f t="shared" si="22"/>
        <v>0</v>
      </c>
      <c r="AX44" s="734">
        <f t="shared" si="22"/>
        <v>0</v>
      </c>
      <c r="AY44" s="734">
        <f t="shared" si="22"/>
        <v>0</v>
      </c>
      <c r="AZ44" s="734">
        <f t="shared" si="22"/>
        <v>0</v>
      </c>
      <c r="BA44" s="734">
        <f t="shared" si="22"/>
        <v>0</v>
      </c>
      <c r="BB44" s="734">
        <f t="shared" si="22"/>
        <v>0</v>
      </c>
      <c r="BC44" s="734">
        <f t="shared" si="22"/>
        <v>0</v>
      </c>
      <c r="BD44" s="734">
        <f t="shared" si="22"/>
        <v>0</v>
      </c>
      <c r="BE44" s="734">
        <f t="shared" si="22"/>
        <v>0</v>
      </c>
      <c r="BF44" s="734">
        <f t="shared" si="22"/>
        <v>0</v>
      </c>
      <c r="BG44" s="734">
        <f t="shared" si="22"/>
        <v>0</v>
      </c>
      <c r="BH44" s="734">
        <f t="shared" si="22"/>
        <v>0</v>
      </c>
      <c r="BI44" s="734">
        <f t="shared" si="22"/>
        <v>0</v>
      </c>
      <c r="BJ44" s="734">
        <f t="shared" si="22"/>
        <v>0</v>
      </c>
      <c r="BK44" s="734">
        <f t="shared" si="22"/>
        <v>0</v>
      </c>
      <c r="BL44" s="734">
        <f t="shared" si="22"/>
        <v>0</v>
      </c>
      <c r="BM44" s="734">
        <f t="shared" si="22"/>
        <v>0</v>
      </c>
      <c r="BN44" s="734">
        <f t="shared" si="22"/>
        <v>0</v>
      </c>
      <c r="BO44" s="734">
        <f t="shared" si="22"/>
        <v>0</v>
      </c>
      <c r="BP44" s="734">
        <f t="shared" si="22"/>
        <v>0</v>
      </c>
    </row>
    <row r="45" spans="1:68" ht="15.75" thickBot="1">
      <c r="A45" s="429" t="s">
        <v>708</v>
      </c>
      <c r="B45" s="430"/>
      <c r="C45" s="427" t="str">
        <f>IF($B45&lt;&gt;"",VLOOKUP($B45,COSTS_Spell_Haste[#All],2),"")</f>
        <v/>
      </c>
      <c r="D45" s="988" t="str">
        <f>IF($B45&lt;&gt;"",VLOOKUP($B45,COSTS_Spell_Haste[#All],3)/24,"")</f>
        <v/>
      </c>
      <c r="E45" s="993"/>
      <c r="F45" s="994"/>
      <c r="G45" s="983" t="str">
        <f t="shared" si="19"/>
        <v/>
      </c>
      <c r="H45" s="980"/>
      <c r="I45" s="736">
        <f t="shared" si="22"/>
        <v>0</v>
      </c>
      <c r="J45" s="736">
        <f t="shared" si="22"/>
        <v>0</v>
      </c>
      <c r="K45" s="736">
        <f t="shared" si="22"/>
        <v>0</v>
      </c>
      <c r="L45" s="736">
        <f t="shared" si="22"/>
        <v>0</v>
      </c>
      <c r="M45" s="736">
        <f t="shared" si="22"/>
        <v>0</v>
      </c>
      <c r="N45" s="736">
        <f t="shared" si="22"/>
        <v>0</v>
      </c>
      <c r="O45" s="736">
        <f t="shared" si="22"/>
        <v>0</v>
      </c>
      <c r="P45" s="736">
        <f t="shared" si="22"/>
        <v>0</v>
      </c>
      <c r="Q45" s="736">
        <f t="shared" si="22"/>
        <v>0</v>
      </c>
      <c r="R45" s="734">
        <f t="shared" si="22"/>
        <v>0</v>
      </c>
      <c r="S45" s="734">
        <f t="shared" si="22"/>
        <v>0</v>
      </c>
      <c r="T45" s="734">
        <f t="shared" si="22"/>
        <v>0</v>
      </c>
      <c r="U45" s="734">
        <f t="shared" si="22"/>
        <v>0</v>
      </c>
      <c r="V45" s="734">
        <f t="shared" si="22"/>
        <v>0</v>
      </c>
      <c r="W45" s="734">
        <f t="shared" si="22"/>
        <v>0</v>
      </c>
      <c r="X45" s="734">
        <f t="shared" si="22"/>
        <v>0</v>
      </c>
      <c r="Y45" s="734">
        <f t="shared" si="22"/>
        <v>0</v>
      </c>
      <c r="Z45" s="734">
        <f t="shared" si="22"/>
        <v>0</v>
      </c>
      <c r="AA45" s="734">
        <f t="shared" si="22"/>
        <v>0</v>
      </c>
      <c r="AB45" s="734">
        <f t="shared" si="22"/>
        <v>0</v>
      </c>
      <c r="AC45" s="734">
        <f t="shared" si="22"/>
        <v>0</v>
      </c>
      <c r="AD45" s="734">
        <f t="shared" si="22"/>
        <v>0</v>
      </c>
      <c r="AE45" s="734">
        <f t="shared" si="22"/>
        <v>0</v>
      </c>
      <c r="AF45" s="734">
        <f t="shared" si="22"/>
        <v>0</v>
      </c>
      <c r="AG45" s="734">
        <f t="shared" si="22"/>
        <v>0</v>
      </c>
      <c r="AH45" s="734">
        <f t="shared" si="22"/>
        <v>0</v>
      </c>
      <c r="AI45" s="734">
        <f t="shared" si="22"/>
        <v>0</v>
      </c>
      <c r="AJ45" s="734">
        <f t="shared" si="22"/>
        <v>0</v>
      </c>
      <c r="AK45" s="734">
        <f t="shared" si="22"/>
        <v>0</v>
      </c>
      <c r="AL45" s="734">
        <f t="shared" si="22"/>
        <v>0</v>
      </c>
      <c r="AM45" s="734">
        <f t="shared" si="22"/>
        <v>0</v>
      </c>
      <c r="AN45" s="734">
        <f t="shared" si="22"/>
        <v>0</v>
      </c>
      <c r="AO45" s="734">
        <f t="shared" si="22"/>
        <v>0</v>
      </c>
      <c r="AP45" s="734">
        <f t="shared" si="22"/>
        <v>0</v>
      </c>
      <c r="AQ45" s="734">
        <f t="shared" si="22"/>
        <v>0</v>
      </c>
      <c r="AR45" s="734">
        <f t="shared" si="22"/>
        <v>0</v>
      </c>
      <c r="AS45" s="734">
        <f t="shared" si="22"/>
        <v>0</v>
      </c>
      <c r="AT45" s="734">
        <f t="shared" si="22"/>
        <v>0</v>
      </c>
      <c r="AU45" s="734">
        <f t="shared" si="22"/>
        <v>0</v>
      </c>
      <c r="AV45" s="734">
        <f t="shared" si="22"/>
        <v>0</v>
      </c>
      <c r="AW45" s="734">
        <f t="shared" si="22"/>
        <v>0</v>
      </c>
      <c r="AX45" s="734">
        <f t="shared" si="22"/>
        <v>0</v>
      </c>
      <c r="AY45" s="734">
        <f t="shared" si="22"/>
        <v>0</v>
      </c>
      <c r="AZ45" s="734">
        <f t="shared" si="22"/>
        <v>0</v>
      </c>
      <c r="BA45" s="734">
        <f t="shared" si="22"/>
        <v>0</v>
      </c>
      <c r="BB45" s="734">
        <f t="shared" si="22"/>
        <v>0</v>
      </c>
      <c r="BC45" s="734">
        <f t="shared" si="22"/>
        <v>0</v>
      </c>
      <c r="BD45" s="734">
        <f t="shared" si="22"/>
        <v>0</v>
      </c>
      <c r="BE45" s="734">
        <f t="shared" si="22"/>
        <v>0</v>
      </c>
      <c r="BF45" s="734">
        <f t="shared" si="22"/>
        <v>0</v>
      </c>
      <c r="BG45" s="734">
        <f t="shared" si="22"/>
        <v>0</v>
      </c>
      <c r="BH45" s="734">
        <f t="shared" si="22"/>
        <v>0</v>
      </c>
      <c r="BI45" s="734">
        <f t="shared" si="22"/>
        <v>0</v>
      </c>
      <c r="BJ45" s="734">
        <f t="shared" si="22"/>
        <v>0</v>
      </c>
      <c r="BK45" s="734">
        <f t="shared" si="22"/>
        <v>0</v>
      </c>
      <c r="BL45" s="734">
        <f t="shared" si="22"/>
        <v>0</v>
      </c>
      <c r="BM45" s="734">
        <f t="shared" si="22"/>
        <v>0</v>
      </c>
      <c r="BN45" s="734">
        <f t="shared" si="22"/>
        <v>0</v>
      </c>
      <c r="BO45" s="734">
        <f t="shared" si="22"/>
        <v>0</v>
      </c>
      <c r="BP45" s="734">
        <f t="shared" si="22"/>
        <v>0</v>
      </c>
    </row>
    <row r="46" spans="1:68" ht="16.5" thickBot="1">
      <c r="A46" s="1015" t="s">
        <v>240</v>
      </c>
      <c r="B46" s="1016"/>
      <c r="C46" s="1016"/>
      <c r="D46" s="1016"/>
      <c r="E46" s="1016"/>
      <c r="F46" s="1016"/>
      <c r="G46" s="1016"/>
      <c r="H46" s="1017"/>
      <c r="I46" s="736">
        <f t="shared" si="22"/>
        <v>0</v>
      </c>
      <c r="J46" s="736">
        <f t="shared" si="22"/>
        <v>0</v>
      </c>
      <c r="K46" s="736">
        <f t="shared" si="22"/>
        <v>0</v>
      </c>
      <c r="L46" s="736">
        <f t="shared" si="22"/>
        <v>0</v>
      </c>
      <c r="M46" s="736">
        <f t="shared" si="22"/>
        <v>0</v>
      </c>
      <c r="N46" s="736">
        <f t="shared" si="22"/>
        <v>0</v>
      </c>
      <c r="O46" s="736">
        <f t="shared" si="22"/>
        <v>0</v>
      </c>
      <c r="P46" s="736">
        <f t="shared" si="22"/>
        <v>0</v>
      </c>
      <c r="Q46" s="736">
        <f t="shared" si="22"/>
        <v>0</v>
      </c>
      <c r="R46" s="734">
        <f t="shared" si="22"/>
        <v>0</v>
      </c>
      <c r="S46" s="734">
        <f t="shared" si="22"/>
        <v>0</v>
      </c>
      <c r="T46" s="734">
        <f t="shared" si="22"/>
        <v>0</v>
      </c>
      <c r="U46" s="734">
        <f t="shared" si="22"/>
        <v>0</v>
      </c>
      <c r="V46" s="734">
        <f t="shared" si="22"/>
        <v>0</v>
      </c>
      <c r="W46" s="734">
        <f t="shared" si="22"/>
        <v>0</v>
      </c>
      <c r="X46" s="734">
        <f t="shared" si="22"/>
        <v>0</v>
      </c>
      <c r="Y46" s="734">
        <f t="shared" si="22"/>
        <v>0</v>
      </c>
      <c r="Z46" s="734">
        <f t="shared" si="22"/>
        <v>0</v>
      </c>
      <c r="AA46" s="734">
        <f t="shared" si="22"/>
        <v>0</v>
      </c>
      <c r="AB46" s="734">
        <f t="shared" si="22"/>
        <v>0</v>
      </c>
      <c r="AC46" s="734">
        <f t="shared" si="22"/>
        <v>0</v>
      </c>
      <c r="AD46" s="734">
        <f t="shared" si="22"/>
        <v>0</v>
      </c>
      <c r="AE46" s="734">
        <f t="shared" si="22"/>
        <v>0</v>
      </c>
      <c r="AF46" s="734">
        <f t="shared" si="22"/>
        <v>0</v>
      </c>
      <c r="AG46" s="734">
        <f t="shared" si="22"/>
        <v>0</v>
      </c>
      <c r="AH46" s="734">
        <f t="shared" si="22"/>
        <v>0</v>
      </c>
      <c r="AI46" s="734">
        <f t="shared" si="22"/>
        <v>0</v>
      </c>
      <c r="AJ46" s="734">
        <f t="shared" si="22"/>
        <v>0</v>
      </c>
      <c r="AK46" s="734">
        <f t="shared" si="22"/>
        <v>0</v>
      </c>
      <c r="AL46" s="734">
        <f t="shared" si="22"/>
        <v>0</v>
      </c>
      <c r="AM46" s="734">
        <f t="shared" si="22"/>
        <v>0</v>
      </c>
      <c r="AN46" s="734">
        <f t="shared" si="22"/>
        <v>0</v>
      </c>
      <c r="AO46" s="734">
        <f t="shared" si="22"/>
        <v>0</v>
      </c>
      <c r="AP46" s="734">
        <f t="shared" si="22"/>
        <v>0</v>
      </c>
      <c r="AQ46" s="734">
        <f t="shared" si="22"/>
        <v>0</v>
      </c>
      <c r="AR46" s="734">
        <f t="shared" si="22"/>
        <v>0</v>
      </c>
      <c r="AS46" s="734">
        <f t="shared" si="22"/>
        <v>0</v>
      </c>
      <c r="AT46" s="734">
        <f t="shared" si="22"/>
        <v>0</v>
      </c>
      <c r="AU46" s="734">
        <f t="shared" si="22"/>
        <v>0</v>
      </c>
      <c r="AV46" s="734">
        <f t="shared" si="22"/>
        <v>0</v>
      </c>
      <c r="AW46" s="734">
        <f t="shared" si="22"/>
        <v>0</v>
      </c>
      <c r="AX46" s="734">
        <f t="shared" si="22"/>
        <v>0</v>
      </c>
      <c r="AY46" s="734">
        <f t="shared" si="22"/>
        <v>0</v>
      </c>
      <c r="AZ46" s="734">
        <f t="shared" si="22"/>
        <v>0</v>
      </c>
      <c r="BA46" s="734">
        <f t="shared" si="22"/>
        <v>0</v>
      </c>
      <c r="BB46" s="734">
        <f t="shared" si="22"/>
        <v>0</v>
      </c>
      <c r="BC46" s="734">
        <f t="shared" si="22"/>
        <v>0</v>
      </c>
      <c r="BD46" s="734">
        <f t="shared" si="22"/>
        <v>0</v>
      </c>
      <c r="BE46" s="734">
        <f t="shared" si="22"/>
        <v>0</v>
      </c>
      <c r="BF46" s="734">
        <f t="shared" si="22"/>
        <v>0</v>
      </c>
      <c r="BG46" s="734">
        <f t="shared" si="22"/>
        <v>0</v>
      </c>
      <c r="BH46" s="734">
        <f t="shared" si="22"/>
        <v>0</v>
      </c>
      <c r="BI46" s="734">
        <f t="shared" si="22"/>
        <v>0</v>
      </c>
      <c r="BJ46" s="734">
        <f t="shared" si="22"/>
        <v>0</v>
      </c>
      <c r="BK46" s="734">
        <f t="shared" si="22"/>
        <v>0</v>
      </c>
      <c r="BL46" s="734">
        <f t="shared" si="22"/>
        <v>0</v>
      </c>
      <c r="BM46" s="734">
        <f t="shared" si="22"/>
        <v>0</v>
      </c>
      <c r="BN46" s="734">
        <f t="shared" si="22"/>
        <v>0</v>
      </c>
      <c r="BO46" s="734">
        <f t="shared" si="22"/>
        <v>0</v>
      </c>
      <c r="BP46" s="734">
        <f t="shared" si="22"/>
        <v>0</v>
      </c>
    </row>
    <row r="47" spans="1:68">
      <c r="A47" s="984" t="s">
        <v>195</v>
      </c>
      <c r="B47" s="985"/>
      <c r="C47" s="956" t="str">
        <f>IF($B47&lt;&gt;"",VLOOKUP($B47,COSTS_Barbarian[#All],2),"")</f>
        <v/>
      </c>
      <c r="D47" s="986" t="str">
        <f>IF($B47&lt;&gt;"",VLOOKUP($B47,COSTS_Barbarian[#All],3)/24,"")</f>
        <v/>
      </c>
      <c r="E47" s="989"/>
      <c r="F47" s="990"/>
      <c r="G47" s="981" t="str">
        <f t="shared" si="19"/>
        <v/>
      </c>
      <c r="H47" s="978"/>
      <c r="I47" s="736">
        <f t="shared" si="22"/>
        <v>0</v>
      </c>
      <c r="J47" s="736">
        <f t="shared" si="22"/>
        <v>0</v>
      </c>
      <c r="K47" s="736">
        <f t="shared" si="22"/>
        <v>0</v>
      </c>
      <c r="L47" s="736">
        <f t="shared" si="22"/>
        <v>0</v>
      </c>
      <c r="M47" s="736">
        <f t="shared" si="22"/>
        <v>0</v>
      </c>
      <c r="N47" s="736">
        <f t="shared" si="22"/>
        <v>0</v>
      </c>
      <c r="O47" s="736">
        <f t="shared" si="22"/>
        <v>0</v>
      </c>
      <c r="P47" s="736">
        <f t="shared" si="22"/>
        <v>0</v>
      </c>
      <c r="Q47" s="736">
        <f t="shared" si="22"/>
        <v>0</v>
      </c>
      <c r="R47" s="734">
        <f t="shared" si="22"/>
        <v>0</v>
      </c>
      <c r="S47" s="734">
        <f t="shared" si="22"/>
        <v>0</v>
      </c>
      <c r="T47" s="734">
        <f t="shared" si="22"/>
        <v>0</v>
      </c>
      <c r="U47" s="734">
        <f t="shared" si="22"/>
        <v>0</v>
      </c>
      <c r="V47" s="734">
        <f t="shared" si="22"/>
        <v>0</v>
      </c>
      <c r="W47" s="734">
        <f t="shared" si="22"/>
        <v>0</v>
      </c>
      <c r="X47" s="734">
        <f t="shared" ref="X47:AM48" si="23">IF(ISERROR(Plan),0,Plan)</f>
        <v>0</v>
      </c>
      <c r="Y47" s="734">
        <f t="shared" si="23"/>
        <v>0</v>
      </c>
      <c r="Z47" s="734">
        <f t="shared" si="23"/>
        <v>0</v>
      </c>
      <c r="AA47" s="734">
        <f t="shared" si="23"/>
        <v>0</v>
      </c>
      <c r="AB47" s="734">
        <f t="shared" si="23"/>
        <v>0</v>
      </c>
      <c r="AC47" s="734">
        <f t="shared" si="23"/>
        <v>0</v>
      </c>
      <c r="AD47" s="734">
        <f t="shared" si="23"/>
        <v>0</v>
      </c>
      <c r="AE47" s="734">
        <f t="shared" si="23"/>
        <v>0</v>
      </c>
      <c r="AF47" s="734">
        <f t="shared" si="23"/>
        <v>0</v>
      </c>
      <c r="AG47" s="734">
        <f t="shared" si="23"/>
        <v>0</v>
      </c>
      <c r="AH47" s="734">
        <f t="shared" si="23"/>
        <v>0</v>
      </c>
      <c r="AI47" s="734">
        <f t="shared" si="23"/>
        <v>0</v>
      </c>
      <c r="AJ47" s="734">
        <f t="shared" si="23"/>
        <v>0</v>
      </c>
      <c r="AK47" s="734">
        <f t="shared" si="23"/>
        <v>0</v>
      </c>
      <c r="AL47" s="734">
        <f t="shared" si="23"/>
        <v>0</v>
      </c>
      <c r="AM47" s="734">
        <f t="shared" si="23"/>
        <v>0</v>
      </c>
      <c r="AN47" s="734">
        <f t="shared" ref="AN47:BC48" si="24">IF(ISERROR(Plan),0,Plan)</f>
        <v>0</v>
      </c>
      <c r="AO47" s="734">
        <f t="shared" si="24"/>
        <v>0</v>
      </c>
      <c r="AP47" s="734">
        <f t="shared" si="24"/>
        <v>0</v>
      </c>
      <c r="AQ47" s="734">
        <f t="shared" si="24"/>
        <v>0</v>
      </c>
      <c r="AR47" s="734">
        <f t="shared" si="24"/>
        <v>0</v>
      </c>
      <c r="AS47" s="734">
        <f t="shared" si="24"/>
        <v>0</v>
      </c>
      <c r="AT47" s="734">
        <f t="shared" si="24"/>
        <v>0</v>
      </c>
      <c r="AU47" s="734">
        <f t="shared" si="24"/>
        <v>0</v>
      </c>
      <c r="AV47" s="734">
        <f t="shared" si="24"/>
        <v>0</v>
      </c>
      <c r="AW47" s="734">
        <f t="shared" si="24"/>
        <v>0</v>
      </c>
      <c r="AX47" s="734">
        <f t="shared" si="24"/>
        <v>0</v>
      </c>
      <c r="AY47" s="734">
        <f t="shared" si="24"/>
        <v>0</v>
      </c>
      <c r="AZ47" s="734">
        <f t="shared" si="24"/>
        <v>0</v>
      </c>
      <c r="BA47" s="734">
        <f t="shared" si="24"/>
        <v>0</v>
      </c>
      <c r="BB47" s="734">
        <f t="shared" si="24"/>
        <v>0</v>
      </c>
      <c r="BC47" s="734">
        <f t="shared" si="24"/>
        <v>0</v>
      </c>
      <c r="BD47" s="734">
        <f t="shared" ref="BD47:BP48" si="25">IF(ISERROR(Plan),0,Plan)</f>
        <v>0</v>
      </c>
      <c r="BE47" s="734">
        <f t="shared" si="25"/>
        <v>0</v>
      </c>
      <c r="BF47" s="734">
        <f t="shared" si="25"/>
        <v>0</v>
      </c>
      <c r="BG47" s="734">
        <f t="shared" si="25"/>
        <v>0</v>
      </c>
      <c r="BH47" s="734">
        <f t="shared" si="25"/>
        <v>0</v>
      </c>
      <c r="BI47" s="734">
        <f t="shared" si="25"/>
        <v>0</v>
      </c>
      <c r="BJ47" s="734">
        <f t="shared" si="25"/>
        <v>0</v>
      </c>
      <c r="BK47" s="734">
        <f t="shared" si="25"/>
        <v>0</v>
      </c>
      <c r="BL47" s="734">
        <f t="shared" si="25"/>
        <v>0</v>
      </c>
      <c r="BM47" s="734">
        <f t="shared" si="25"/>
        <v>0</v>
      </c>
      <c r="BN47" s="734">
        <f t="shared" si="25"/>
        <v>0</v>
      </c>
      <c r="BO47" s="734">
        <f t="shared" si="25"/>
        <v>0</v>
      </c>
      <c r="BP47" s="734">
        <f t="shared" si="25"/>
        <v>0</v>
      </c>
    </row>
    <row r="48" spans="1:68">
      <c r="A48" s="421" t="s">
        <v>50</v>
      </c>
      <c r="B48" s="418"/>
      <c r="C48" s="957" t="str">
        <f>IF($B48&lt;&gt;"",VLOOKUP($B48,COSTS_Archer[#All],2),"")</f>
        <v/>
      </c>
      <c r="D48" s="987" t="str">
        <f>IF($B48&lt;&gt;"",VLOOKUP($B48,COSTS_Archer[#All],3)/24,"")</f>
        <v/>
      </c>
      <c r="E48" s="991"/>
      <c r="F48" s="992"/>
      <c r="G48" s="982" t="str">
        <f t="shared" si="19"/>
        <v/>
      </c>
      <c r="H48" s="979"/>
      <c r="I48" s="736">
        <f t="shared" ref="I48:AB48" si="26">IF(ISERROR(Plan),0,Plan)</f>
        <v>0</v>
      </c>
      <c r="J48" s="736">
        <f t="shared" si="26"/>
        <v>0</v>
      </c>
      <c r="K48" s="736">
        <f t="shared" si="26"/>
        <v>0</v>
      </c>
      <c r="L48" s="736">
        <f t="shared" si="26"/>
        <v>0</v>
      </c>
      <c r="M48" s="736">
        <f t="shared" si="26"/>
        <v>0</v>
      </c>
      <c r="N48" s="736">
        <f t="shared" si="26"/>
        <v>0</v>
      </c>
      <c r="O48" s="736">
        <f t="shared" si="26"/>
        <v>0</v>
      </c>
      <c r="P48" s="736">
        <f t="shared" si="26"/>
        <v>0</v>
      </c>
      <c r="Q48" s="736">
        <f t="shared" si="26"/>
        <v>0</v>
      </c>
      <c r="R48" s="734">
        <f t="shared" si="26"/>
        <v>0</v>
      </c>
      <c r="S48" s="734">
        <f t="shared" si="26"/>
        <v>0</v>
      </c>
      <c r="T48" s="734">
        <f t="shared" si="26"/>
        <v>0</v>
      </c>
      <c r="U48" s="734">
        <f t="shared" si="26"/>
        <v>0</v>
      </c>
      <c r="V48" s="734">
        <f t="shared" si="26"/>
        <v>0</v>
      </c>
      <c r="W48" s="734">
        <f t="shared" si="26"/>
        <v>0</v>
      </c>
      <c r="X48" s="734">
        <f t="shared" si="26"/>
        <v>0</v>
      </c>
      <c r="Y48" s="734">
        <f t="shared" si="26"/>
        <v>0</v>
      </c>
      <c r="Z48" s="734">
        <f t="shared" si="26"/>
        <v>0</v>
      </c>
      <c r="AA48" s="734">
        <f t="shared" si="26"/>
        <v>0</v>
      </c>
      <c r="AB48" s="734">
        <f t="shared" si="26"/>
        <v>0</v>
      </c>
      <c r="AC48" s="734">
        <f t="shared" si="23"/>
        <v>0</v>
      </c>
      <c r="AD48" s="734">
        <f t="shared" si="23"/>
        <v>0</v>
      </c>
      <c r="AE48" s="734">
        <f t="shared" si="23"/>
        <v>0</v>
      </c>
      <c r="AF48" s="734">
        <f t="shared" si="23"/>
        <v>0</v>
      </c>
      <c r="AG48" s="734">
        <f t="shared" si="23"/>
        <v>0</v>
      </c>
      <c r="AH48" s="734">
        <f t="shared" si="23"/>
        <v>0</v>
      </c>
      <c r="AI48" s="734">
        <f t="shared" si="23"/>
        <v>0</v>
      </c>
      <c r="AJ48" s="734">
        <f t="shared" si="23"/>
        <v>0</v>
      </c>
      <c r="AK48" s="734">
        <f t="shared" si="23"/>
        <v>0</v>
      </c>
      <c r="AL48" s="734">
        <f t="shared" si="23"/>
        <v>0</v>
      </c>
      <c r="AM48" s="734">
        <f t="shared" si="23"/>
        <v>0</v>
      </c>
      <c r="AN48" s="734">
        <f t="shared" si="24"/>
        <v>0</v>
      </c>
      <c r="AO48" s="734">
        <f t="shared" si="24"/>
        <v>0</v>
      </c>
      <c r="AP48" s="734">
        <f t="shared" si="24"/>
        <v>0</v>
      </c>
      <c r="AQ48" s="734">
        <f t="shared" si="24"/>
        <v>0</v>
      </c>
      <c r="AR48" s="734">
        <f t="shared" si="24"/>
        <v>0</v>
      </c>
      <c r="AS48" s="734">
        <f t="shared" si="24"/>
        <v>0</v>
      </c>
      <c r="AT48" s="734">
        <f t="shared" si="24"/>
        <v>0</v>
      </c>
      <c r="AU48" s="734">
        <f t="shared" si="24"/>
        <v>0</v>
      </c>
      <c r="AV48" s="734">
        <f t="shared" si="24"/>
        <v>0</v>
      </c>
      <c r="AW48" s="734">
        <f t="shared" si="24"/>
        <v>0</v>
      </c>
      <c r="AX48" s="734">
        <f t="shared" si="24"/>
        <v>0</v>
      </c>
      <c r="AY48" s="734">
        <f t="shared" si="24"/>
        <v>0</v>
      </c>
      <c r="AZ48" s="734">
        <f t="shared" si="24"/>
        <v>0</v>
      </c>
      <c r="BA48" s="734">
        <f t="shared" si="24"/>
        <v>0</v>
      </c>
      <c r="BB48" s="734">
        <f t="shared" si="24"/>
        <v>0</v>
      </c>
      <c r="BC48" s="734">
        <f t="shared" si="24"/>
        <v>0</v>
      </c>
      <c r="BD48" s="734">
        <f t="shared" si="25"/>
        <v>0</v>
      </c>
      <c r="BE48" s="734">
        <f t="shared" si="25"/>
        <v>0</v>
      </c>
      <c r="BF48" s="734">
        <f t="shared" si="25"/>
        <v>0</v>
      </c>
      <c r="BG48" s="734">
        <f t="shared" si="25"/>
        <v>0</v>
      </c>
      <c r="BH48" s="734">
        <f t="shared" si="25"/>
        <v>0</v>
      </c>
      <c r="BI48" s="734">
        <f t="shared" si="25"/>
        <v>0</v>
      </c>
      <c r="BJ48" s="734">
        <f t="shared" si="25"/>
        <v>0</v>
      </c>
      <c r="BK48" s="734">
        <f t="shared" si="25"/>
        <v>0</v>
      </c>
      <c r="BL48" s="734">
        <f t="shared" si="25"/>
        <v>0</v>
      </c>
      <c r="BM48" s="734">
        <f t="shared" si="25"/>
        <v>0</v>
      </c>
      <c r="BN48" s="734">
        <f t="shared" si="25"/>
        <v>0</v>
      </c>
      <c r="BO48" s="734">
        <f t="shared" si="25"/>
        <v>0</v>
      </c>
      <c r="BP48" s="734">
        <f t="shared" si="25"/>
        <v>0</v>
      </c>
    </row>
    <row r="49" spans="1:68">
      <c r="A49" s="421" t="s">
        <v>189</v>
      </c>
      <c r="B49" s="418"/>
      <c r="C49" s="957" t="str">
        <f>IF($B49&lt;&gt;"",VLOOKUP($B49,COSTS_Goblin[#All],2),"")</f>
        <v/>
      </c>
      <c r="D49" s="987" t="str">
        <f>IF($B49&lt;&gt;"",VLOOKUP($B49,COSTS_Goblin[#All],3)/24,"")</f>
        <v/>
      </c>
      <c r="E49" s="991"/>
      <c r="F49" s="992"/>
      <c r="G49" s="982" t="str">
        <f t="shared" si="19"/>
        <v/>
      </c>
      <c r="H49" s="979"/>
      <c r="I49" s="736">
        <f t="shared" si="20"/>
        <v>0</v>
      </c>
      <c r="J49" s="736">
        <f t="shared" si="20"/>
        <v>0</v>
      </c>
      <c r="K49" s="736">
        <f t="shared" si="20"/>
        <v>0</v>
      </c>
      <c r="L49" s="736">
        <f t="shared" si="20"/>
        <v>0</v>
      </c>
      <c r="M49" s="736">
        <f t="shared" si="20"/>
        <v>0</v>
      </c>
      <c r="N49" s="736">
        <f t="shared" si="20"/>
        <v>0</v>
      </c>
      <c r="O49" s="736">
        <f t="shared" si="20"/>
        <v>0</v>
      </c>
      <c r="P49" s="736">
        <f t="shared" si="20"/>
        <v>0</v>
      </c>
      <c r="Q49" s="736">
        <f t="shared" si="20"/>
        <v>0</v>
      </c>
      <c r="R49" s="734">
        <f t="shared" si="20"/>
        <v>0</v>
      </c>
      <c r="S49" s="734">
        <f t="shared" si="18"/>
        <v>0</v>
      </c>
      <c r="T49" s="734">
        <f t="shared" si="18"/>
        <v>0</v>
      </c>
      <c r="U49" s="734">
        <f t="shared" si="18"/>
        <v>0</v>
      </c>
      <c r="V49" s="734">
        <f t="shared" si="18"/>
        <v>0</v>
      </c>
      <c r="W49" s="734">
        <f t="shared" si="18"/>
        <v>0</v>
      </c>
      <c r="X49" s="734">
        <f t="shared" si="18"/>
        <v>0</v>
      </c>
      <c r="Y49" s="734">
        <f t="shared" si="18"/>
        <v>0</v>
      </c>
      <c r="Z49" s="734">
        <f t="shared" si="18"/>
        <v>0</v>
      </c>
      <c r="AA49" s="734">
        <f t="shared" si="18"/>
        <v>0</v>
      </c>
      <c r="AB49" s="734">
        <f t="shared" si="18"/>
        <v>0</v>
      </c>
      <c r="AC49" s="734">
        <f t="shared" ref="AC49:AL73" si="27">IF(ISERROR(Plan),0,Plan)</f>
        <v>0</v>
      </c>
      <c r="AD49" s="734">
        <f t="shared" si="27"/>
        <v>0</v>
      </c>
      <c r="AE49" s="734">
        <f t="shared" si="27"/>
        <v>0</v>
      </c>
      <c r="AF49" s="734">
        <f t="shared" si="27"/>
        <v>0</v>
      </c>
      <c r="AG49" s="734">
        <f t="shared" si="27"/>
        <v>0</v>
      </c>
      <c r="AH49" s="734">
        <f t="shared" si="27"/>
        <v>0</v>
      </c>
      <c r="AI49" s="734">
        <f t="shared" si="27"/>
        <v>0</v>
      </c>
      <c r="AJ49" s="734">
        <f t="shared" si="27"/>
        <v>0</v>
      </c>
      <c r="AK49" s="734">
        <f t="shared" si="27"/>
        <v>0</v>
      </c>
      <c r="AL49" s="734">
        <f t="shared" si="27"/>
        <v>0</v>
      </c>
      <c r="AM49" s="734">
        <f t="shared" ref="AM49:AV71" si="28">IF(ISERROR(Plan),0,Plan)</f>
        <v>0</v>
      </c>
      <c r="AN49" s="734">
        <f t="shared" si="28"/>
        <v>0</v>
      </c>
      <c r="AO49" s="734">
        <f t="shared" si="28"/>
        <v>0</v>
      </c>
      <c r="AP49" s="734">
        <f t="shared" si="28"/>
        <v>0</v>
      </c>
      <c r="AQ49" s="734">
        <f t="shared" si="28"/>
        <v>0</v>
      </c>
      <c r="AR49" s="734">
        <f t="shared" si="28"/>
        <v>0</v>
      </c>
      <c r="AS49" s="734">
        <f t="shared" si="28"/>
        <v>0</v>
      </c>
      <c r="AT49" s="734">
        <f t="shared" si="28"/>
        <v>0</v>
      </c>
      <c r="AU49" s="734">
        <f t="shared" si="28"/>
        <v>0</v>
      </c>
      <c r="AV49" s="734">
        <f t="shared" si="28"/>
        <v>0</v>
      </c>
      <c r="AW49" s="734">
        <f t="shared" si="21"/>
        <v>0</v>
      </c>
      <c r="AX49" s="734">
        <f t="shared" si="21"/>
        <v>0</v>
      </c>
      <c r="AY49" s="734">
        <f t="shared" si="21"/>
        <v>0</v>
      </c>
      <c r="AZ49" s="734">
        <f t="shared" si="21"/>
        <v>0</v>
      </c>
      <c r="BA49" s="734">
        <f t="shared" si="21"/>
        <v>0</v>
      </c>
      <c r="BB49" s="734">
        <f t="shared" si="21"/>
        <v>0</v>
      </c>
      <c r="BC49" s="734">
        <f t="shared" si="21"/>
        <v>0</v>
      </c>
      <c r="BD49" s="734">
        <f t="shared" si="21"/>
        <v>0</v>
      </c>
      <c r="BE49" s="734">
        <f t="shared" si="21"/>
        <v>0</v>
      </c>
      <c r="BF49" s="734">
        <f t="shared" si="21"/>
        <v>0</v>
      </c>
      <c r="BG49" s="734">
        <f t="shared" si="16"/>
        <v>0</v>
      </c>
      <c r="BH49" s="734">
        <f t="shared" si="16"/>
        <v>0</v>
      </c>
      <c r="BI49" s="734">
        <f t="shared" si="16"/>
        <v>0</v>
      </c>
      <c r="BJ49" s="734">
        <f t="shared" si="16"/>
        <v>0</v>
      </c>
      <c r="BK49" s="734">
        <f t="shared" si="16"/>
        <v>0</v>
      </c>
      <c r="BL49" s="734">
        <f t="shared" si="16"/>
        <v>0</v>
      </c>
      <c r="BM49" s="734">
        <f t="shared" si="16"/>
        <v>0</v>
      </c>
      <c r="BN49" s="734">
        <f t="shared" si="16"/>
        <v>0</v>
      </c>
      <c r="BO49" s="734">
        <f t="shared" si="16"/>
        <v>0</v>
      </c>
      <c r="BP49" s="734">
        <f t="shared" si="16"/>
        <v>0</v>
      </c>
    </row>
    <row r="50" spans="1:68">
      <c r="A50" s="421" t="s">
        <v>188</v>
      </c>
      <c r="B50" s="418"/>
      <c r="C50" s="957" t="str">
        <f>IF($B50&lt;&gt;"",VLOOKUP($B50,COSTS_Giant[#All],2),"")</f>
        <v/>
      </c>
      <c r="D50" s="987" t="str">
        <f>IF($B50&lt;&gt;"",VLOOKUP($B50,COSTS_Giant[#All],3)/24,"")</f>
        <v/>
      </c>
      <c r="E50" s="991"/>
      <c r="F50" s="992"/>
      <c r="G50" s="982" t="str">
        <f t="shared" si="19"/>
        <v/>
      </c>
      <c r="H50" s="979"/>
      <c r="I50" s="736">
        <f t="shared" si="20"/>
        <v>0</v>
      </c>
      <c r="J50" s="736">
        <f t="shared" si="20"/>
        <v>0</v>
      </c>
      <c r="K50" s="736">
        <f t="shared" si="20"/>
        <v>0</v>
      </c>
      <c r="L50" s="736">
        <f t="shared" si="20"/>
        <v>0</v>
      </c>
      <c r="M50" s="736">
        <f t="shared" si="20"/>
        <v>0</v>
      </c>
      <c r="N50" s="736">
        <f t="shared" si="20"/>
        <v>0</v>
      </c>
      <c r="O50" s="736">
        <f t="shared" si="20"/>
        <v>0</v>
      </c>
      <c r="P50" s="736">
        <f t="shared" si="20"/>
        <v>0</v>
      </c>
      <c r="Q50" s="736">
        <f t="shared" si="20"/>
        <v>0</v>
      </c>
      <c r="R50" s="734">
        <f t="shared" si="20"/>
        <v>0</v>
      </c>
      <c r="S50" s="734">
        <f t="shared" si="18"/>
        <v>0</v>
      </c>
      <c r="T50" s="734">
        <f t="shared" si="18"/>
        <v>0</v>
      </c>
      <c r="U50" s="734">
        <f t="shared" si="18"/>
        <v>0</v>
      </c>
      <c r="V50" s="734">
        <f t="shared" si="18"/>
        <v>0</v>
      </c>
      <c r="W50" s="734">
        <f t="shared" si="18"/>
        <v>0</v>
      </c>
      <c r="X50" s="734">
        <f t="shared" si="18"/>
        <v>0</v>
      </c>
      <c r="Y50" s="734">
        <f t="shared" si="18"/>
        <v>0</v>
      </c>
      <c r="Z50" s="734">
        <f t="shared" si="18"/>
        <v>0</v>
      </c>
      <c r="AA50" s="734">
        <f t="shared" si="18"/>
        <v>0</v>
      </c>
      <c r="AB50" s="734">
        <f t="shared" si="18"/>
        <v>0</v>
      </c>
      <c r="AC50" s="734">
        <f t="shared" si="27"/>
        <v>0</v>
      </c>
      <c r="AD50" s="734">
        <f t="shared" si="27"/>
        <v>0</v>
      </c>
      <c r="AE50" s="734">
        <f t="shared" si="27"/>
        <v>0</v>
      </c>
      <c r="AF50" s="734">
        <f t="shared" si="27"/>
        <v>0</v>
      </c>
      <c r="AG50" s="734">
        <f t="shared" si="27"/>
        <v>0</v>
      </c>
      <c r="AH50" s="734">
        <f t="shared" si="27"/>
        <v>0</v>
      </c>
      <c r="AI50" s="734">
        <f t="shared" si="27"/>
        <v>0</v>
      </c>
      <c r="AJ50" s="734">
        <f t="shared" si="27"/>
        <v>0</v>
      </c>
      <c r="AK50" s="734">
        <f t="shared" si="27"/>
        <v>0</v>
      </c>
      <c r="AL50" s="734">
        <f t="shared" si="27"/>
        <v>0</v>
      </c>
      <c r="AM50" s="734">
        <f t="shared" si="28"/>
        <v>0</v>
      </c>
      <c r="AN50" s="734">
        <f t="shared" si="28"/>
        <v>0</v>
      </c>
      <c r="AO50" s="734">
        <f t="shared" si="28"/>
        <v>0</v>
      </c>
      <c r="AP50" s="734">
        <f t="shared" si="28"/>
        <v>0</v>
      </c>
      <c r="AQ50" s="734">
        <f t="shared" si="28"/>
        <v>0</v>
      </c>
      <c r="AR50" s="734">
        <f t="shared" si="28"/>
        <v>0</v>
      </c>
      <c r="AS50" s="734">
        <f t="shared" si="28"/>
        <v>0</v>
      </c>
      <c r="AT50" s="734">
        <f t="shared" si="28"/>
        <v>0</v>
      </c>
      <c r="AU50" s="734">
        <f t="shared" si="28"/>
        <v>0</v>
      </c>
      <c r="AV50" s="734">
        <f t="shared" si="28"/>
        <v>0</v>
      </c>
      <c r="AW50" s="734">
        <f t="shared" si="21"/>
        <v>0</v>
      </c>
      <c r="AX50" s="734">
        <f t="shared" si="21"/>
        <v>0</v>
      </c>
      <c r="AY50" s="734">
        <f t="shared" si="21"/>
        <v>0</v>
      </c>
      <c r="AZ50" s="734">
        <f t="shared" si="21"/>
        <v>0</v>
      </c>
      <c r="BA50" s="734">
        <f t="shared" si="21"/>
        <v>0</v>
      </c>
      <c r="BB50" s="734">
        <f t="shared" si="21"/>
        <v>0</v>
      </c>
      <c r="BC50" s="734">
        <f t="shared" si="21"/>
        <v>0</v>
      </c>
      <c r="BD50" s="734">
        <f t="shared" si="21"/>
        <v>0</v>
      </c>
      <c r="BE50" s="734">
        <f t="shared" si="21"/>
        <v>0</v>
      </c>
      <c r="BF50" s="734">
        <f t="shared" si="21"/>
        <v>0</v>
      </c>
      <c r="BG50" s="734">
        <f t="shared" si="16"/>
        <v>0</v>
      </c>
      <c r="BH50" s="734">
        <f t="shared" si="16"/>
        <v>0</v>
      </c>
      <c r="BI50" s="734">
        <f t="shared" si="16"/>
        <v>0</v>
      </c>
      <c r="BJ50" s="734">
        <f t="shared" si="16"/>
        <v>0</v>
      </c>
      <c r="BK50" s="734">
        <f t="shared" si="16"/>
        <v>0</v>
      </c>
      <c r="BL50" s="734">
        <f t="shared" si="16"/>
        <v>0</v>
      </c>
      <c r="BM50" s="734">
        <f t="shared" si="16"/>
        <v>0</v>
      </c>
      <c r="BN50" s="734">
        <f t="shared" si="16"/>
        <v>0</v>
      </c>
      <c r="BO50" s="734">
        <f t="shared" si="16"/>
        <v>0</v>
      </c>
      <c r="BP50" s="734">
        <f t="shared" si="16"/>
        <v>0</v>
      </c>
    </row>
    <row r="51" spans="1:68">
      <c r="A51" s="421" t="s">
        <v>187</v>
      </c>
      <c r="B51" s="418"/>
      <c r="C51" s="957" t="str">
        <f>IF($B51&lt;&gt;"",VLOOKUP($B51,COSTS_Wall_Breaker[#All],2),"")</f>
        <v/>
      </c>
      <c r="D51" s="987" t="str">
        <f>IF($B51&lt;&gt;"",VLOOKUP($B51,COSTS_Wall_Breaker[#All],3)/24,"")</f>
        <v/>
      </c>
      <c r="E51" s="991"/>
      <c r="F51" s="992"/>
      <c r="G51" s="982" t="str">
        <f t="shared" si="19"/>
        <v/>
      </c>
      <c r="H51" s="979"/>
      <c r="I51" s="736">
        <f t="shared" si="20"/>
        <v>0</v>
      </c>
      <c r="J51" s="736">
        <f t="shared" si="20"/>
        <v>0</v>
      </c>
      <c r="K51" s="736">
        <f t="shared" si="20"/>
        <v>0</v>
      </c>
      <c r="L51" s="736">
        <f t="shared" si="20"/>
        <v>0</v>
      </c>
      <c r="M51" s="736">
        <f t="shared" si="20"/>
        <v>0</v>
      </c>
      <c r="N51" s="736">
        <f t="shared" si="20"/>
        <v>0</v>
      </c>
      <c r="O51" s="736">
        <f t="shared" si="20"/>
        <v>0</v>
      </c>
      <c r="P51" s="736">
        <f t="shared" si="20"/>
        <v>0</v>
      </c>
      <c r="Q51" s="736">
        <f t="shared" si="20"/>
        <v>0</v>
      </c>
      <c r="R51" s="734">
        <f t="shared" si="20"/>
        <v>0</v>
      </c>
      <c r="S51" s="734">
        <f t="shared" si="18"/>
        <v>0</v>
      </c>
      <c r="T51" s="734">
        <f t="shared" si="18"/>
        <v>0</v>
      </c>
      <c r="U51" s="734">
        <f t="shared" si="18"/>
        <v>0</v>
      </c>
      <c r="V51" s="734">
        <f t="shared" si="18"/>
        <v>0</v>
      </c>
      <c r="W51" s="734">
        <f t="shared" si="18"/>
        <v>0</v>
      </c>
      <c r="X51" s="734">
        <f t="shared" si="18"/>
        <v>0</v>
      </c>
      <c r="Y51" s="734">
        <f t="shared" si="18"/>
        <v>0</v>
      </c>
      <c r="Z51" s="734">
        <f t="shared" si="18"/>
        <v>0</v>
      </c>
      <c r="AA51" s="734">
        <f t="shared" si="18"/>
        <v>0</v>
      </c>
      <c r="AB51" s="734">
        <f t="shared" si="18"/>
        <v>0</v>
      </c>
      <c r="AC51" s="734">
        <f t="shared" si="27"/>
        <v>0</v>
      </c>
      <c r="AD51" s="734">
        <f t="shared" si="27"/>
        <v>0</v>
      </c>
      <c r="AE51" s="734">
        <f t="shared" si="27"/>
        <v>0</v>
      </c>
      <c r="AF51" s="734">
        <f t="shared" si="27"/>
        <v>0</v>
      </c>
      <c r="AG51" s="734">
        <f t="shared" si="27"/>
        <v>0</v>
      </c>
      <c r="AH51" s="734">
        <f t="shared" si="27"/>
        <v>0</v>
      </c>
      <c r="AI51" s="734">
        <f t="shared" si="27"/>
        <v>0</v>
      </c>
      <c r="AJ51" s="734">
        <f t="shared" si="27"/>
        <v>0</v>
      </c>
      <c r="AK51" s="734">
        <f t="shared" si="27"/>
        <v>0</v>
      </c>
      <c r="AL51" s="734">
        <f t="shared" si="27"/>
        <v>0</v>
      </c>
      <c r="AM51" s="734">
        <f t="shared" si="28"/>
        <v>0</v>
      </c>
      <c r="AN51" s="734">
        <f t="shared" si="28"/>
        <v>0</v>
      </c>
      <c r="AO51" s="734">
        <f t="shared" si="28"/>
        <v>0</v>
      </c>
      <c r="AP51" s="734">
        <f t="shared" si="28"/>
        <v>0</v>
      </c>
      <c r="AQ51" s="734">
        <f t="shared" si="28"/>
        <v>0</v>
      </c>
      <c r="AR51" s="734">
        <f t="shared" si="28"/>
        <v>0</v>
      </c>
      <c r="AS51" s="734">
        <f t="shared" si="28"/>
        <v>0</v>
      </c>
      <c r="AT51" s="734">
        <f t="shared" si="28"/>
        <v>0</v>
      </c>
      <c r="AU51" s="734">
        <f t="shared" si="28"/>
        <v>0</v>
      </c>
      <c r="AV51" s="734">
        <f t="shared" si="28"/>
        <v>0</v>
      </c>
      <c r="AW51" s="734">
        <f t="shared" si="21"/>
        <v>0</v>
      </c>
      <c r="AX51" s="734">
        <f t="shared" si="21"/>
        <v>0</v>
      </c>
      <c r="AY51" s="734">
        <f t="shared" si="21"/>
        <v>0</v>
      </c>
      <c r="AZ51" s="734">
        <f t="shared" si="21"/>
        <v>0</v>
      </c>
      <c r="BA51" s="734">
        <f t="shared" si="21"/>
        <v>0</v>
      </c>
      <c r="BB51" s="734">
        <f t="shared" si="21"/>
        <v>0</v>
      </c>
      <c r="BC51" s="734">
        <f t="shared" si="21"/>
        <v>0</v>
      </c>
      <c r="BD51" s="734">
        <f t="shared" si="21"/>
        <v>0</v>
      </c>
      <c r="BE51" s="734">
        <f t="shared" si="21"/>
        <v>0</v>
      </c>
      <c r="BF51" s="734">
        <f t="shared" si="21"/>
        <v>0</v>
      </c>
      <c r="BG51" s="734">
        <f t="shared" si="16"/>
        <v>0</v>
      </c>
      <c r="BH51" s="734">
        <f t="shared" si="16"/>
        <v>0</v>
      </c>
      <c r="BI51" s="734">
        <f t="shared" si="16"/>
        <v>0</v>
      </c>
      <c r="BJ51" s="734">
        <f t="shared" si="16"/>
        <v>0</v>
      </c>
      <c r="BK51" s="734">
        <f t="shared" si="16"/>
        <v>0</v>
      </c>
      <c r="BL51" s="734">
        <f t="shared" si="16"/>
        <v>0</v>
      </c>
      <c r="BM51" s="734">
        <f t="shared" si="16"/>
        <v>0</v>
      </c>
      <c r="BN51" s="734">
        <f t="shared" si="16"/>
        <v>0</v>
      </c>
      <c r="BO51" s="734">
        <f t="shared" si="16"/>
        <v>0</v>
      </c>
      <c r="BP51" s="734">
        <f t="shared" si="16"/>
        <v>0</v>
      </c>
    </row>
    <row r="52" spans="1:68">
      <c r="A52" s="421" t="s">
        <v>186</v>
      </c>
      <c r="B52" s="418"/>
      <c r="C52" s="957" t="str">
        <f>IF($B52&lt;&gt;"",VLOOKUP($B52,COSTS_Balloon[#All],2),"")</f>
        <v/>
      </c>
      <c r="D52" s="987" t="str">
        <f>IF($B52&lt;&gt;"",VLOOKUP($B52,COSTS_Balloon[#All],3)/24,"")</f>
        <v/>
      </c>
      <c r="E52" s="991"/>
      <c r="F52" s="992"/>
      <c r="G52" s="982" t="str">
        <f t="shared" si="19"/>
        <v/>
      </c>
      <c r="H52" s="979"/>
      <c r="I52" s="736">
        <f t="shared" si="20"/>
        <v>0</v>
      </c>
      <c r="J52" s="736">
        <f t="shared" si="20"/>
        <v>0</v>
      </c>
      <c r="K52" s="736">
        <f t="shared" si="20"/>
        <v>0</v>
      </c>
      <c r="L52" s="736">
        <f t="shared" si="20"/>
        <v>0</v>
      </c>
      <c r="M52" s="736">
        <f t="shared" si="20"/>
        <v>0</v>
      </c>
      <c r="N52" s="736">
        <f t="shared" si="20"/>
        <v>0</v>
      </c>
      <c r="O52" s="736">
        <f t="shared" si="20"/>
        <v>0</v>
      </c>
      <c r="P52" s="736">
        <f t="shared" si="20"/>
        <v>0</v>
      </c>
      <c r="Q52" s="736">
        <f t="shared" si="20"/>
        <v>0</v>
      </c>
      <c r="R52" s="734">
        <f t="shared" si="20"/>
        <v>0</v>
      </c>
      <c r="S52" s="734">
        <f t="shared" si="18"/>
        <v>0</v>
      </c>
      <c r="T52" s="734">
        <f t="shared" si="18"/>
        <v>0</v>
      </c>
      <c r="U52" s="734">
        <f t="shared" si="18"/>
        <v>0</v>
      </c>
      <c r="V52" s="734">
        <f t="shared" si="18"/>
        <v>0</v>
      </c>
      <c r="W52" s="734">
        <f t="shared" si="18"/>
        <v>0</v>
      </c>
      <c r="X52" s="734">
        <f t="shared" si="18"/>
        <v>0</v>
      </c>
      <c r="Y52" s="734">
        <f t="shared" si="18"/>
        <v>0</v>
      </c>
      <c r="Z52" s="734">
        <f t="shared" si="18"/>
        <v>0</v>
      </c>
      <c r="AA52" s="734">
        <f t="shared" si="18"/>
        <v>0</v>
      </c>
      <c r="AB52" s="734">
        <f t="shared" si="18"/>
        <v>0</v>
      </c>
      <c r="AC52" s="734">
        <f t="shared" si="27"/>
        <v>0</v>
      </c>
      <c r="AD52" s="734">
        <f t="shared" si="27"/>
        <v>0</v>
      </c>
      <c r="AE52" s="734">
        <f t="shared" si="27"/>
        <v>0</v>
      </c>
      <c r="AF52" s="734">
        <f t="shared" si="27"/>
        <v>0</v>
      </c>
      <c r="AG52" s="734">
        <f t="shared" si="27"/>
        <v>0</v>
      </c>
      <c r="AH52" s="734">
        <f t="shared" si="27"/>
        <v>0</v>
      </c>
      <c r="AI52" s="734">
        <f t="shared" si="27"/>
        <v>0</v>
      </c>
      <c r="AJ52" s="734">
        <f t="shared" si="27"/>
        <v>0</v>
      </c>
      <c r="AK52" s="734">
        <f t="shared" si="27"/>
        <v>0</v>
      </c>
      <c r="AL52" s="734">
        <f t="shared" si="27"/>
        <v>0</v>
      </c>
      <c r="AM52" s="734">
        <f t="shared" si="28"/>
        <v>0</v>
      </c>
      <c r="AN52" s="734">
        <f t="shared" si="28"/>
        <v>0</v>
      </c>
      <c r="AO52" s="734">
        <f t="shared" si="28"/>
        <v>0</v>
      </c>
      <c r="AP52" s="734">
        <f t="shared" si="28"/>
        <v>0</v>
      </c>
      <c r="AQ52" s="734">
        <f t="shared" si="28"/>
        <v>0</v>
      </c>
      <c r="AR52" s="734">
        <f t="shared" si="28"/>
        <v>0</v>
      </c>
      <c r="AS52" s="734">
        <f t="shared" si="28"/>
        <v>0</v>
      </c>
      <c r="AT52" s="734">
        <f t="shared" si="28"/>
        <v>0</v>
      </c>
      <c r="AU52" s="734">
        <f t="shared" si="28"/>
        <v>0</v>
      </c>
      <c r="AV52" s="734">
        <f t="shared" si="28"/>
        <v>0</v>
      </c>
      <c r="AW52" s="734">
        <f t="shared" si="21"/>
        <v>0</v>
      </c>
      <c r="AX52" s="734">
        <f t="shared" si="21"/>
        <v>0</v>
      </c>
      <c r="AY52" s="734">
        <f t="shared" si="21"/>
        <v>0</v>
      </c>
      <c r="AZ52" s="734">
        <f t="shared" si="21"/>
        <v>0</v>
      </c>
      <c r="BA52" s="734">
        <f t="shared" si="21"/>
        <v>0</v>
      </c>
      <c r="BB52" s="734">
        <f t="shared" si="21"/>
        <v>0</v>
      </c>
      <c r="BC52" s="734">
        <f t="shared" si="21"/>
        <v>0</v>
      </c>
      <c r="BD52" s="734">
        <f t="shared" si="21"/>
        <v>0</v>
      </c>
      <c r="BE52" s="734">
        <f t="shared" si="21"/>
        <v>0</v>
      </c>
      <c r="BF52" s="734">
        <f t="shared" si="21"/>
        <v>0</v>
      </c>
      <c r="BG52" s="734">
        <f t="shared" si="16"/>
        <v>0</v>
      </c>
      <c r="BH52" s="734">
        <f t="shared" si="16"/>
        <v>0</v>
      </c>
      <c r="BI52" s="734">
        <f t="shared" si="16"/>
        <v>0</v>
      </c>
      <c r="BJ52" s="734">
        <f t="shared" si="16"/>
        <v>0</v>
      </c>
      <c r="BK52" s="734">
        <f t="shared" si="16"/>
        <v>0</v>
      </c>
      <c r="BL52" s="734">
        <f t="shared" ref="BG52:BP73" si="29">IF(ISERROR(Plan),0,Plan)</f>
        <v>0</v>
      </c>
      <c r="BM52" s="734">
        <f t="shared" si="29"/>
        <v>0</v>
      </c>
      <c r="BN52" s="734">
        <f t="shared" si="29"/>
        <v>0</v>
      </c>
      <c r="BO52" s="734">
        <f t="shared" si="29"/>
        <v>0</v>
      </c>
      <c r="BP52" s="734">
        <f t="shared" si="29"/>
        <v>0</v>
      </c>
    </row>
    <row r="53" spans="1:68">
      <c r="A53" s="421" t="s">
        <v>185</v>
      </c>
      <c r="B53" s="418"/>
      <c r="C53" s="957" t="str">
        <f>IF($B53&lt;&gt;"",VLOOKUP($B53,COSTS_Wizard[#All],2),"")</f>
        <v/>
      </c>
      <c r="D53" s="987" t="str">
        <f>IF($B53&lt;&gt;"",VLOOKUP($B53,COSTS_Wizard[#All],3)/24,"")</f>
        <v/>
      </c>
      <c r="E53" s="991"/>
      <c r="F53" s="992"/>
      <c r="G53" s="982" t="str">
        <f t="shared" si="19"/>
        <v/>
      </c>
      <c r="H53" s="979"/>
      <c r="I53" s="736">
        <f t="shared" si="20"/>
        <v>0</v>
      </c>
      <c r="J53" s="736">
        <f t="shared" si="20"/>
        <v>0</v>
      </c>
      <c r="K53" s="736">
        <f t="shared" si="20"/>
        <v>0</v>
      </c>
      <c r="L53" s="736">
        <f t="shared" si="20"/>
        <v>0</v>
      </c>
      <c r="M53" s="736">
        <f t="shared" si="20"/>
        <v>0</v>
      </c>
      <c r="N53" s="736">
        <f t="shared" si="20"/>
        <v>0</v>
      </c>
      <c r="O53" s="736">
        <f t="shared" si="20"/>
        <v>0</v>
      </c>
      <c r="P53" s="736">
        <f t="shared" si="20"/>
        <v>0</v>
      </c>
      <c r="Q53" s="736">
        <f t="shared" si="20"/>
        <v>0</v>
      </c>
      <c r="R53" s="734">
        <f t="shared" si="20"/>
        <v>0</v>
      </c>
      <c r="S53" s="734">
        <f t="shared" si="18"/>
        <v>0</v>
      </c>
      <c r="T53" s="734">
        <f t="shared" si="18"/>
        <v>0</v>
      </c>
      <c r="U53" s="734">
        <f t="shared" si="18"/>
        <v>0</v>
      </c>
      <c r="V53" s="734">
        <f t="shared" si="18"/>
        <v>0</v>
      </c>
      <c r="W53" s="734">
        <f t="shared" si="18"/>
        <v>0</v>
      </c>
      <c r="X53" s="734">
        <f t="shared" si="18"/>
        <v>0</v>
      </c>
      <c r="Y53" s="734">
        <f t="shared" si="18"/>
        <v>0</v>
      </c>
      <c r="Z53" s="734">
        <f t="shared" si="18"/>
        <v>0</v>
      </c>
      <c r="AA53" s="734">
        <f t="shared" si="18"/>
        <v>0</v>
      </c>
      <c r="AB53" s="734">
        <f t="shared" si="18"/>
        <v>0</v>
      </c>
      <c r="AC53" s="734">
        <f t="shared" si="27"/>
        <v>0</v>
      </c>
      <c r="AD53" s="734">
        <f t="shared" si="27"/>
        <v>0</v>
      </c>
      <c r="AE53" s="734">
        <f t="shared" si="27"/>
        <v>0</v>
      </c>
      <c r="AF53" s="734">
        <f t="shared" si="27"/>
        <v>0</v>
      </c>
      <c r="AG53" s="734">
        <f t="shared" si="27"/>
        <v>0</v>
      </c>
      <c r="AH53" s="734">
        <f t="shared" si="27"/>
        <v>0</v>
      </c>
      <c r="AI53" s="734">
        <f t="shared" si="27"/>
        <v>0</v>
      </c>
      <c r="AJ53" s="734">
        <f t="shared" si="27"/>
        <v>0</v>
      </c>
      <c r="AK53" s="734">
        <f t="shared" si="27"/>
        <v>0</v>
      </c>
      <c r="AL53" s="734">
        <f t="shared" si="27"/>
        <v>0</v>
      </c>
      <c r="AM53" s="734">
        <f t="shared" si="28"/>
        <v>0</v>
      </c>
      <c r="AN53" s="734">
        <f t="shared" si="28"/>
        <v>0</v>
      </c>
      <c r="AO53" s="734">
        <f t="shared" si="28"/>
        <v>0</v>
      </c>
      <c r="AP53" s="734">
        <f t="shared" si="28"/>
        <v>0</v>
      </c>
      <c r="AQ53" s="734">
        <f t="shared" si="28"/>
        <v>0</v>
      </c>
      <c r="AR53" s="734">
        <f t="shared" si="28"/>
        <v>0</v>
      </c>
      <c r="AS53" s="734">
        <f t="shared" si="28"/>
        <v>0</v>
      </c>
      <c r="AT53" s="734">
        <f t="shared" si="28"/>
        <v>0</v>
      </c>
      <c r="AU53" s="734">
        <f t="shared" si="28"/>
        <v>0</v>
      </c>
      <c r="AV53" s="734">
        <f t="shared" si="28"/>
        <v>0</v>
      </c>
      <c r="AW53" s="734">
        <f t="shared" si="21"/>
        <v>0</v>
      </c>
      <c r="AX53" s="734">
        <f t="shared" si="21"/>
        <v>0</v>
      </c>
      <c r="AY53" s="734">
        <f t="shared" si="21"/>
        <v>0</v>
      </c>
      <c r="AZ53" s="734">
        <f t="shared" si="21"/>
        <v>0</v>
      </c>
      <c r="BA53" s="734">
        <f t="shared" si="21"/>
        <v>0</v>
      </c>
      <c r="BB53" s="734">
        <f t="shared" si="21"/>
        <v>0</v>
      </c>
      <c r="BC53" s="734">
        <f t="shared" si="21"/>
        <v>0</v>
      </c>
      <c r="BD53" s="734">
        <f t="shared" si="21"/>
        <v>0</v>
      </c>
      <c r="BE53" s="734">
        <f t="shared" si="21"/>
        <v>0</v>
      </c>
      <c r="BF53" s="734">
        <f t="shared" si="21"/>
        <v>0</v>
      </c>
      <c r="BG53" s="734">
        <f t="shared" si="29"/>
        <v>0</v>
      </c>
      <c r="BH53" s="734">
        <f t="shared" si="29"/>
        <v>0</v>
      </c>
      <c r="BI53" s="734">
        <f t="shared" si="29"/>
        <v>0</v>
      </c>
      <c r="BJ53" s="734">
        <f t="shared" si="29"/>
        <v>0</v>
      </c>
      <c r="BK53" s="734">
        <f t="shared" si="29"/>
        <v>0</v>
      </c>
      <c r="BL53" s="734">
        <f t="shared" si="29"/>
        <v>0</v>
      </c>
      <c r="BM53" s="734">
        <f t="shared" si="29"/>
        <v>0</v>
      </c>
      <c r="BN53" s="734">
        <f t="shared" si="29"/>
        <v>0</v>
      </c>
      <c r="BO53" s="734">
        <f t="shared" si="29"/>
        <v>0</v>
      </c>
      <c r="BP53" s="734">
        <f t="shared" si="29"/>
        <v>0</v>
      </c>
    </row>
    <row r="54" spans="1:68">
      <c r="A54" s="421" t="s">
        <v>184</v>
      </c>
      <c r="B54" s="418"/>
      <c r="C54" s="957" t="str">
        <f>IF($B54&lt;&gt;"",VLOOKUP($B54,COSTS_Healer[#All],2),"")</f>
        <v/>
      </c>
      <c r="D54" s="987" t="str">
        <f>IF($B54&lt;&gt;"",VLOOKUP($B54,COSTS_Healer[#All],3)/24,"")</f>
        <v/>
      </c>
      <c r="E54" s="991"/>
      <c r="F54" s="992"/>
      <c r="G54" s="982" t="str">
        <f t="shared" si="19"/>
        <v/>
      </c>
      <c r="H54" s="979"/>
      <c r="I54" s="736">
        <f t="shared" si="20"/>
        <v>0</v>
      </c>
      <c r="J54" s="736">
        <f t="shared" si="20"/>
        <v>0</v>
      </c>
      <c r="K54" s="736">
        <f t="shared" si="20"/>
        <v>0</v>
      </c>
      <c r="L54" s="736">
        <f t="shared" si="20"/>
        <v>0</v>
      </c>
      <c r="M54" s="736">
        <f t="shared" si="20"/>
        <v>0</v>
      </c>
      <c r="N54" s="736">
        <f t="shared" si="20"/>
        <v>0</v>
      </c>
      <c r="O54" s="736">
        <f t="shared" si="20"/>
        <v>0</v>
      </c>
      <c r="P54" s="736">
        <f t="shared" si="20"/>
        <v>0</v>
      </c>
      <c r="Q54" s="736">
        <f t="shared" si="20"/>
        <v>0</v>
      </c>
      <c r="R54" s="734">
        <f t="shared" si="20"/>
        <v>0</v>
      </c>
      <c r="S54" s="734">
        <f t="shared" si="18"/>
        <v>0</v>
      </c>
      <c r="T54" s="734">
        <f t="shared" si="18"/>
        <v>0</v>
      </c>
      <c r="U54" s="734">
        <f t="shared" si="18"/>
        <v>0</v>
      </c>
      <c r="V54" s="734">
        <f t="shared" si="18"/>
        <v>0</v>
      </c>
      <c r="W54" s="734">
        <f t="shared" si="18"/>
        <v>0</v>
      </c>
      <c r="X54" s="734">
        <f t="shared" si="18"/>
        <v>0</v>
      </c>
      <c r="Y54" s="734">
        <f t="shared" si="18"/>
        <v>0</v>
      </c>
      <c r="Z54" s="734">
        <f t="shared" si="18"/>
        <v>0</v>
      </c>
      <c r="AA54" s="734">
        <f t="shared" si="18"/>
        <v>0</v>
      </c>
      <c r="AB54" s="734">
        <f t="shared" si="18"/>
        <v>0</v>
      </c>
      <c r="AC54" s="734">
        <f t="shared" si="27"/>
        <v>0</v>
      </c>
      <c r="AD54" s="734">
        <f t="shared" si="27"/>
        <v>0</v>
      </c>
      <c r="AE54" s="734">
        <f t="shared" si="27"/>
        <v>0</v>
      </c>
      <c r="AF54" s="734">
        <f t="shared" si="27"/>
        <v>0</v>
      </c>
      <c r="AG54" s="734">
        <f t="shared" si="27"/>
        <v>0</v>
      </c>
      <c r="AH54" s="734">
        <f t="shared" si="27"/>
        <v>0</v>
      </c>
      <c r="AI54" s="734">
        <f t="shared" si="27"/>
        <v>0</v>
      </c>
      <c r="AJ54" s="734">
        <f t="shared" si="27"/>
        <v>0</v>
      </c>
      <c r="AK54" s="734">
        <f t="shared" si="27"/>
        <v>0</v>
      </c>
      <c r="AL54" s="734">
        <f t="shared" si="27"/>
        <v>0</v>
      </c>
      <c r="AM54" s="734">
        <f t="shared" si="28"/>
        <v>0</v>
      </c>
      <c r="AN54" s="734">
        <f t="shared" si="28"/>
        <v>0</v>
      </c>
      <c r="AO54" s="734">
        <f t="shared" si="28"/>
        <v>0</v>
      </c>
      <c r="AP54" s="734">
        <f t="shared" si="28"/>
        <v>0</v>
      </c>
      <c r="AQ54" s="734">
        <f t="shared" si="28"/>
        <v>0</v>
      </c>
      <c r="AR54" s="734">
        <f t="shared" si="28"/>
        <v>0</v>
      </c>
      <c r="AS54" s="734">
        <f t="shared" si="28"/>
        <v>0</v>
      </c>
      <c r="AT54" s="734">
        <f t="shared" si="28"/>
        <v>0</v>
      </c>
      <c r="AU54" s="734">
        <f t="shared" si="28"/>
        <v>0</v>
      </c>
      <c r="AV54" s="734">
        <f t="shared" si="28"/>
        <v>0</v>
      </c>
      <c r="AW54" s="734">
        <f t="shared" si="21"/>
        <v>0</v>
      </c>
      <c r="AX54" s="734">
        <f t="shared" si="21"/>
        <v>0</v>
      </c>
      <c r="AY54" s="734">
        <f t="shared" si="21"/>
        <v>0</v>
      </c>
      <c r="AZ54" s="734">
        <f t="shared" si="21"/>
        <v>0</v>
      </c>
      <c r="BA54" s="734">
        <f t="shared" si="21"/>
        <v>0</v>
      </c>
      <c r="BB54" s="734">
        <f t="shared" si="21"/>
        <v>0</v>
      </c>
      <c r="BC54" s="734">
        <f t="shared" si="21"/>
        <v>0</v>
      </c>
      <c r="BD54" s="734">
        <f t="shared" si="21"/>
        <v>0</v>
      </c>
      <c r="BE54" s="734">
        <f t="shared" si="21"/>
        <v>0</v>
      </c>
      <c r="BF54" s="734">
        <f t="shared" si="21"/>
        <v>0</v>
      </c>
      <c r="BG54" s="734">
        <f t="shared" si="29"/>
        <v>0</v>
      </c>
      <c r="BH54" s="734">
        <f t="shared" si="29"/>
        <v>0</v>
      </c>
      <c r="BI54" s="734">
        <f t="shared" si="29"/>
        <v>0</v>
      </c>
      <c r="BJ54" s="734">
        <f t="shared" si="29"/>
        <v>0</v>
      </c>
      <c r="BK54" s="734">
        <f t="shared" si="29"/>
        <v>0</v>
      </c>
      <c r="BL54" s="734">
        <f t="shared" si="29"/>
        <v>0</v>
      </c>
      <c r="BM54" s="734">
        <f t="shared" si="29"/>
        <v>0</v>
      </c>
      <c r="BN54" s="734">
        <f t="shared" si="29"/>
        <v>0</v>
      </c>
      <c r="BO54" s="734">
        <f t="shared" si="29"/>
        <v>0</v>
      </c>
      <c r="BP54" s="734">
        <f t="shared" si="29"/>
        <v>0</v>
      </c>
    </row>
    <row r="55" spans="1:68">
      <c r="A55" s="421" t="s">
        <v>57</v>
      </c>
      <c r="B55" s="418"/>
      <c r="C55" s="957" t="str">
        <f>IF($B55&lt;&gt;"",VLOOKUP($B55,COSTS_Dragon[#All],2),"")</f>
        <v/>
      </c>
      <c r="D55" s="987" t="str">
        <f>IF($B55&lt;&gt;"",VLOOKUP($B55,COSTS_Dragon[#All],3)/24,"")</f>
        <v/>
      </c>
      <c r="E55" s="991"/>
      <c r="F55" s="992"/>
      <c r="G55" s="982" t="str">
        <f t="shared" si="19"/>
        <v/>
      </c>
      <c r="H55" s="979"/>
      <c r="I55" s="736">
        <f t="shared" si="20"/>
        <v>0</v>
      </c>
      <c r="J55" s="736">
        <f t="shared" si="20"/>
        <v>0</v>
      </c>
      <c r="K55" s="736">
        <f t="shared" si="20"/>
        <v>0</v>
      </c>
      <c r="L55" s="736">
        <f t="shared" si="20"/>
        <v>0</v>
      </c>
      <c r="M55" s="736">
        <f t="shared" si="20"/>
        <v>0</v>
      </c>
      <c r="N55" s="736">
        <f t="shared" si="20"/>
        <v>0</v>
      </c>
      <c r="O55" s="736">
        <f t="shared" si="20"/>
        <v>0</v>
      </c>
      <c r="P55" s="736">
        <f t="shared" si="20"/>
        <v>0</v>
      </c>
      <c r="Q55" s="736">
        <f t="shared" si="20"/>
        <v>0</v>
      </c>
      <c r="R55" s="734">
        <f t="shared" si="20"/>
        <v>0</v>
      </c>
      <c r="S55" s="734">
        <f t="shared" si="18"/>
        <v>0</v>
      </c>
      <c r="T55" s="734">
        <f t="shared" si="18"/>
        <v>0</v>
      </c>
      <c r="U55" s="734">
        <f t="shared" si="18"/>
        <v>0</v>
      </c>
      <c r="V55" s="734">
        <f t="shared" si="18"/>
        <v>0</v>
      </c>
      <c r="W55" s="734">
        <f t="shared" si="18"/>
        <v>0</v>
      </c>
      <c r="X55" s="734">
        <f t="shared" si="18"/>
        <v>0</v>
      </c>
      <c r="Y55" s="734">
        <f t="shared" si="18"/>
        <v>0</v>
      </c>
      <c r="Z55" s="734">
        <f t="shared" si="18"/>
        <v>0</v>
      </c>
      <c r="AA55" s="734">
        <f t="shared" si="18"/>
        <v>0</v>
      </c>
      <c r="AB55" s="734">
        <f t="shared" si="18"/>
        <v>0</v>
      </c>
      <c r="AC55" s="734">
        <f t="shared" si="27"/>
        <v>0</v>
      </c>
      <c r="AD55" s="734">
        <f t="shared" si="27"/>
        <v>0</v>
      </c>
      <c r="AE55" s="734">
        <f t="shared" si="27"/>
        <v>0</v>
      </c>
      <c r="AF55" s="734">
        <f t="shared" si="27"/>
        <v>0</v>
      </c>
      <c r="AG55" s="734">
        <f t="shared" si="27"/>
        <v>0</v>
      </c>
      <c r="AH55" s="734">
        <f t="shared" si="27"/>
        <v>0</v>
      </c>
      <c r="AI55" s="734">
        <f t="shared" si="27"/>
        <v>0</v>
      </c>
      <c r="AJ55" s="734">
        <f t="shared" si="27"/>
        <v>0</v>
      </c>
      <c r="AK55" s="734">
        <f t="shared" si="27"/>
        <v>0</v>
      </c>
      <c r="AL55" s="734">
        <f t="shared" si="27"/>
        <v>0</v>
      </c>
      <c r="AM55" s="734">
        <f t="shared" si="28"/>
        <v>0</v>
      </c>
      <c r="AN55" s="734">
        <f t="shared" si="28"/>
        <v>0</v>
      </c>
      <c r="AO55" s="734">
        <f t="shared" si="28"/>
        <v>0</v>
      </c>
      <c r="AP55" s="734">
        <f t="shared" si="28"/>
        <v>0</v>
      </c>
      <c r="AQ55" s="734">
        <f t="shared" si="28"/>
        <v>0</v>
      </c>
      <c r="AR55" s="734">
        <f t="shared" si="28"/>
        <v>0</v>
      </c>
      <c r="AS55" s="734">
        <f t="shared" si="28"/>
        <v>0</v>
      </c>
      <c r="AT55" s="734">
        <f t="shared" si="28"/>
        <v>0</v>
      </c>
      <c r="AU55" s="734">
        <f t="shared" si="28"/>
        <v>0</v>
      </c>
      <c r="AV55" s="734">
        <f t="shared" si="28"/>
        <v>0</v>
      </c>
      <c r="AW55" s="734">
        <f t="shared" si="21"/>
        <v>0</v>
      </c>
      <c r="AX55" s="734">
        <f t="shared" si="21"/>
        <v>0</v>
      </c>
      <c r="AY55" s="734">
        <f t="shared" si="21"/>
        <v>0</v>
      </c>
      <c r="AZ55" s="734">
        <f t="shared" si="21"/>
        <v>0</v>
      </c>
      <c r="BA55" s="734">
        <f t="shared" si="21"/>
        <v>0</v>
      </c>
      <c r="BB55" s="734">
        <f t="shared" si="21"/>
        <v>0</v>
      </c>
      <c r="BC55" s="734">
        <f t="shared" si="21"/>
        <v>0</v>
      </c>
      <c r="BD55" s="734">
        <f t="shared" si="21"/>
        <v>0</v>
      </c>
      <c r="BE55" s="734">
        <f t="shared" si="21"/>
        <v>0</v>
      </c>
      <c r="BF55" s="734">
        <f t="shared" si="21"/>
        <v>0</v>
      </c>
      <c r="BG55" s="734">
        <f t="shared" si="29"/>
        <v>0</v>
      </c>
      <c r="BH55" s="734">
        <f t="shared" si="29"/>
        <v>0</v>
      </c>
      <c r="BI55" s="734">
        <f t="shared" si="29"/>
        <v>0</v>
      </c>
      <c r="BJ55" s="734">
        <f t="shared" si="29"/>
        <v>0</v>
      </c>
      <c r="BK55" s="734">
        <f t="shared" si="29"/>
        <v>0</v>
      </c>
      <c r="BL55" s="734">
        <f t="shared" si="29"/>
        <v>0</v>
      </c>
      <c r="BM55" s="734">
        <f t="shared" si="29"/>
        <v>0</v>
      </c>
      <c r="BN55" s="734">
        <f t="shared" si="29"/>
        <v>0</v>
      </c>
      <c r="BO55" s="734">
        <f t="shared" si="29"/>
        <v>0</v>
      </c>
      <c r="BP55" s="734">
        <f t="shared" si="29"/>
        <v>0</v>
      </c>
    </row>
    <row r="56" spans="1:68">
      <c r="A56" s="421" t="s">
        <v>58</v>
      </c>
      <c r="B56" s="418"/>
      <c r="C56" s="957" t="str">
        <f>IF($B56&lt;&gt;"",VLOOKUP($B56,COSTS_PEKKA[#All],2),"")</f>
        <v/>
      </c>
      <c r="D56" s="987" t="str">
        <f>IF($B56&lt;&gt;"",VLOOKUP($B56,COSTS_PEKKA[#All],3)/24,"")</f>
        <v/>
      </c>
      <c r="E56" s="991"/>
      <c r="F56" s="992"/>
      <c r="G56" s="982" t="str">
        <f t="shared" si="19"/>
        <v/>
      </c>
      <c r="H56" s="979"/>
      <c r="I56" s="736">
        <f t="shared" si="20"/>
        <v>0</v>
      </c>
      <c r="J56" s="736">
        <f t="shared" si="20"/>
        <v>0</v>
      </c>
      <c r="K56" s="736">
        <f t="shared" si="20"/>
        <v>0</v>
      </c>
      <c r="L56" s="736">
        <f t="shared" si="20"/>
        <v>0</v>
      </c>
      <c r="M56" s="736">
        <f t="shared" si="20"/>
        <v>0</v>
      </c>
      <c r="N56" s="736">
        <f t="shared" si="20"/>
        <v>0</v>
      </c>
      <c r="O56" s="736">
        <f t="shared" si="20"/>
        <v>0</v>
      </c>
      <c r="P56" s="736">
        <f t="shared" si="20"/>
        <v>0</v>
      </c>
      <c r="Q56" s="736">
        <f t="shared" si="20"/>
        <v>0</v>
      </c>
      <c r="R56" s="734">
        <f t="shared" si="20"/>
        <v>0</v>
      </c>
      <c r="S56" s="734">
        <f t="shared" si="18"/>
        <v>0</v>
      </c>
      <c r="T56" s="734">
        <f t="shared" si="18"/>
        <v>0</v>
      </c>
      <c r="U56" s="734">
        <f t="shared" si="18"/>
        <v>0</v>
      </c>
      <c r="V56" s="734">
        <f t="shared" si="18"/>
        <v>0</v>
      </c>
      <c r="W56" s="734">
        <f t="shared" si="18"/>
        <v>0</v>
      </c>
      <c r="X56" s="734">
        <f t="shared" si="18"/>
        <v>0</v>
      </c>
      <c r="Y56" s="734">
        <f t="shared" si="18"/>
        <v>0</v>
      </c>
      <c r="Z56" s="734">
        <f t="shared" si="18"/>
        <v>0</v>
      </c>
      <c r="AA56" s="734">
        <f t="shared" si="18"/>
        <v>0</v>
      </c>
      <c r="AB56" s="734">
        <f t="shared" si="18"/>
        <v>0</v>
      </c>
      <c r="AC56" s="734">
        <f t="shared" si="27"/>
        <v>0</v>
      </c>
      <c r="AD56" s="734">
        <f t="shared" si="27"/>
        <v>0</v>
      </c>
      <c r="AE56" s="734">
        <f t="shared" si="27"/>
        <v>0</v>
      </c>
      <c r="AF56" s="734">
        <f t="shared" si="27"/>
        <v>0</v>
      </c>
      <c r="AG56" s="734">
        <f t="shared" si="27"/>
        <v>0</v>
      </c>
      <c r="AH56" s="734">
        <f t="shared" si="27"/>
        <v>0</v>
      </c>
      <c r="AI56" s="734">
        <f t="shared" si="27"/>
        <v>0</v>
      </c>
      <c r="AJ56" s="734">
        <f t="shared" si="27"/>
        <v>0</v>
      </c>
      <c r="AK56" s="734">
        <f t="shared" si="27"/>
        <v>0</v>
      </c>
      <c r="AL56" s="734">
        <f t="shared" si="27"/>
        <v>0</v>
      </c>
      <c r="AM56" s="734">
        <f t="shared" si="28"/>
        <v>0</v>
      </c>
      <c r="AN56" s="734">
        <f t="shared" si="28"/>
        <v>0</v>
      </c>
      <c r="AO56" s="734">
        <f t="shared" si="28"/>
        <v>0</v>
      </c>
      <c r="AP56" s="734">
        <f t="shared" si="28"/>
        <v>0</v>
      </c>
      <c r="AQ56" s="734">
        <f t="shared" si="28"/>
        <v>0</v>
      </c>
      <c r="AR56" s="734">
        <f t="shared" si="28"/>
        <v>0</v>
      </c>
      <c r="AS56" s="734">
        <f t="shared" si="28"/>
        <v>0</v>
      </c>
      <c r="AT56" s="734">
        <f t="shared" si="28"/>
        <v>0</v>
      </c>
      <c r="AU56" s="734">
        <f t="shared" si="28"/>
        <v>0</v>
      </c>
      <c r="AV56" s="734">
        <f t="shared" si="28"/>
        <v>0</v>
      </c>
      <c r="AW56" s="734">
        <f t="shared" si="21"/>
        <v>0</v>
      </c>
      <c r="AX56" s="734">
        <f t="shared" si="21"/>
        <v>0</v>
      </c>
      <c r="AY56" s="734">
        <f t="shared" si="21"/>
        <v>0</v>
      </c>
      <c r="AZ56" s="734">
        <f t="shared" si="21"/>
        <v>0</v>
      </c>
      <c r="BA56" s="734">
        <f t="shared" si="21"/>
        <v>0</v>
      </c>
      <c r="BB56" s="734">
        <f t="shared" si="21"/>
        <v>0</v>
      </c>
      <c r="BC56" s="734">
        <f t="shared" si="21"/>
        <v>0</v>
      </c>
      <c r="BD56" s="734">
        <f t="shared" si="21"/>
        <v>0</v>
      </c>
      <c r="BE56" s="734">
        <f t="shared" si="21"/>
        <v>0</v>
      </c>
      <c r="BF56" s="734">
        <f t="shared" si="21"/>
        <v>0</v>
      </c>
      <c r="BG56" s="734">
        <f t="shared" si="29"/>
        <v>0</v>
      </c>
      <c r="BH56" s="734">
        <f t="shared" si="29"/>
        <v>0</v>
      </c>
      <c r="BI56" s="734">
        <f t="shared" si="29"/>
        <v>0</v>
      </c>
      <c r="BJ56" s="734">
        <f t="shared" si="29"/>
        <v>0</v>
      </c>
      <c r="BK56" s="734">
        <f t="shared" si="29"/>
        <v>0</v>
      </c>
      <c r="BL56" s="734">
        <f t="shared" si="29"/>
        <v>0</v>
      </c>
      <c r="BM56" s="734">
        <f t="shared" si="29"/>
        <v>0</v>
      </c>
      <c r="BN56" s="734">
        <f t="shared" si="29"/>
        <v>0</v>
      </c>
      <c r="BO56" s="734">
        <f t="shared" si="29"/>
        <v>0</v>
      </c>
      <c r="BP56" s="734">
        <f t="shared" si="29"/>
        <v>0</v>
      </c>
    </row>
    <row r="57" spans="1:68">
      <c r="A57" s="421" t="s">
        <v>183</v>
      </c>
      <c r="B57" s="418"/>
      <c r="C57" s="426" t="str">
        <f>IF($B57&lt;&gt;"",VLOOKUP($B57,COSTS_Minion[#All],2),"")</f>
        <v/>
      </c>
      <c r="D57" s="987" t="str">
        <f>IF($B57&lt;&gt;"",VLOOKUP($B57,COSTS_Minion[#All],3)/24,"")</f>
        <v/>
      </c>
      <c r="E57" s="991"/>
      <c r="F57" s="992"/>
      <c r="G57" s="982" t="str">
        <f t="shared" si="19"/>
        <v/>
      </c>
      <c r="H57" s="979"/>
      <c r="I57" s="736">
        <f t="shared" si="20"/>
        <v>0</v>
      </c>
      <c r="J57" s="736">
        <f t="shared" si="20"/>
        <v>0</v>
      </c>
      <c r="K57" s="736">
        <f t="shared" si="20"/>
        <v>0</v>
      </c>
      <c r="L57" s="736">
        <f t="shared" si="20"/>
        <v>0</v>
      </c>
      <c r="M57" s="736">
        <f t="shared" si="20"/>
        <v>0</v>
      </c>
      <c r="N57" s="736">
        <f t="shared" si="20"/>
        <v>0</v>
      </c>
      <c r="O57" s="736">
        <f t="shared" si="20"/>
        <v>0</v>
      </c>
      <c r="P57" s="736">
        <f t="shared" si="20"/>
        <v>0</v>
      </c>
      <c r="Q57" s="736">
        <f t="shared" si="20"/>
        <v>0</v>
      </c>
      <c r="R57" s="734">
        <f t="shared" si="20"/>
        <v>0</v>
      </c>
      <c r="S57" s="734">
        <f t="shared" si="18"/>
        <v>0</v>
      </c>
      <c r="T57" s="734">
        <f t="shared" si="18"/>
        <v>0</v>
      </c>
      <c r="U57" s="734">
        <f t="shared" si="18"/>
        <v>0</v>
      </c>
      <c r="V57" s="734">
        <f t="shared" si="18"/>
        <v>0</v>
      </c>
      <c r="W57" s="734">
        <f t="shared" si="18"/>
        <v>0</v>
      </c>
      <c r="X57" s="734">
        <f t="shared" si="18"/>
        <v>0</v>
      </c>
      <c r="Y57" s="734">
        <f t="shared" si="18"/>
        <v>0</v>
      </c>
      <c r="Z57" s="734">
        <f t="shared" si="18"/>
        <v>0</v>
      </c>
      <c r="AA57" s="734">
        <f t="shared" si="18"/>
        <v>0</v>
      </c>
      <c r="AB57" s="734">
        <f t="shared" si="18"/>
        <v>0</v>
      </c>
      <c r="AC57" s="734">
        <f t="shared" si="27"/>
        <v>0</v>
      </c>
      <c r="AD57" s="734">
        <f t="shared" si="27"/>
        <v>0</v>
      </c>
      <c r="AE57" s="734">
        <f t="shared" si="27"/>
        <v>0</v>
      </c>
      <c r="AF57" s="734">
        <f t="shared" si="27"/>
        <v>0</v>
      </c>
      <c r="AG57" s="734">
        <f t="shared" si="27"/>
        <v>0</v>
      </c>
      <c r="AH57" s="734">
        <f t="shared" si="27"/>
        <v>0</v>
      </c>
      <c r="AI57" s="734">
        <f t="shared" si="27"/>
        <v>0</v>
      </c>
      <c r="AJ57" s="734">
        <f t="shared" si="27"/>
        <v>0</v>
      </c>
      <c r="AK57" s="734">
        <f t="shared" si="27"/>
        <v>0</v>
      </c>
      <c r="AL57" s="734">
        <f t="shared" si="27"/>
        <v>0</v>
      </c>
      <c r="AM57" s="734">
        <f t="shared" si="28"/>
        <v>0</v>
      </c>
      <c r="AN57" s="734">
        <f t="shared" si="28"/>
        <v>0</v>
      </c>
      <c r="AO57" s="734">
        <f t="shared" si="28"/>
        <v>0</v>
      </c>
      <c r="AP57" s="734">
        <f t="shared" si="28"/>
        <v>0</v>
      </c>
      <c r="AQ57" s="734">
        <f t="shared" si="28"/>
        <v>0</v>
      </c>
      <c r="AR57" s="734">
        <f t="shared" si="28"/>
        <v>0</v>
      </c>
      <c r="AS57" s="734">
        <f t="shared" si="28"/>
        <v>0</v>
      </c>
      <c r="AT57" s="734">
        <f t="shared" si="28"/>
        <v>0</v>
      </c>
      <c r="AU57" s="734">
        <f t="shared" si="28"/>
        <v>0</v>
      </c>
      <c r="AV57" s="734">
        <f t="shared" si="28"/>
        <v>0</v>
      </c>
      <c r="AW57" s="734">
        <f t="shared" si="21"/>
        <v>0</v>
      </c>
      <c r="AX57" s="734">
        <f t="shared" si="21"/>
        <v>0</v>
      </c>
      <c r="AY57" s="734">
        <f t="shared" si="21"/>
        <v>0</v>
      </c>
      <c r="AZ57" s="734">
        <f t="shared" si="21"/>
        <v>0</v>
      </c>
      <c r="BA57" s="734">
        <f t="shared" si="21"/>
        <v>0</v>
      </c>
      <c r="BB57" s="734">
        <f t="shared" si="21"/>
        <v>0</v>
      </c>
      <c r="BC57" s="734">
        <f t="shared" si="21"/>
        <v>0</v>
      </c>
      <c r="BD57" s="734">
        <f t="shared" si="21"/>
        <v>0</v>
      </c>
      <c r="BE57" s="734">
        <f t="shared" si="21"/>
        <v>0</v>
      </c>
      <c r="BF57" s="734">
        <f t="shared" si="21"/>
        <v>0</v>
      </c>
      <c r="BG57" s="734">
        <f t="shared" si="29"/>
        <v>0</v>
      </c>
      <c r="BH57" s="734">
        <f t="shared" si="29"/>
        <v>0</v>
      </c>
      <c r="BI57" s="734">
        <f t="shared" si="29"/>
        <v>0</v>
      </c>
      <c r="BJ57" s="734">
        <f t="shared" si="29"/>
        <v>0</v>
      </c>
      <c r="BK57" s="734">
        <f t="shared" si="29"/>
        <v>0</v>
      </c>
      <c r="BL57" s="734">
        <f t="shared" si="29"/>
        <v>0</v>
      </c>
      <c r="BM57" s="734">
        <f t="shared" si="29"/>
        <v>0</v>
      </c>
      <c r="BN57" s="734">
        <f t="shared" si="29"/>
        <v>0</v>
      </c>
      <c r="BO57" s="734">
        <f t="shared" si="29"/>
        <v>0</v>
      </c>
      <c r="BP57" s="734">
        <f t="shared" si="29"/>
        <v>0</v>
      </c>
    </row>
    <row r="58" spans="1:68">
      <c r="A58" s="421" t="s">
        <v>245</v>
      </c>
      <c r="B58" s="418"/>
      <c r="C58" s="426" t="str">
        <f>IF($B58&lt;&gt;"",VLOOKUP($B58,COSTS_Hog_Rider[#All],2),"")</f>
        <v/>
      </c>
      <c r="D58" s="987" t="str">
        <f>IF($B58&lt;&gt;"",VLOOKUP($B58,COSTS_Hog_Rider[#All],3)/24,"")</f>
        <v/>
      </c>
      <c r="E58" s="991"/>
      <c r="F58" s="992"/>
      <c r="G58" s="982" t="str">
        <f t="shared" si="19"/>
        <v/>
      </c>
      <c r="H58" s="979"/>
      <c r="I58" s="736">
        <f t="shared" si="20"/>
        <v>0</v>
      </c>
      <c r="J58" s="736">
        <f t="shared" si="20"/>
        <v>0</v>
      </c>
      <c r="K58" s="736">
        <f t="shared" si="20"/>
        <v>0</v>
      </c>
      <c r="L58" s="736">
        <f t="shared" si="20"/>
        <v>0</v>
      </c>
      <c r="M58" s="736">
        <f t="shared" si="20"/>
        <v>0</v>
      </c>
      <c r="N58" s="736">
        <f t="shared" si="20"/>
        <v>0</v>
      </c>
      <c r="O58" s="736">
        <f t="shared" si="20"/>
        <v>0</v>
      </c>
      <c r="P58" s="736">
        <f t="shared" si="20"/>
        <v>0</v>
      </c>
      <c r="Q58" s="736">
        <f t="shared" si="20"/>
        <v>0</v>
      </c>
      <c r="R58" s="734">
        <f t="shared" si="20"/>
        <v>0</v>
      </c>
      <c r="S58" s="734">
        <f t="shared" si="18"/>
        <v>0</v>
      </c>
      <c r="T58" s="734">
        <f t="shared" si="18"/>
        <v>0</v>
      </c>
      <c r="U58" s="734">
        <f t="shared" si="18"/>
        <v>0</v>
      </c>
      <c r="V58" s="734">
        <f t="shared" si="18"/>
        <v>0</v>
      </c>
      <c r="W58" s="734">
        <f t="shared" si="18"/>
        <v>0</v>
      </c>
      <c r="X58" s="734">
        <f t="shared" si="18"/>
        <v>0</v>
      </c>
      <c r="Y58" s="734">
        <f t="shared" si="18"/>
        <v>0</v>
      </c>
      <c r="Z58" s="734">
        <f t="shared" si="18"/>
        <v>0</v>
      </c>
      <c r="AA58" s="734">
        <f t="shared" si="18"/>
        <v>0</v>
      </c>
      <c r="AB58" s="734">
        <f t="shared" si="18"/>
        <v>0</v>
      </c>
      <c r="AC58" s="734">
        <f t="shared" si="27"/>
        <v>0</v>
      </c>
      <c r="AD58" s="734">
        <f t="shared" si="27"/>
        <v>0</v>
      </c>
      <c r="AE58" s="734">
        <f t="shared" si="27"/>
        <v>0</v>
      </c>
      <c r="AF58" s="734">
        <f t="shared" si="27"/>
        <v>0</v>
      </c>
      <c r="AG58" s="734">
        <f t="shared" si="27"/>
        <v>0</v>
      </c>
      <c r="AH58" s="734">
        <f t="shared" si="27"/>
        <v>0</v>
      </c>
      <c r="AI58" s="734">
        <f t="shared" si="27"/>
        <v>0</v>
      </c>
      <c r="AJ58" s="734">
        <f t="shared" si="27"/>
        <v>0</v>
      </c>
      <c r="AK58" s="734">
        <f t="shared" si="27"/>
        <v>0</v>
      </c>
      <c r="AL58" s="734">
        <f t="shared" si="27"/>
        <v>0</v>
      </c>
      <c r="AM58" s="734">
        <f t="shared" si="28"/>
        <v>0</v>
      </c>
      <c r="AN58" s="734">
        <f t="shared" si="28"/>
        <v>0</v>
      </c>
      <c r="AO58" s="734">
        <f t="shared" si="28"/>
        <v>0</v>
      </c>
      <c r="AP58" s="734">
        <f t="shared" si="28"/>
        <v>0</v>
      </c>
      <c r="AQ58" s="734">
        <f t="shared" si="28"/>
        <v>0</v>
      </c>
      <c r="AR58" s="734">
        <f t="shared" si="28"/>
        <v>0</v>
      </c>
      <c r="AS58" s="734">
        <f t="shared" si="28"/>
        <v>0</v>
      </c>
      <c r="AT58" s="734">
        <f t="shared" si="28"/>
        <v>0</v>
      </c>
      <c r="AU58" s="734">
        <f t="shared" si="28"/>
        <v>0</v>
      </c>
      <c r="AV58" s="734">
        <f t="shared" si="28"/>
        <v>0</v>
      </c>
      <c r="AW58" s="734">
        <f t="shared" si="21"/>
        <v>0</v>
      </c>
      <c r="AX58" s="734">
        <f t="shared" si="21"/>
        <v>0</v>
      </c>
      <c r="AY58" s="734">
        <f t="shared" si="21"/>
        <v>0</v>
      </c>
      <c r="AZ58" s="734">
        <f t="shared" si="21"/>
        <v>0</v>
      </c>
      <c r="BA58" s="734">
        <f t="shared" si="21"/>
        <v>0</v>
      </c>
      <c r="BB58" s="734">
        <f t="shared" si="21"/>
        <v>0</v>
      </c>
      <c r="BC58" s="734">
        <f t="shared" si="21"/>
        <v>0</v>
      </c>
      <c r="BD58" s="734">
        <f t="shared" si="21"/>
        <v>0</v>
      </c>
      <c r="BE58" s="734">
        <f t="shared" si="21"/>
        <v>0</v>
      </c>
      <c r="BF58" s="734">
        <f t="shared" si="21"/>
        <v>0</v>
      </c>
      <c r="BG58" s="734">
        <f t="shared" si="29"/>
        <v>0</v>
      </c>
      <c r="BH58" s="734">
        <f t="shared" si="29"/>
        <v>0</v>
      </c>
      <c r="BI58" s="734">
        <f t="shared" si="29"/>
        <v>0</v>
      </c>
      <c r="BJ58" s="734">
        <f t="shared" si="29"/>
        <v>0</v>
      </c>
      <c r="BK58" s="734">
        <f t="shared" si="29"/>
        <v>0</v>
      </c>
      <c r="BL58" s="734">
        <f t="shared" si="29"/>
        <v>0</v>
      </c>
      <c r="BM58" s="734">
        <f t="shared" si="29"/>
        <v>0</v>
      </c>
      <c r="BN58" s="734">
        <f t="shared" si="29"/>
        <v>0</v>
      </c>
      <c r="BO58" s="734">
        <f t="shared" si="29"/>
        <v>0</v>
      </c>
      <c r="BP58" s="734">
        <f t="shared" si="29"/>
        <v>0</v>
      </c>
    </row>
    <row r="59" spans="1:68">
      <c r="A59" s="421" t="s">
        <v>66</v>
      </c>
      <c r="B59" s="418"/>
      <c r="C59" s="426" t="str">
        <f>IF($B59&lt;&gt;"",VLOOKUP($B59,COSTS_Valkyrie[#All],2),"")</f>
        <v/>
      </c>
      <c r="D59" s="987" t="str">
        <f>IF($B59&lt;&gt;"",VLOOKUP($B59,COSTS_Valkyrie[#All],3)/24,"")</f>
        <v/>
      </c>
      <c r="E59" s="991"/>
      <c r="F59" s="992"/>
      <c r="G59" s="982" t="str">
        <f t="shared" si="19"/>
        <v/>
      </c>
      <c r="H59" s="979"/>
      <c r="I59" s="736">
        <f t="shared" si="20"/>
        <v>0</v>
      </c>
      <c r="J59" s="736">
        <f t="shared" si="20"/>
        <v>0</v>
      </c>
      <c r="K59" s="736">
        <f t="shared" si="20"/>
        <v>0</v>
      </c>
      <c r="L59" s="736">
        <f t="shared" si="20"/>
        <v>0</v>
      </c>
      <c r="M59" s="736">
        <f t="shared" si="20"/>
        <v>0</v>
      </c>
      <c r="N59" s="736">
        <f t="shared" si="20"/>
        <v>0</v>
      </c>
      <c r="O59" s="736">
        <f t="shared" si="20"/>
        <v>0</v>
      </c>
      <c r="P59" s="736">
        <f t="shared" si="20"/>
        <v>0</v>
      </c>
      <c r="Q59" s="736">
        <f t="shared" si="20"/>
        <v>0</v>
      </c>
      <c r="R59" s="734">
        <f t="shared" si="20"/>
        <v>0</v>
      </c>
      <c r="S59" s="734">
        <f t="shared" si="18"/>
        <v>0</v>
      </c>
      <c r="T59" s="734">
        <f t="shared" si="18"/>
        <v>0</v>
      </c>
      <c r="U59" s="734">
        <f t="shared" si="18"/>
        <v>0</v>
      </c>
      <c r="V59" s="734">
        <f t="shared" si="18"/>
        <v>0</v>
      </c>
      <c r="W59" s="734">
        <f t="shared" si="18"/>
        <v>0</v>
      </c>
      <c r="X59" s="734">
        <f t="shared" si="18"/>
        <v>0</v>
      </c>
      <c r="Y59" s="734">
        <f t="shared" si="18"/>
        <v>0</v>
      </c>
      <c r="Z59" s="734">
        <f t="shared" si="18"/>
        <v>0</v>
      </c>
      <c r="AA59" s="734">
        <f t="shared" si="18"/>
        <v>0</v>
      </c>
      <c r="AB59" s="734">
        <f t="shared" si="18"/>
        <v>0</v>
      </c>
      <c r="AC59" s="734">
        <f t="shared" si="27"/>
        <v>0</v>
      </c>
      <c r="AD59" s="734">
        <f t="shared" si="27"/>
        <v>0</v>
      </c>
      <c r="AE59" s="734">
        <f t="shared" si="27"/>
        <v>0</v>
      </c>
      <c r="AF59" s="734">
        <f t="shared" si="27"/>
        <v>0</v>
      </c>
      <c r="AG59" s="734">
        <f t="shared" si="27"/>
        <v>0</v>
      </c>
      <c r="AH59" s="734">
        <f t="shared" si="27"/>
        <v>0</v>
      </c>
      <c r="AI59" s="734">
        <f t="shared" si="27"/>
        <v>0</v>
      </c>
      <c r="AJ59" s="734">
        <f t="shared" si="27"/>
        <v>0</v>
      </c>
      <c r="AK59" s="734">
        <f t="shared" si="27"/>
        <v>0</v>
      </c>
      <c r="AL59" s="734">
        <f t="shared" si="27"/>
        <v>0</v>
      </c>
      <c r="AM59" s="734">
        <f t="shared" si="28"/>
        <v>0</v>
      </c>
      <c r="AN59" s="734">
        <f t="shared" si="28"/>
        <v>0</v>
      </c>
      <c r="AO59" s="734">
        <f t="shared" si="28"/>
        <v>0</v>
      </c>
      <c r="AP59" s="734">
        <f t="shared" si="28"/>
        <v>0</v>
      </c>
      <c r="AQ59" s="734">
        <f t="shared" si="28"/>
        <v>0</v>
      </c>
      <c r="AR59" s="734">
        <f t="shared" si="28"/>
        <v>0</v>
      </c>
      <c r="AS59" s="734">
        <f t="shared" si="28"/>
        <v>0</v>
      </c>
      <c r="AT59" s="734">
        <f t="shared" si="28"/>
        <v>0</v>
      </c>
      <c r="AU59" s="734">
        <f t="shared" si="28"/>
        <v>0</v>
      </c>
      <c r="AV59" s="734">
        <f t="shared" si="28"/>
        <v>0</v>
      </c>
      <c r="AW59" s="734">
        <f t="shared" si="21"/>
        <v>0</v>
      </c>
      <c r="AX59" s="734">
        <f t="shared" si="21"/>
        <v>0</v>
      </c>
      <c r="AY59" s="734">
        <f t="shared" si="21"/>
        <v>0</v>
      </c>
      <c r="AZ59" s="734">
        <f t="shared" si="21"/>
        <v>0</v>
      </c>
      <c r="BA59" s="734">
        <f t="shared" si="21"/>
        <v>0</v>
      </c>
      <c r="BB59" s="734">
        <f t="shared" si="21"/>
        <v>0</v>
      </c>
      <c r="BC59" s="734">
        <f t="shared" si="21"/>
        <v>0</v>
      </c>
      <c r="BD59" s="734">
        <f t="shared" si="21"/>
        <v>0</v>
      </c>
      <c r="BE59" s="734">
        <f t="shared" si="21"/>
        <v>0</v>
      </c>
      <c r="BF59" s="734">
        <f t="shared" si="21"/>
        <v>0</v>
      </c>
      <c r="BG59" s="734">
        <f t="shared" si="29"/>
        <v>0</v>
      </c>
      <c r="BH59" s="734">
        <f t="shared" si="29"/>
        <v>0</v>
      </c>
      <c r="BI59" s="734">
        <f t="shared" si="29"/>
        <v>0</v>
      </c>
      <c r="BJ59" s="734">
        <f t="shared" si="29"/>
        <v>0</v>
      </c>
      <c r="BK59" s="734">
        <f t="shared" si="29"/>
        <v>0</v>
      </c>
      <c r="BL59" s="734">
        <f t="shared" si="29"/>
        <v>0</v>
      </c>
      <c r="BM59" s="734">
        <f t="shared" si="29"/>
        <v>0</v>
      </c>
      <c r="BN59" s="734">
        <f t="shared" si="29"/>
        <v>0</v>
      </c>
      <c r="BO59" s="734">
        <f t="shared" si="29"/>
        <v>0</v>
      </c>
      <c r="BP59" s="734">
        <f t="shared" si="29"/>
        <v>0</v>
      </c>
    </row>
    <row r="60" spans="1:68">
      <c r="A60" s="421" t="s">
        <v>67</v>
      </c>
      <c r="B60" s="418"/>
      <c r="C60" s="426" t="str">
        <f>IF($B60&lt;&gt;"",VLOOKUP($B60,COSTS_Golem[#All],2),"")</f>
        <v/>
      </c>
      <c r="D60" s="987" t="str">
        <f>IF($B60&lt;&gt;"",VLOOKUP($B60,COSTS_Golem[#All],3)/24,"")</f>
        <v/>
      </c>
      <c r="E60" s="991"/>
      <c r="F60" s="992"/>
      <c r="G60" s="982" t="str">
        <f t="shared" ref="G60:G62" si="30">IF($D60&lt;&gt;"",$D60,"")</f>
        <v/>
      </c>
      <c r="H60" s="979"/>
      <c r="I60" s="736">
        <f t="shared" si="20"/>
        <v>0</v>
      </c>
      <c r="J60" s="736">
        <f t="shared" si="20"/>
        <v>0</v>
      </c>
      <c r="K60" s="736">
        <f t="shared" si="20"/>
        <v>0</v>
      </c>
      <c r="L60" s="736">
        <f t="shared" si="20"/>
        <v>0</v>
      </c>
      <c r="M60" s="736">
        <f t="shared" si="20"/>
        <v>0</v>
      </c>
      <c r="N60" s="736">
        <f t="shared" si="20"/>
        <v>0</v>
      </c>
      <c r="O60" s="736">
        <f t="shared" si="20"/>
        <v>0</v>
      </c>
      <c r="P60" s="736">
        <f t="shared" si="20"/>
        <v>0</v>
      </c>
      <c r="Q60" s="736">
        <f t="shared" si="20"/>
        <v>0</v>
      </c>
      <c r="R60" s="734">
        <f t="shared" si="20"/>
        <v>0</v>
      </c>
      <c r="S60" s="734">
        <f t="shared" si="18"/>
        <v>0</v>
      </c>
      <c r="T60" s="734">
        <f t="shared" si="18"/>
        <v>0</v>
      </c>
      <c r="U60" s="734">
        <f t="shared" si="18"/>
        <v>0</v>
      </c>
      <c r="V60" s="734">
        <f t="shared" si="18"/>
        <v>0</v>
      </c>
      <c r="W60" s="734">
        <f t="shared" si="18"/>
        <v>0</v>
      </c>
      <c r="X60" s="734">
        <f t="shared" si="18"/>
        <v>0</v>
      </c>
      <c r="Y60" s="734">
        <f t="shared" si="18"/>
        <v>0</v>
      </c>
      <c r="Z60" s="734">
        <f t="shared" si="18"/>
        <v>0</v>
      </c>
      <c r="AA60" s="734">
        <f t="shared" si="18"/>
        <v>0</v>
      </c>
      <c r="AB60" s="734">
        <f t="shared" si="18"/>
        <v>0</v>
      </c>
      <c r="AC60" s="734">
        <f t="shared" si="27"/>
        <v>0</v>
      </c>
      <c r="AD60" s="734">
        <f t="shared" si="27"/>
        <v>0</v>
      </c>
      <c r="AE60" s="734">
        <f t="shared" si="27"/>
        <v>0</v>
      </c>
      <c r="AF60" s="734">
        <f t="shared" si="27"/>
        <v>0</v>
      </c>
      <c r="AG60" s="734">
        <f t="shared" si="27"/>
        <v>0</v>
      </c>
      <c r="AH60" s="734">
        <f t="shared" si="27"/>
        <v>0</v>
      </c>
      <c r="AI60" s="734">
        <f t="shared" si="27"/>
        <v>0</v>
      </c>
      <c r="AJ60" s="734">
        <f t="shared" si="27"/>
        <v>0</v>
      </c>
      <c r="AK60" s="734">
        <f t="shared" si="27"/>
        <v>0</v>
      </c>
      <c r="AL60" s="734">
        <f t="shared" si="27"/>
        <v>0</v>
      </c>
      <c r="AM60" s="734">
        <f t="shared" si="28"/>
        <v>0</v>
      </c>
      <c r="AN60" s="734">
        <f t="shared" si="28"/>
        <v>0</v>
      </c>
      <c r="AO60" s="734">
        <f t="shared" si="28"/>
        <v>0</v>
      </c>
      <c r="AP60" s="734">
        <f t="shared" si="28"/>
        <v>0</v>
      </c>
      <c r="AQ60" s="734">
        <f t="shared" si="28"/>
        <v>0</v>
      </c>
      <c r="AR60" s="734">
        <f t="shared" si="28"/>
        <v>0</v>
      </c>
      <c r="AS60" s="734">
        <f t="shared" si="28"/>
        <v>0</v>
      </c>
      <c r="AT60" s="734">
        <f t="shared" si="28"/>
        <v>0</v>
      </c>
      <c r="AU60" s="734">
        <f t="shared" si="28"/>
        <v>0</v>
      </c>
      <c r="AV60" s="734">
        <f t="shared" si="28"/>
        <v>0</v>
      </c>
      <c r="AW60" s="734">
        <f t="shared" si="21"/>
        <v>0</v>
      </c>
      <c r="AX60" s="734">
        <f t="shared" si="21"/>
        <v>0</v>
      </c>
      <c r="AY60" s="734">
        <f t="shared" si="21"/>
        <v>0</v>
      </c>
      <c r="AZ60" s="734">
        <f t="shared" si="21"/>
        <v>0</v>
      </c>
      <c r="BA60" s="734">
        <f t="shared" si="21"/>
        <v>0</v>
      </c>
      <c r="BB60" s="734">
        <f t="shared" si="21"/>
        <v>0</v>
      </c>
      <c r="BC60" s="734">
        <f t="shared" si="21"/>
        <v>0</v>
      </c>
      <c r="BD60" s="734">
        <f t="shared" si="21"/>
        <v>0</v>
      </c>
      <c r="BE60" s="734">
        <f t="shared" si="21"/>
        <v>0</v>
      </c>
      <c r="BF60" s="734">
        <f t="shared" si="21"/>
        <v>0</v>
      </c>
      <c r="BG60" s="734">
        <f t="shared" si="29"/>
        <v>0</v>
      </c>
      <c r="BH60" s="734">
        <f t="shared" si="29"/>
        <v>0</v>
      </c>
      <c r="BI60" s="734">
        <f t="shared" si="29"/>
        <v>0</v>
      </c>
      <c r="BJ60" s="734">
        <f t="shared" si="29"/>
        <v>0</v>
      </c>
      <c r="BK60" s="734">
        <f t="shared" si="29"/>
        <v>0</v>
      </c>
      <c r="BL60" s="734">
        <f t="shared" si="29"/>
        <v>0</v>
      </c>
      <c r="BM60" s="734">
        <f t="shared" si="29"/>
        <v>0</v>
      </c>
      <c r="BN60" s="734">
        <f t="shared" si="29"/>
        <v>0</v>
      </c>
      <c r="BO60" s="734">
        <f t="shared" si="29"/>
        <v>0</v>
      </c>
      <c r="BP60" s="734">
        <f t="shared" si="29"/>
        <v>0</v>
      </c>
    </row>
    <row r="61" spans="1:68">
      <c r="A61" s="421" t="s">
        <v>536</v>
      </c>
      <c r="B61" s="418"/>
      <c r="C61" s="426" t="str">
        <f>IF($B61&lt;&gt;"",VLOOKUP($B61,COSTS_Witch[#All],2),"")</f>
        <v/>
      </c>
      <c r="D61" s="987" t="str">
        <f>IF($B61&lt;&gt;"",VLOOKUP($B61,COSTS_Witch[#All],3)/24,"")</f>
        <v/>
      </c>
      <c r="E61" s="991"/>
      <c r="F61" s="992"/>
      <c r="G61" s="982" t="str">
        <f t="shared" si="30"/>
        <v/>
      </c>
      <c r="H61" s="979"/>
      <c r="I61" s="736">
        <f t="shared" si="20"/>
        <v>0</v>
      </c>
      <c r="J61" s="736">
        <f t="shared" si="20"/>
        <v>0</v>
      </c>
      <c r="K61" s="736">
        <f t="shared" si="20"/>
        <v>0</v>
      </c>
      <c r="L61" s="736">
        <f t="shared" si="20"/>
        <v>0</v>
      </c>
      <c r="M61" s="736">
        <f t="shared" si="20"/>
        <v>0</v>
      </c>
      <c r="N61" s="736">
        <f t="shared" si="20"/>
        <v>0</v>
      </c>
      <c r="O61" s="736">
        <f t="shared" si="20"/>
        <v>0</v>
      </c>
      <c r="P61" s="736">
        <f t="shared" si="20"/>
        <v>0</v>
      </c>
      <c r="Q61" s="736">
        <f t="shared" si="20"/>
        <v>0</v>
      </c>
      <c r="R61" s="734">
        <f t="shared" si="20"/>
        <v>0</v>
      </c>
      <c r="S61" s="734">
        <f t="shared" si="18"/>
        <v>0</v>
      </c>
      <c r="T61" s="734">
        <f t="shared" si="18"/>
        <v>0</v>
      </c>
      <c r="U61" s="734">
        <f t="shared" si="18"/>
        <v>0</v>
      </c>
      <c r="V61" s="734">
        <f t="shared" si="18"/>
        <v>0</v>
      </c>
      <c r="W61" s="734">
        <f t="shared" si="18"/>
        <v>0</v>
      </c>
      <c r="X61" s="734">
        <f t="shared" si="18"/>
        <v>0</v>
      </c>
      <c r="Y61" s="734">
        <f t="shared" si="18"/>
        <v>0</v>
      </c>
      <c r="Z61" s="734">
        <f t="shared" si="18"/>
        <v>0</v>
      </c>
      <c r="AA61" s="734">
        <f t="shared" si="18"/>
        <v>0</v>
      </c>
      <c r="AB61" s="734">
        <f t="shared" si="18"/>
        <v>0</v>
      </c>
      <c r="AC61" s="734">
        <f t="shared" si="27"/>
        <v>0</v>
      </c>
      <c r="AD61" s="734">
        <f t="shared" si="27"/>
        <v>0</v>
      </c>
      <c r="AE61" s="734">
        <f t="shared" si="27"/>
        <v>0</v>
      </c>
      <c r="AF61" s="734">
        <f t="shared" si="27"/>
        <v>0</v>
      </c>
      <c r="AG61" s="734">
        <f t="shared" si="27"/>
        <v>0</v>
      </c>
      <c r="AH61" s="734">
        <f t="shared" si="27"/>
        <v>0</v>
      </c>
      <c r="AI61" s="734">
        <f t="shared" si="27"/>
        <v>0</v>
      </c>
      <c r="AJ61" s="734">
        <f t="shared" si="27"/>
        <v>0</v>
      </c>
      <c r="AK61" s="734">
        <f t="shared" si="27"/>
        <v>0</v>
      </c>
      <c r="AL61" s="734">
        <f t="shared" si="27"/>
        <v>0</v>
      </c>
      <c r="AM61" s="734">
        <f t="shared" si="28"/>
        <v>0</v>
      </c>
      <c r="AN61" s="734">
        <f t="shared" si="28"/>
        <v>0</v>
      </c>
      <c r="AO61" s="734">
        <f t="shared" si="28"/>
        <v>0</v>
      </c>
      <c r="AP61" s="734">
        <f t="shared" si="28"/>
        <v>0</v>
      </c>
      <c r="AQ61" s="734">
        <f t="shared" si="28"/>
        <v>0</v>
      </c>
      <c r="AR61" s="734">
        <f t="shared" si="28"/>
        <v>0</v>
      </c>
      <c r="AS61" s="734">
        <f t="shared" si="28"/>
        <v>0</v>
      </c>
      <c r="AT61" s="734">
        <f t="shared" si="28"/>
        <v>0</v>
      </c>
      <c r="AU61" s="734">
        <f t="shared" si="28"/>
        <v>0</v>
      </c>
      <c r="AV61" s="734">
        <f t="shared" si="28"/>
        <v>0</v>
      </c>
      <c r="AW61" s="734">
        <f t="shared" si="21"/>
        <v>0</v>
      </c>
      <c r="AX61" s="734">
        <f t="shared" si="21"/>
        <v>0</v>
      </c>
      <c r="AY61" s="734">
        <f t="shared" si="21"/>
        <v>0</v>
      </c>
      <c r="AZ61" s="734">
        <f t="shared" si="21"/>
        <v>0</v>
      </c>
      <c r="BA61" s="734">
        <f t="shared" si="21"/>
        <v>0</v>
      </c>
      <c r="BB61" s="734">
        <f t="shared" si="21"/>
        <v>0</v>
      </c>
      <c r="BC61" s="734">
        <f t="shared" si="21"/>
        <v>0</v>
      </c>
      <c r="BD61" s="734">
        <f t="shared" si="21"/>
        <v>0</v>
      </c>
      <c r="BE61" s="734">
        <f t="shared" si="21"/>
        <v>0</v>
      </c>
      <c r="BF61" s="734">
        <f t="shared" si="21"/>
        <v>0</v>
      </c>
      <c r="BG61" s="734">
        <f t="shared" si="29"/>
        <v>0</v>
      </c>
      <c r="BH61" s="734">
        <f t="shared" si="29"/>
        <v>0</v>
      </c>
      <c r="BI61" s="734">
        <f t="shared" si="29"/>
        <v>0</v>
      </c>
      <c r="BJ61" s="734">
        <f t="shared" si="29"/>
        <v>0</v>
      </c>
      <c r="BK61" s="734">
        <f t="shared" si="29"/>
        <v>0</v>
      </c>
      <c r="BL61" s="734">
        <f t="shared" si="29"/>
        <v>0</v>
      </c>
      <c r="BM61" s="734">
        <f t="shared" si="29"/>
        <v>0</v>
      </c>
      <c r="BN61" s="734">
        <f t="shared" si="29"/>
        <v>0</v>
      </c>
      <c r="BO61" s="734">
        <f t="shared" si="29"/>
        <v>0</v>
      </c>
      <c r="BP61" s="734">
        <f t="shared" si="29"/>
        <v>0</v>
      </c>
    </row>
    <row r="62" spans="1:68" ht="15.75" thickBot="1">
      <c r="A62" s="429" t="s">
        <v>573</v>
      </c>
      <c r="B62" s="430"/>
      <c r="C62" s="427" t="str">
        <f>IF($B62&lt;&gt;"",VLOOKUP($B62,COSTS_Lava_Hound[#All],2),"")</f>
        <v/>
      </c>
      <c r="D62" s="988" t="str">
        <f>IF($B62&lt;&gt;"",VLOOKUP($B62,COSTS_Lava_Hound[#All],3)/24,"")</f>
        <v/>
      </c>
      <c r="E62" s="993"/>
      <c r="F62" s="994"/>
      <c r="G62" s="983" t="str">
        <f t="shared" si="30"/>
        <v/>
      </c>
      <c r="H62" s="980"/>
      <c r="I62" s="736">
        <f t="shared" si="20"/>
        <v>0</v>
      </c>
      <c r="J62" s="736">
        <f t="shared" si="20"/>
        <v>0</v>
      </c>
      <c r="K62" s="736">
        <f t="shared" si="20"/>
        <v>0</v>
      </c>
      <c r="L62" s="736">
        <f t="shared" si="20"/>
        <v>0</v>
      </c>
      <c r="M62" s="736">
        <f t="shared" si="20"/>
        <v>0</v>
      </c>
      <c r="N62" s="736">
        <f t="shared" si="20"/>
        <v>0</v>
      </c>
      <c r="O62" s="736">
        <f t="shared" si="20"/>
        <v>0</v>
      </c>
      <c r="P62" s="736">
        <f t="shared" si="20"/>
        <v>0</v>
      </c>
      <c r="Q62" s="736">
        <f t="shared" si="20"/>
        <v>0</v>
      </c>
      <c r="R62" s="734">
        <f t="shared" si="20"/>
        <v>0</v>
      </c>
      <c r="S62" s="734">
        <f t="shared" si="18"/>
        <v>0</v>
      </c>
      <c r="T62" s="734">
        <f t="shared" si="18"/>
        <v>0</v>
      </c>
      <c r="U62" s="734">
        <f t="shared" si="18"/>
        <v>0</v>
      </c>
      <c r="V62" s="734">
        <f t="shared" si="18"/>
        <v>0</v>
      </c>
      <c r="W62" s="734">
        <f t="shared" si="18"/>
        <v>0</v>
      </c>
      <c r="X62" s="734">
        <f t="shared" si="18"/>
        <v>0</v>
      </c>
      <c r="Y62" s="734">
        <f t="shared" si="18"/>
        <v>0</v>
      </c>
      <c r="Z62" s="734">
        <f t="shared" si="18"/>
        <v>0</v>
      </c>
      <c r="AA62" s="734">
        <f t="shared" si="18"/>
        <v>0</v>
      </c>
      <c r="AB62" s="734">
        <f t="shared" si="18"/>
        <v>0</v>
      </c>
      <c r="AC62" s="734">
        <f t="shared" si="27"/>
        <v>0</v>
      </c>
      <c r="AD62" s="734">
        <f t="shared" si="27"/>
        <v>0</v>
      </c>
      <c r="AE62" s="734">
        <f t="shared" si="27"/>
        <v>0</v>
      </c>
      <c r="AF62" s="734">
        <f t="shared" si="27"/>
        <v>0</v>
      </c>
      <c r="AG62" s="734">
        <f t="shared" si="27"/>
        <v>0</v>
      </c>
      <c r="AH62" s="734">
        <f t="shared" si="27"/>
        <v>0</v>
      </c>
      <c r="AI62" s="734">
        <f t="shared" si="27"/>
        <v>0</v>
      </c>
      <c r="AJ62" s="734">
        <f t="shared" si="27"/>
        <v>0</v>
      </c>
      <c r="AK62" s="734">
        <f t="shared" si="27"/>
        <v>0</v>
      </c>
      <c r="AL62" s="734">
        <f t="shared" si="27"/>
        <v>0</v>
      </c>
      <c r="AM62" s="734">
        <f t="shared" si="28"/>
        <v>0</v>
      </c>
      <c r="AN62" s="734">
        <f t="shared" si="28"/>
        <v>0</v>
      </c>
      <c r="AO62" s="734">
        <f t="shared" si="28"/>
        <v>0</v>
      </c>
      <c r="AP62" s="734">
        <f t="shared" si="28"/>
        <v>0</v>
      </c>
      <c r="AQ62" s="734">
        <f t="shared" si="28"/>
        <v>0</v>
      </c>
      <c r="AR62" s="734">
        <f t="shared" si="28"/>
        <v>0</v>
      </c>
      <c r="AS62" s="734">
        <f t="shared" si="28"/>
        <v>0</v>
      </c>
      <c r="AT62" s="734">
        <f t="shared" si="28"/>
        <v>0</v>
      </c>
      <c r="AU62" s="734">
        <f t="shared" si="28"/>
        <v>0</v>
      </c>
      <c r="AV62" s="734">
        <f t="shared" si="28"/>
        <v>0</v>
      </c>
      <c r="AW62" s="734">
        <f t="shared" si="21"/>
        <v>0</v>
      </c>
      <c r="AX62" s="734">
        <f t="shared" si="21"/>
        <v>0</v>
      </c>
      <c r="AY62" s="734">
        <f t="shared" si="21"/>
        <v>0</v>
      </c>
      <c r="AZ62" s="734">
        <f t="shared" si="21"/>
        <v>0</v>
      </c>
      <c r="BA62" s="734">
        <f t="shared" si="21"/>
        <v>0</v>
      </c>
      <c r="BB62" s="734">
        <f t="shared" si="21"/>
        <v>0</v>
      </c>
      <c r="BC62" s="734">
        <f t="shared" si="21"/>
        <v>0</v>
      </c>
      <c r="BD62" s="734">
        <f t="shared" si="21"/>
        <v>0</v>
      </c>
      <c r="BE62" s="734">
        <f t="shared" si="21"/>
        <v>0</v>
      </c>
      <c r="BF62" s="734">
        <f t="shared" si="21"/>
        <v>0</v>
      </c>
      <c r="BG62" s="734">
        <f t="shared" si="29"/>
        <v>0</v>
      </c>
      <c r="BH62" s="734">
        <f t="shared" si="29"/>
        <v>0</v>
      </c>
      <c r="BI62" s="734">
        <f t="shared" si="29"/>
        <v>0</v>
      </c>
      <c r="BJ62" s="734">
        <f t="shared" si="29"/>
        <v>0</v>
      </c>
      <c r="BK62" s="734">
        <f t="shared" si="29"/>
        <v>0</v>
      </c>
      <c r="BL62" s="734">
        <f t="shared" si="29"/>
        <v>0</v>
      </c>
      <c r="BM62" s="734">
        <f t="shared" si="29"/>
        <v>0</v>
      </c>
      <c r="BN62" s="734">
        <f t="shared" si="29"/>
        <v>0</v>
      </c>
      <c r="BO62" s="734">
        <f t="shared" si="29"/>
        <v>0</v>
      </c>
      <c r="BP62" s="734">
        <f t="shared" si="29"/>
        <v>0</v>
      </c>
    </row>
    <row r="63" spans="1:68" ht="16.5" thickBot="1">
      <c r="A63" s="1015" t="s">
        <v>178</v>
      </c>
      <c r="B63" s="1016"/>
      <c r="C63" s="1016"/>
      <c r="D63" s="1016"/>
      <c r="E63" s="1016"/>
      <c r="F63" s="1016"/>
      <c r="G63" s="1016"/>
      <c r="H63" s="1017"/>
      <c r="I63" s="736">
        <f t="shared" si="20"/>
        <v>0</v>
      </c>
      <c r="J63" s="736">
        <f t="shared" si="20"/>
        <v>0</v>
      </c>
      <c r="K63" s="736">
        <f t="shared" si="20"/>
        <v>0</v>
      </c>
      <c r="L63" s="736">
        <f t="shared" si="20"/>
        <v>0</v>
      </c>
      <c r="M63" s="736">
        <f t="shared" si="20"/>
        <v>0</v>
      </c>
      <c r="N63" s="736">
        <f t="shared" si="20"/>
        <v>0</v>
      </c>
      <c r="O63" s="736">
        <f t="shared" si="20"/>
        <v>0</v>
      </c>
      <c r="P63" s="736">
        <f t="shared" si="20"/>
        <v>0</v>
      </c>
      <c r="Q63" s="736">
        <f t="shared" si="20"/>
        <v>0</v>
      </c>
      <c r="R63" s="734">
        <f t="shared" si="20"/>
        <v>0</v>
      </c>
      <c r="S63" s="734">
        <f t="shared" si="18"/>
        <v>0</v>
      </c>
      <c r="T63" s="734">
        <f t="shared" si="18"/>
        <v>0</v>
      </c>
      <c r="U63" s="734">
        <f t="shared" si="18"/>
        <v>0</v>
      </c>
      <c r="V63" s="734">
        <f t="shared" si="18"/>
        <v>0</v>
      </c>
      <c r="W63" s="734">
        <f t="shared" si="18"/>
        <v>0</v>
      </c>
      <c r="X63" s="734">
        <f t="shared" si="18"/>
        <v>0</v>
      </c>
      <c r="Y63" s="734">
        <f t="shared" si="18"/>
        <v>0</v>
      </c>
      <c r="Z63" s="734">
        <f t="shared" si="18"/>
        <v>0</v>
      </c>
      <c r="AA63" s="734">
        <f t="shared" si="18"/>
        <v>0</v>
      </c>
      <c r="AB63" s="734">
        <f t="shared" si="18"/>
        <v>0</v>
      </c>
      <c r="AC63" s="734">
        <f t="shared" si="27"/>
        <v>0</v>
      </c>
      <c r="AD63" s="734">
        <f t="shared" si="27"/>
        <v>0</v>
      </c>
      <c r="AE63" s="734">
        <f t="shared" si="27"/>
        <v>0</v>
      </c>
      <c r="AF63" s="734">
        <f t="shared" si="27"/>
        <v>0</v>
      </c>
      <c r="AG63" s="734">
        <f t="shared" si="27"/>
        <v>0</v>
      </c>
      <c r="AH63" s="734">
        <f t="shared" si="27"/>
        <v>0</v>
      </c>
      <c r="AI63" s="734">
        <f t="shared" si="27"/>
        <v>0</v>
      </c>
      <c r="AJ63" s="734">
        <f t="shared" si="27"/>
        <v>0</v>
      </c>
      <c r="AK63" s="734">
        <f t="shared" si="27"/>
        <v>0</v>
      </c>
      <c r="AL63" s="734">
        <f t="shared" si="27"/>
        <v>0</v>
      </c>
      <c r="AM63" s="734">
        <f t="shared" si="28"/>
        <v>0</v>
      </c>
      <c r="AN63" s="734">
        <f t="shared" si="28"/>
        <v>0</v>
      </c>
      <c r="AO63" s="734">
        <f t="shared" si="28"/>
        <v>0</v>
      </c>
      <c r="AP63" s="734">
        <f t="shared" si="28"/>
        <v>0</v>
      </c>
      <c r="AQ63" s="734">
        <f t="shared" si="28"/>
        <v>0</v>
      </c>
      <c r="AR63" s="734">
        <f t="shared" si="28"/>
        <v>0</v>
      </c>
      <c r="AS63" s="734">
        <f t="shared" si="28"/>
        <v>0</v>
      </c>
      <c r="AT63" s="734">
        <f t="shared" si="28"/>
        <v>0</v>
      </c>
      <c r="AU63" s="734">
        <f t="shared" si="28"/>
        <v>0</v>
      </c>
      <c r="AV63" s="734">
        <f t="shared" si="28"/>
        <v>0</v>
      </c>
      <c r="AW63" s="734">
        <f t="shared" si="21"/>
        <v>0</v>
      </c>
      <c r="AX63" s="734">
        <f t="shared" si="21"/>
        <v>0</v>
      </c>
      <c r="AY63" s="734">
        <f t="shared" si="21"/>
        <v>0</v>
      </c>
      <c r="AZ63" s="734">
        <f t="shared" si="21"/>
        <v>0</v>
      </c>
      <c r="BA63" s="734">
        <f t="shared" si="21"/>
        <v>0</v>
      </c>
      <c r="BB63" s="734">
        <f t="shared" si="21"/>
        <v>0</v>
      </c>
      <c r="BC63" s="734">
        <f t="shared" si="21"/>
        <v>0</v>
      </c>
      <c r="BD63" s="734">
        <f t="shared" si="21"/>
        <v>0</v>
      </c>
      <c r="BE63" s="734">
        <f t="shared" si="21"/>
        <v>0</v>
      </c>
      <c r="BF63" s="734">
        <f t="shared" si="21"/>
        <v>0</v>
      </c>
      <c r="BG63" s="734">
        <f t="shared" si="29"/>
        <v>0</v>
      </c>
      <c r="BH63" s="734">
        <f t="shared" si="29"/>
        <v>0</v>
      </c>
      <c r="BI63" s="734">
        <f t="shared" si="29"/>
        <v>0</v>
      </c>
      <c r="BJ63" s="734">
        <f t="shared" si="29"/>
        <v>0</v>
      </c>
      <c r="BK63" s="734">
        <f t="shared" si="29"/>
        <v>0</v>
      </c>
      <c r="BL63" s="734">
        <f t="shared" si="29"/>
        <v>0</v>
      </c>
      <c r="BM63" s="734">
        <f t="shared" si="29"/>
        <v>0</v>
      </c>
      <c r="BN63" s="734">
        <f t="shared" si="29"/>
        <v>0</v>
      </c>
      <c r="BO63" s="734">
        <f t="shared" si="29"/>
        <v>0</v>
      </c>
      <c r="BP63" s="734">
        <f t="shared" si="29"/>
        <v>0</v>
      </c>
    </row>
    <row r="64" spans="1:68">
      <c r="A64" s="984" t="s">
        <v>196</v>
      </c>
      <c r="B64" s="985"/>
      <c r="C64" s="635" t="str">
        <f>IF($B64&lt;&gt;"",VLOOKUP($B64,COSTS_Barbarian_King[#All],2),"")</f>
        <v/>
      </c>
      <c r="D64" s="986" t="str">
        <f>IF($B64&lt;&gt;"",VLOOKUP($B64,COSTS_Barbarian_King[#All],3)/24,"")</f>
        <v/>
      </c>
      <c r="E64" s="989"/>
      <c r="F64" s="990"/>
      <c r="G64" s="981" t="str">
        <f t="shared" si="19"/>
        <v/>
      </c>
      <c r="H64" s="978"/>
      <c r="I64" s="736">
        <f t="shared" si="20"/>
        <v>0</v>
      </c>
      <c r="J64" s="736">
        <f t="shared" si="20"/>
        <v>0</v>
      </c>
      <c r="K64" s="736">
        <f t="shared" si="20"/>
        <v>0</v>
      </c>
      <c r="L64" s="736">
        <f t="shared" si="20"/>
        <v>0</v>
      </c>
      <c r="M64" s="736">
        <f t="shared" si="20"/>
        <v>0</v>
      </c>
      <c r="N64" s="736">
        <f t="shared" si="20"/>
        <v>0</v>
      </c>
      <c r="O64" s="736">
        <f t="shared" si="20"/>
        <v>0</v>
      </c>
      <c r="P64" s="736">
        <f t="shared" si="20"/>
        <v>0</v>
      </c>
      <c r="Q64" s="736">
        <f t="shared" si="20"/>
        <v>0</v>
      </c>
      <c r="R64" s="734">
        <f t="shared" si="20"/>
        <v>0</v>
      </c>
      <c r="S64" s="734">
        <f t="shared" si="18"/>
        <v>0</v>
      </c>
      <c r="T64" s="734">
        <f t="shared" si="18"/>
        <v>0</v>
      </c>
      <c r="U64" s="734">
        <f t="shared" si="18"/>
        <v>0</v>
      </c>
      <c r="V64" s="734">
        <f t="shared" si="18"/>
        <v>0</v>
      </c>
      <c r="W64" s="734">
        <f t="shared" si="18"/>
        <v>0</v>
      </c>
      <c r="X64" s="734">
        <f t="shared" si="18"/>
        <v>0</v>
      </c>
      <c r="Y64" s="734">
        <f t="shared" si="18"/>
        <v>0</v>
      </c>
      <c r="Z64" s="734">
        <f t="shared" si="18"/>
        <v>0</v>
      </c>
      <c r="AA64" s="734">
        <f t="shared" si="18"/>
        <v>0</v>
      </c>
      <c r="AB64" s="734">
        <f t="shared" si="18"/>
        <v>0</v>
      </c>
      <c r="AC64" s="734">
        <f t="shared" si="27"/>
        <v>0</v>
      </c>
      <c r="AD64" s="734">
        <f t="shared" si="27"/>
        <v>0</v>
      </c>
      <c r="AE64" s="734">
        <f t="shared" si="27"/>
        <v>0</v>
      </c>
      <c r="AF64" s="734">
        <f t="shared" si="27"/>
        <v>0</v>
      </c>
      <c r="AG64" s="734">
        <f t="shared" si="27"/>
        <v>0</v>
      </c>
      <c r="AH64" s="734">
        <f t="shared" si="27"/>
        <v>0</v>
      </c>
      <c r="AI64" s="734">
        <f t="shared" si="27"/>
        <v>0</v>
      </c>
      <c r="AJ64" s="734">
        <f t="shared" si="27"/>
        <v>0</v>
      </c>
      <c r="AK64" s="734">
        <f t="shared" si="27"/>
        <v>0</v>
      </c>
      <c r="AL64" s="734">
        <f t="shared" si="27"/>
        <v>0</v>
      </c>
      <c r="AM64" s="734">
        <f t="shared" si="28"/>
        <v>0</v>
      </c>
      <c r="AN64" s="734">
        <f t="shared" si="28"/>
        <v>0</v>
      </c>
      <c r="AO64" s="734">
        <f t="shared" si="28"/>
        <v>0</v>
      </c>
      <c r="AP64" s="734">
        <f t="shared" si="28"/>
        <v>0</v>
      </c>
      <c r="AQ64" s="734">
        <f t="shared" si="28"/>
        <v>0</v>
      </c>
      <c r="AR64" s="734">
        <f t="shared" si="28"/>
        <v>0</v>
      </c>
      <c r="AS64" s="734">
        <f t="shared" si="28"/>
        <v>0</v>
      </c>
      <c r="AT64" s="734">
        <f t="shared" si="28"/>
        <v>0</v>
      </c>
      <c r="AU64" s="734">
        <f t="shared" si="28"/>
        <v>0</v>
      </c>
      <c r="AV64" s="734">
        <f t="shared" si="28"/>
        <v>0</v>
      </c>
      <c r="AW64" s="734">
        <f t="shared" si="21"/>
        <v>0</v>
      </c>
      <c r="AX64" s="734">
        <f t="shared" si="21"/>
        <v>0</v>
      </c>
      <c r="AY64" s="734">
        <f t="shared" si="21"/>
        <v>0</v>
      </c>
      <c r="AZ64" s="734">
        <f t="shared" si="21"/>
        <v>0</v>
      </c>
      <c r="BA64" s="734">
        <f t="shared" si="21"/>
        <v>0</v>
      </c>
      <c r="BB64" s="734">
        <f t="shared" si="21"/>
        <v>0</v>
      </c>
      <c r="BC64" s="734">
        <f t="shared" si="21"/>
        <v>0</v>
      </c>
      <c r="BD64" s="734">
        <f t="shared" si="21"/>
        <v>0</v>
      </c>
      <c r="BE64" s="734">
        <f t="shared" si="21"/>
        <v>0</v>
      </c>
      <c r="BF64" s="734">
        <f t="shared" si="21"/>
        <v>0</v>
      </c>
      <c r="BG64" s="734">
        <f t="shared" si="29"/>
        <v>0</v>
      </c>
      <c r="BH64" s="734">
        <f t="shared" si="29"/>
        <v>0</v>
      </c>
      <c r="BI64" s="734">
        <f t="shared" si="29"/>
        <v>0</v>
      </c>
      <c r="BJ64" s="734">
        <f t="shared" si="29"/>
        <v>0</v>
      </c>
      <c r="BK64" s="734">
        <f t="shared" si="29"/>
        <v>0</v>
      </c>
      <c r="BL64" s="734">
        <f t="shared" si="29"/>
        <v>0</v>
      </c>
      <c r="BM64" s="734">
        <f t="shared" si="29"/>
        <v>0</v>
      </c>
      <c r="BN64" s="734">
        <f t="shared" si="29"/>
        <v>0</v>
      </c>
      <c r="BO64" s="734">
        <f t="shared" si="29"/>
        <v>0</v>
      </c>
      <c r="BP64" s="734">
        <f t="shared" si="29"/>
        <v>0</v>
      </c>
    </row>
    <row r="65" spans="1:68">
      <c r="A65" s="421" t="s">
        <v>182</v>
      </c>
      <c r="B65" s="418"/>
      <c r="C65" s="426" t="str">
        <f>IF($B65&lt;&gt;"",VLOOKUP($B65,COSTS_Archer_Queen[#All],2),"")</f>
        <v/>
      </c>
      <c r="D65" s="987" t="str">
        <f>IF($B65&lt;&gt;"",VLOOKUP($B65,COSTS_Archer_Queen[#All],3)/24,"")</f>
        <v/>
      </c>
      <c r="E65" s="991"/>
      <c r="F65" s="992"/>
      <c r="G65" s="982" t="str">
        <f t="shared" si="19"/>
        <v/>
      </c>
      <c r="H65" s="979"/>
      <c r="I65" s="736">
        <f t="shared" si="20"/>
        <v>0</v>
      </c>
      <c r="J65" s="736">
        <f t="shared" si="20"/>
        <v>0</v>
      </c>
      <c r="K65" s="736">
        <f t="shared" si="20"/>
        <v>0</v>
      </c>
      <c r="L65" s="736">
        <f t="shared" si="20"/>
        <v>0</v>
      </c>
      <c r="M65" s="736">
        <f t="shared" si="20"/>
        <v>0</v>
      </c>
      <c r="N65" s="736">
        <f t="shared" si="20"/>
        <v>0</v>
      </c>
      <c r="O65" s="736">
        <f t="shared" si="20"/>
        <v>0</v>
      </c>
      <c r="P65" s="736">
        <f t="shared" si="20"/>
        <v>0</v>
      </c>
      <c r="Q65" s="736">
        <f t="shared" si="20"/>
        <v>0</v>
      </c>
      <c r="R65" s="734">
        <f t="shared" si="20"/>
        <v>0</v>
      </c>
      <c r="S65" s="734">
        <f t="shared" si="18"/>
        <v>0</v>
      </c>
      <c r="T65" s="734">
        <f t="shared" si="18"/>
        <v>0</v>
      </c>
      <c r="U65" s="734">
        <f t="shared" ref="S65:AB73" si="31">IF(ISERROR(Plan),0,Plan)</f>
        <v>0</v>
      </c>
      <c r="V65" s="734">
        <f t="shared" si="31"/>
        <v>0</v>
      </c>
      <c r="W65" s="734">
        <f t="shared" si="31"/>
        <v>0</v>
      </c>
      <c r="X65" s="734">
        <f t="shared" si="31"/>
        <v>0</v>
      </c>
      <c r="Y65" s="734">
        <f t="shared" si="31"/>
        <v>0</v>
      </c>
      <c r="Z65" s="734">
        <f t="shared" si="31"/>
        <v>0</v>
      </c>
      <c r="AA65" s="734">
        <f t="shared" si="31"/>
        <v>0</v>
      </c>
      <c r="AB65" s="734">
        <f t="shared" si="31"/>
        <v>0</v>
      </c>
      <c r="AC65" s="734">
        <f t="shared" si="27"/>
        <v>0</v>
      </c>
      <c r="AD65" s="734">
        <f t="shared" si="27"/>
        <v>0</v>
      </c>
      <c r="AE65" s="734">
        <f t="shared" si="27"/>
        <v>0</v>
      </c>
      <c r="AF65" s="734">
        <f t="shared" si="27"/>
        <v>0</v>
      </c>
      <c r="AG65" s="734">
        <f t="shared" si="27"/>
        <v>0</v>
      </c>
      <c r="AH65" s="734">
        <f t="shared" si="27"/>
        <v>0</v>
      </c>
      <c r="AI65" s="734">
        <f t="shared" si="27"/>
        <v>0</v>
      </c>
      <c r="AJ65" s="734">
        <f t="shared" si="27"/>
        <v>0</v>
      </c>
      <c r="AK65" s="734">
        <f t="shared" si="27"/>
        <v>0</v>
      </c>
      <c r="AL65" s="734">
        <f t="shared" si="27"/>
        <v>0</v>
      </c>
      <c r="AM65" s="734">
        <f t="shared" si="28"/>
        <v>0</v>
      </c>
      <c r="AN65" s="734">
        <f t="shared" si="28"/>
        <v>0</v>
      </c>
      <c r="AO65" s="734">
        <f t="shared" si="28"/>
        <v>0</v>
      </c>
      <c r="AP65" s="734">
        <f t="shared" si="28"/>
        <v>0</v>
      </c>
      <c r="AQ65" s="734">
        <f t="shared" si="28"/>
        <v>0</v>
      </c>
      <c r="AR65" s="734">
        <f t="shared" si="28"/>
        <v>0</v>
      </c>
      <c r="AS65" s="734">
        <f t="shared" si="28"/>
        <v>0</v>
      </c>
      <c r="AT65" s="734">
        <f t="shared" si="28"/>
        <v>0</v>
      </c>
      <c r="AU65" s="734">
        <f t="shared" si="28"/>
        <v>0</v>
      </c>
      <c r="AV65" s="734">
        <f t="shared" si="28"/>
        <v>0</v>
      </c>
      <c r="AW65" s="734">
        <f t="shared" si="21"/>
        <v>0</v>
      </c>
      <c r="AX65" s="734">
        <f t="shared" si="21"/>
        <v>0</v>
      </c>
      <c r="AY65" s="734">
        <f t="shared" si="21"/>
        <v>0</v>
      </c>
      <c r="AZ65" s="734">
        <f t="shared" si="21"/>
        <v>0</v>
      </c>
      <c r="BA65" s="734">
        <f t="shared" si="21"/>
        <v>0</v>
      </c>
      <c r="BB65" s="734">
        <f t="shared" si="21"/>
        <v>0</v>
      </c>
      <c r="BC65" s="734">
        <f t="shared" si="21"/>
        <v>0</v>
      </c>
      <c r="BD65" s="734">
        <f t="shared" si="21"/>
        <v>0</v>
      </c>
      <c r="BE65" s="734">
        <f t="shared" si="21"/>
        <v>0</v>
      </c>
      <c r="BF65" s="734">
        <f t="shared" si="21"/>
        <v>0</v>
      </c>
      <c r="BG65" s="734">
        <f t="shared" si="29"/>
        <v>0</v>
      </c>
      <c r="BH65" s="734">
        <f t="shared" si="29"/>
        <v>0</v>
      </c>
      <c r="BI65" s="734">
        <f t="shared" si="29"/>
        <v>0</v>
      </c>
      <c r="BJ65" s="734">
        <f t="shared" si="29"/>
        <v>0</v>
      </c>
      <c r="BK65" s="734">
        <f t="shared" si="29"/>
        <v>0</v>
      </c>
      <c r="BL65" s="734">
        <f t="shared" si="29"/>
        <v>0</v>
      </c>
      <c r="BM65" s="734">
        <f t="shared" si="29"/>
        <v>0</v>
      </c>
      <c r="BN65" s="734">
        <f t="shared" si="29"/>
        <v>0</v>
      </c>
      <c r="BO65" s="734">
        <f t="shared" si="29"/>
        <v>0</v>
      </c>
      <c r="BP65" s="734">
        <f t="shared" si="29"/>
        <v>0</v>
      </c>
    </row>
    <row r="66" spans="1:68" ht="15.75" thickBot="1">
      <c r="A66" s="429" t="s">
        <v>739</v>
      </c>
      <c r="B66" s="430"/>
      <c r="C66" s="977" t="str">
        <f>IF($B66&lt;&gt;"",VLOOKUP($B66,COSTS_Grand_Warden[#All],2),"")</f>
        <v/>
      </c>
      <c r="D66" s="988" t="str">
        <f>IF($B66&lt;&gt;"",VLOOKUP($B66,COSTS_Grand_Warden[#All],3)/24,"")</f>
        <v/>
      </c>
      <c r="E66" s="993"/>
      <c r="F66" s="994"/>
      <c r="G66" s="983" t="str">
        <f>IF($D66&lt;&gt;"",$D66,"")</f>
        <v/>
      </c>
      <c r="H66" s="980"/>
      <c r="I66" s="736">
        <f t="shared" si="20"/>
        <v>0</v>
      </c>
      <c r="J66" s="736">
        <f t="shared" si="20"/>
        <v>0</v>
      </c>
      <c r="K66" s="736">
        <f t="shared" si="20"/>
        <v>0</v>
      </c>
      <c r="L66" s="736">
        <f t="shared" si="20"/>
        <v>0</v>
      </c>
      <c r="M66" s="736">
        <f t="shared" si="20"/>
        <v>0</v>
      </c>
      <c r="N66" s="736">
        <f t="shared" si="20"/>
        <v>0</v>
      </c>
      <c r="O66" s="736">
        <f t="shared" si="20"/>
        <v>0</v>
      </c>
      <c r="P66" s="736">
        <f t="shared" si="20"/>
        <v>0</v>
      </c>
      <c r="Q66" s="736">
        <f t="shared" si="20"/>
        <v>0</v>
      </c>
      <c r="R66" s="734">
        <f t="shared" si="20"/>
        <v>0</v>
      </c>
      <c r="S66" s="734">
        <f t="shared" si="18"/>
        <v>0</v>
      </c>
      <c r="T66" s="734">
        <f t="shared" si="18"/>
        <v>0</v>
      </c>
      <c r="U66" s="734">
        <f t="shared" si="31"/>
        <v>0</v>
      </c>
      <c r="V66" s="734">
        <f t="shared" si="31"/>
        <v>0</v>
      </c>
      <c r="W66" s="734">
        <f t="shared" si="31"/>
        <v>0</v>
      </c>
      <c r="X66" s="734">
        <f t="shared" si="31"/>
        <v>0</v>
      </c>
      <c r="Y66" s="734">
        <f t="shared" si="31"/>
        <v>0</v>
      </c>
      <c r="Z66" s="734">
        <f t="shared" si="31"/>
        <v>0</v>
      </c>
      <c r="AA66" s="734">
        <f t="shared" si="31"/>
        <v>0</v>
      </c>
      <c r="AB66" s="734">
        <f t="shared" si="31"/>
        <v>0</v>
      </c>
      <c r="AC66" s="734">
        <f t="shared" si="27"/>
        <v>0</v>
      </c>
      <c r="AD66" s="734">
        <f t="shared" si="27"/>
        <v>0</v>
      </c>
      <c r="AE66" s="734">
        <f t="shared" si="27"/>
        <v>0</v>
      </c>
      <c r="AF66" s="734">
        <f t="shared" si="27"/>
        <v>0</v>
      </c>
      <c r="AG66" s="734">
        <f t="shared" si="27"/>
        <v>0</v>
      </c>
      <c r="AH66" s="734">
        <f t="shared" si="27"/>
        <v>0</v>
      </c>
      <c r="AI66" s="734">
        <f t="shared" si="27"/>
        <v>0</v>
      </c>
      <c r="AJ66" s="734">
        <f t="shared" si="27"/>
        <v>0</v>
      </c>
      <c r="AK66" s="734">
        <f t="shared" si="27"/>
        <v>0</v>
      </c>
      <c r="AL66" s="734">
        <f t="shared" si="27"/>
        <v>0</v>
      </c>
      <c r="AM66" s="734">
        <f t="shared" si="28"/>
        <v>0</v>
      </c>
      <c r="AN66" s="734">
        <f t="shared" si="28"/>
        <v>0</v>
      </c>
      <c r="AO66" s="734">
        <f t="shared" si="28"/>
        <v>0</v>
      </c>
      <c r="AP66" s="734">
        <f t="shared" si="28"/>
        <v>0</v>
      </c>
      <c r="AQ66" s="734">
        <f t="shared" si="28"/>
        <v>0</v>
      </c>
      <c r="AR66" s="734">
        <f t="shared" si="28"/>
        <v>0</v>
      </c>
      <c r="AS66" s="734">
        <f t="shared" si="28"/>
        <v>0</v>
      </c>
      <c r="AT66" s="734">
        <f t="shared" si="28"/>
        <v>0</v>
      </c>
      <c r="AU66" s="734">
        <f t="shared" si="28"/>
        <v>0</v>
      </c>
      <c r="AV66" s="734">
        <f t="shared" si="28"/>
        <v>0</v>
      </c>
      <c r="AW66" s="734">
        <f t="shared" si="21"/>
        <v>0</v>
      </c>
      <c r="AX66" s="734">
        <f t="shared" si="21"/>
        <v>0</v>
      </c>
      <c r="AY66" s="734">
        <f t="shared" si="21"/>
        <v>0</v>
      </c>
      <c r="AZ66" s="734">
        <f t="shared" si="21"/>
        <v>0</v>
      </c>
      <c r="BA66" s="734">
        <f t="shared" si="21"/>
        <v>0</v>
      </c>
      <c r="BB66" s="734">
        <f t="shared" si="21"/>
        <v>0</v>
      </c>
      <c r="BC66" s="734">
        <f t="shared" si="21"/>
        <v>0</v>
      </c>
      <c r="BD66" s="734">
        <f t="shared" si="21"/>
        <v>0</v>
      </c>
      <c r="BE66" s="734">
        <f t="shared" si="21"/>
        <v>0</v>
      </c>
      <c r="BF66" s="734">
        <f t="shared" si="21"/>
        <v>0</v>
      </c>
      <c r="BG66" s="734">
        <f t="shared" si="29"/>
        <v>0</v>
      </c>
      <c r="BH66" s="734">
        <f t="shared" si="29"/>
        <v>0</v>
      </c>
      <c r="BI66" s="734">
        <f t="shared" si="29"/>
        <v>0</v>
      </c>
      <c r="BJ66" s="734">
        <f t="shared" si="29"/>
        <v>0</v>
      </c>
      <c r="BK66" s="734">
        <f t="shared" si="29"/>
        <v>0</v>
      </c>
      <c r="BL66" s="734">
        <f t="shared" si="29"/>
        <v>0</v>
      </c>
      <c r="BM66" s="734">
        <f t="shared" si="29"/>
        <v>0</v>
      </c>
      <c r="BN66" s="734">
        <f t="shared" si="29"/>
        <v>0</v>
      </c>
      <c r="BO66" s="734">
        <f t="shared" si="29"/>
        <v>0</v>
      </c>
      <c r="BP66" s="734">
        <f t="shared" si="29"/>
        <v>0</v>
      </c>
    </row>
    <row r="67" spans="1:68" ht="16.5" thickBot="1">
      <c r="A67" s="1015" t="s">
        <v>582</v>
      </c>
      <c r="B67" s="1016"/>
      <c r="C67" s="1016"/>
      <c r="D67" s="1016"/>
      <c r="E67" s="1016"/>
      <c r="F67" s="1016"/>
      <c r="G67" s="1016"/>
      <c r="H67" s="1017"/>
      <c r="I67" s="736">
        <f t="shared" si="20"/>
        <v>0</v>
      </c>
      <c r="J67" s="736">
        <f t="shared" si="20"/>
        <v>0</v>
      </c>
      <c r="K67" s="736">
        <f t="shared" si="20"/>
        <v>0</v>
      </c>
      <c r="L67" s="736">
        <f t="shared" si="20"/>
        <v>0</v>
      </c>
      <c r="M67" s="736">
        <f t="shared" si="20"/>
        <v>0</v>
      </c>
      <c r="N67" s="736">
        <f t="shared" ref="J67:R73" si="32">IF(ISERROR(Plan),0,Plan)</f>
        <v>0</v>
      </c>
      <c r="O67" s="736">
        <f t="shared" si="32"/>
        <v>0</v>
      </c>
      <c r="P67" s="736">
        <f t="shared" si="32"/>
        <v>0</v>
      </c>
      <c r="Q67" s="736">
        <f t="shared" si="32"/>
        <v>0</v>
      </c>
      <c r="R67" s="734">
        <f t="shared" si="32"/>
        <v>0</v>
      </c>
      <c r="S67" s="734">
        <f t="shared" si="31"/>
        <v>0</v>
      </c>
      <c r="T67" s="734">
        <f t="shared" si="31"/>
        <v>0</v>
      </c>
      <c r="U67" s="734">
        <f t="shared" si="31"/>
        <v>0</v>
      </c>
      <c r="V67" s="734">
        <f t="shared" si="31"/>
        <v>0</v>
      </c>
      <c r="W67" s="734">
        <f t="shared" si="31"/>
        <v>0</v>
      </c>
      <c r="X67" s="734">
        <f t="shared" si="31"/>
        <v>0</v>
      </c>
      <c r="Y67" s="734">
        <f t="shared" si="31"/>
        <v>0</v>
      </c>
      <c r="Z67" s="734">
        <f t="shared" si="31"/>
        <v>0</v>
      </c>
      <c r="AA67" s="734">
        <f t="shared" si="31"/>
        <v>0</v>
      </c>
      <c r="AB67" s="734">
        <f t="shared" si="31"/>
        <v>0</v>
      </c>
      <c r="AC67" s="734">
        <f t="shared" si="27"/>
        <v>0</v>
      </c>
      <c r="AD67" s="734">
        <f t="shared" si="27"/>
        <v>0</v>
      </c>
      <c r="AE67" s="734">
        <f t="shared" si="27"/>
        <v>0</v>
      </c>
      <c r="AF67" s="734">
        <f t="shared" si="27"/>
        <v>0</v>
      </c>
      <c r="AG67" s="734">
        <f t="shared" si="27"/>
        <v>0</v>
      </c>
      <c r="AH67" s="734">
        <f t="shared" si="27"/>
        <v>0</v>
      </c>
      <c r="AI67" s="734">
        <f t="shared" si="27"/>
        <v>0</v>
      </c>
      <c r="AJ67" s="734">
        <f t="shared" si="27"/>
        <v>0</v>
      </c>
      <c r="AK67" s="734">
        <f t="shared" si="27"/>
        <v>0</v>
      </c>
      <c r="AL67" s="734">
        <f t="shared" si="27"/>
        <v>0</v>
      </c>
      <c r="AM67" s="734">
        <f t="shared" si="28"/>
        <v>0</v>
      </c>
      <c r="AN67" s="734">
        <f t="shared" si="28"/>
        <v>0</v>
      </c>
      <c r="AO67" s="734">
        <f t="shared" si="28"/>
        <v>0</v>
      </c>
      <c r="AP67" s="734">
        <f t="shared" si="28"/>
        <v>0</v>
      </c>
      <c r="AQ67" s="734">
        <f t="shared" si="28"/>
        <v>0</v>
      </c>
      <c r="AR67" s="734">
        <f t="shared" si="28"/>
        <v>0</v>
      </c>
      <c r="AS67" s="734">
        <f t="shared" si="28"/>
        <v>0</v>
      </c>
      <c r="AT67" s="734">
        <f t="shared" si="28"/>
        <v>0</v>
      </c>
      <c r="AU67" s="734">
        <f t="shared" si="28"/>
        <v>0</v>
      </c>
      <c r="AV67" s="734">
        <f t="shared" si="28"/>
        <v>0</v>
      </c>
      <c r="AW67" s="734">
        <f t="shared" si="21"/>
        <v>0</v>
      </c>
      <c r="AX67" s="734">
        <f t="shared" si="21"/>
        <v>0</v>
      </c>
      <c r="AY67" s="734">
        <f t="shared" si="21"/>
        <v>0</v>
      </c>
      <c r="AZ67" s="734">
        <f t="shared" si="21"/>
        <v>0</v>
      </c>
      <c r="BA67" s="734">
        <f t="shared" si="21"/>
        <v>0</v>
      </c>
      <c r="BB67" s="734">
        <f t="shared" si="21"/>
        <v>0</v>
      </c>
      <c r="BC67" s="734">
        <f t="shared" si="21"/>
        <v>0</v>
      </c>
      <c r="BD67" s="734">
        <f t="shared" si="21"/>
        <v>0</v>
      </c>
      <c r="BE67" s="734">
        <f t="shared" si="21"/>
        <v>0</v>
      </c>
      <c r="BF67" s="734">
        <f t="shared" si="21"/>
        <v>0</v>
      </c>
      <c r="BG67" s="734">
        <f t="shared" si="29"/>
        <v>0</v>
      </c>
      <c r="BH67" s="734">
        <f t="shared" si="29"/>
        <v>0</v>
      </c>
      <c r="BI67" s="734">
        <f t="shared" si="29"/>
        <v>0</v>
      </c>
      <c r="BJ67" s="734">
        <f t="shared" si="29"/>
        <v>0</v>
      </c>
      <c r="BK67" s="734">
        <f t="shared" si="29"/>
        <v>0</v>
      </c>
      <c r="BL67" s="734">
        <f t="shared" si="29"/>
        <v>0</v>
      </c>
      <c r="BM67" s="734">
        <f t="shared" si="29"/>
        <v>0</v>
      </c>
      <c r="BN67" s="734">
        <f t="shared" si="29"/>
        <v>0</v>
      </c>
      <c r="BO67" s="734">
        <f t="shared" si="29"/>
        <v>0</v>
      </c>
      <c r="BP67" s="734">
        <f t="shared" si="29"/>
        <v>0</v>
      </c>
    </row>
    <row r="68" spans="1:68">
      <c r="A68" s="984" t="s">
        <v>561</v>
      </c>
      <c r="B68" s="985"/>
      <c r="C68" s="954" t="str">
        <f>IF($B68&lt;&gt;"",VLOOKUP($B68,COSTS_Bomb[#All],2),"")</f>
        <v/>
      </c>
      <c r="D68" s="986" t="str">
        <f>IF($B68&lt;&gt;"",VLOOKUP($B68,COSTS_Bomb[#All],3)/24,"")</f>
        <v/>
      </c>
      <c r="E68" s="989"/>
      <c r="F68" s="990"/>
      <c r="G68" s="981" t="str">
        <f t="shared" si="19"/>
        <v/>
      </c>
      <c r="H68" s="978"/>
      <c r="I68" s="736">
        <f t="shared" ref="I68:I73" si="33">IF(ISERROR(Plan),0,Plan)</f>
        <v>0</v>
      </c>
      <c r="J68" s="736">
        <f t="shared" si="32"/>
        <v>0</v>
      </c>
      <c r="K68" s="736">
        <f t="shared" si="32"/>
        <v>0</v>
      </c>
      <c r="L68" s="736">
        <f t="shared" si="32"/>
        <v>0</v>
      </c>
      <c r="M68" s="736">
        <f t="shared" si="32"/>
        <v>0</v>
      </c>
      <c r="N68" s="736">
        <f t="shared" si="32"/>
        <v>0</v>
      </c>
      <c r="O68" s="736">
        <f t="shared" si="32"/>
        <v>0</v>
      </c>
      <c r="P68" s="736">
        <f t="shared" si="32"/>
        <v>0</v>
      </c>
      <c r="Q68" s="736">
        <f t="shared" si="32"/>
        <v>0</v>
      </c>
      <c r="R68" s="734">
        <f t="shared" si="32"/>
        <v>0</v>
      </c>
      <c r="S68" s="734">
        <f t="shared" si="31"/>
        <v>0</v>
      </c>
      <c r="T68" s="734">
        <f t="shared" si="31"/>
        <v>0</v>
      </c>
      <c r="U68" s="734">
        <f t="shared" si="31"/>
        <v>0</v>
      </c>
      <c r="V68" s="734">
        <f t="shared" si="31"/>
        <v>0</v>
      </c>
      <c r="W68" s="734">
        <f t="shared" si="31"/>
        <v>0</v>
      </c>
      <c r="X68" s="734">
        <f t="shared" si="31"/>
        <v>0</v>
      </c>
      <c r="Y68" s="734">
        <f t="shared" si="31"/>
        <v>0</v>
      </c>
      <c r="Z68" s="734">
        <f t="shared" si="31"/>
        <v>0</v>
      </c>
      <c r="AA68" s="734">
        <f t="shared" si="31"/>
        <v>0</v>
      </c>
      <c r="AB68" s="734">
        <f t="shared" si="31"/>
        <v>0</v>
      </c>
      <c r="AC68" s="734">
        <f t="shared" si="27"/>
        <v>0</v>
      </c>
      <c r="AD68" s="734">
        <f t="shared" si="27"/>
        <v>0</v>
      </c>
      <c r="AE68" s="734">
        <f t="shared" si="27"/>
        <v>0</v>
      </c>
      <c r="AF68" s="734">
        <f t="shared" si="27"/>
        <v>0</v>
      </c>
      <c r="AG68" s="734">
        <f t="shared" si="27"/>
        <v>0</v>
      </c>
      <c r="AH68" s="734">
        <f t="shared" si="27"/>
        <v>0</v>
      </c>
      <c r="AI68" s="734">
        <f t="shared" si="27"/>
        <v>0</v>
      </c>
      <c r="AJ68" s="734">
        <f t="shared" si="27"/>
        <v>0</v>
      </c>
      <c r="AK68" s="734">
        <f t="shared" si="27"/>
        <v>0</v>
      </c>
      <c r="AL68" s="734">
        <f t="shared" si="27"/>
        <v>0</v>
      </c>
      <c r="AM68" s="734">
        <f t="shared" si="28"/>
        <v>0</v>
      </c>
      <c r="AN68" s="734">
        <f t="shared" si="28"/>
        <v>0</v>
      </c>
      <c r="AO68" s="734">
        <f t="shared" si="28"/>
        <v>0</v>
      </c>
      <c r="AP68" s="734">
        <f t="shared" si="28"/>
        <v>0</v>
      </c>
      <c r="AQ68" s="734">
        <f t="shared" si="28"/>
        <v>0</v>
      </c>
      <c r="AR68" s="734">
        <f t="shared" si="28"/>
        <v>0</v>
      </c>
      <c r="AS68" s="734">
        <f t="shared" si="28"/>
        <v>0</v>
      </c>
      <c r="AT68" s="734">
        <f t="shared" si="28"/>
        <v>0</v>
      </c>
      <c r="AU68" s="734">
        <f t="shared" si="28"/>
        <v>0</v>
      </c>
      <c r="AV68" s="734">
        <f t="shared" si="28"/>
        <v>0</v>
      </c>
      <c r="AW68" s="734">
        <f t="shared" si="21"/>
        <v>0</v>
      </c>
      <c r="AX68" s="734">
        <f t="shared" si="21"/>
        <v>0</v>
      </c>
      <c r="AY68" s="734">
        <f t="shared" si="21"/>
        <v>0</v>
      </c>
      <c r="AZ68" s="734">
        <f t="shared" si="21"/>
        <v>0</v>
      </c>
      <c r="BA68" s="734">
        <f t="shared" si="21"/>
        <v>0</v>
      </c>
      <c r="BB68" s="734">
        <f t="shared" si="21"/>
        <v>0</v>
      </c>
      <c r="BC68" s="734">
        <f t="shared" si="21"/>
        <v>0</v>
      </c>
      <c r="BD68" s="734">
        <f t="shared" si="21"/>
        <v>0</v>
      </c>
      <c r="BE68" s="734">
        <f t="shared" si="21"/>
        <v>0</v>
      </c>
      <c r="BF68" s="734">
        <f t="shared" si="21"/>
        <v>0</v>
      </c>
      <c r="BG68" s="734">
        <f t="shared" si="29"/>
        <v>0</v>
      </c>
      <c r="BH68" s="734">
        <f t="shared" si="29"/>
        <v>0</v>
      </c>
      <c r="BI68" s="734">
        <f t="shared" si="29"/>
        <v>0</v>
      </c>
      <c r="BJ68" s="734">
        <f t="shared" si="29"/>
        <v>0</v>
      </c>
      <c r="BK68" s="734">
        <f t="shared" si="29"/>
        <v>0</v>
      </c>
      <c r="BL68" s="734">
        <f t="shared" si="29"/>
        <v>0</v>
      </c>
      <c r="BM68" s="734">
        <f t="shared" si="29"/>
        <v>0</v>
      </c>
      <c r="BN68" s="734">
        <f t="shared" si="29"/>
        <v>0</v>
      </c>
      <c r="BO68" s="734">
        <f t="shared" si="29"/>
        <v>0</v>
      </c>
      <c r="BP68" s="734">
        <f t="shared" si="29"/>
        <v>0</v>
      </c>
    </row>
    <row r="69" spans="1:68">
      <c r="A69" s="421" t="s">
        <v>559</v>
      </c>
      <c r="B69" s="418"/>
      <c r="C69" s="955" t="str">
        <f>IF($B69&lt;&gt;"",VLOOKUP($B69,COSTS_Spring_Trap[#All],2),"")</f>
        <v/>
      </c>
      <c r="D69" s="987" t="str">
        <f>IF($B69&lt;&gt;"",VLOOKUP($B69,COSTS_Spring_Trap[#All],3)/24,"")</f>
        <v/>
      </c>
      <c r="E69" s="991"/>
      <c r="F69" s="992"/>
      <c r="G69" s="982" t="str">
        <f t="shared" ref="G69:G73" si="34">IF($D69&lt;&gt;"",$D69,"")</f>
        <v/>
      </c>
      <c r="H69" s="979"/>
      <c r="I69" s="736">
        <f t="shared" si="33"/>
        <v>0</v>
      </c>
      <c r="J69" s="736">
        <f t="shared" si="32"/>
        <v>0</v>
      </c>
      <c r="K69" s="736">
        <f t="shared" si="32"/>
        <v>0</v>
      </c>
      <c r="L69" s="736">
        <f t="shared" si="32"/>
        <v>0</v>
      </c>
      <c r="M69" s="736">
        <f t="shared" si="32"/>
        <v>0</v>
      </c>
      <c r="N69" s="736">
        <f t="shared" si="32"/>
        <v>0</v>
      </c>
      <c r="O69" s="736">
        <f t="shared" si="32"/>
        <v>0</v>
      </c>
      <c r="P69" s="736">
        <f t="shared" si="32"/>
        <v>0</v>
      </c>
      <c r="Q69" s="736">
        <f t="shared" si="32"/>
        <v>0</v>
      </c>
      <c r="R69" s="734">
        <f t="shared" si="32"/>
        <v>0</v>
      </c>
      <c r="S69" s="734">
        <f t="shared" si="31"/>
        <v>0</v>
      </c>
      <c r="T69" s="734">
        <f t="shared" si="31"/>
        <v>0</v>
      </c>
      <c r="U69" s="734">
        <f t="shared" si="31"/>
        <v>0</v>
      </c>
      <c r="V69" s="734">
        <f t="shared" si="31"/>
        <v>0</v>
      </c>
      <c r="W69" s="734">
        <f t="shared" si="31"/>
        <v>0</v>
      </c>
      <c r="X69" s="734">
        <f t="shared" si="31"/>
        <v>0</v>
      </c>
      <c r="Y69" s="734">
        <f t="shared" si="31"/>
        <v>0</v>
      </c>
      <c r="Z69" s="734">
        <f t="shared" si="31"/>
        <v>0</v>
      </c>
      <c r="AA69" s="734">
        <f t="shared" si="31"/>
        <v>0</v>
      </c>
      <c r="AB69" s="734">
        <f t="shared" si="31"/>
        <v>0</v>
      </c>
      <c r="AC69" s="734">
        <f t="shared" si="27"/>
        <v>0</v>
      </c>
      <c r="AD69" s="734">
        <f t="shared" si="27"/>
        <v>0</v>
      </c>
      <c r="AE69" s="734">
        <f t="shared" si="27"/>
        <v>0</v>
      </c>
      <c r="AF69" s="734">
        <f t="shared" si="27"/>
        <v>0</v>
      </c>
      <c r="AG69" s="734">
        <f t="shared" si="27"/>
        <v>0</v>
      </c>
      <c r="AH69" s="734">
        <f t="shared" si="27"/>
        <v>0</v>
      </c>
      <c r="AI69" s="734">
        <f t="shared" si="27"/>
        <v>0</v>
      </c>
      <c r="AJ69" s="734">
        <f t="shared" si="27"/>
        <v>0</v>
      </c>
      <c r="AK69" s="734">
        <f t="shared" si="27"/>
        <v>0</v>
      </c>
      <c r="AL69" s="734">
        <f t="shared" si="27"/>
        <v>0</v>
      </c>
      <c r="AM69" s="734">
        <f t="shared" si="28"/>
        <v>0</v>
      </c>
      <c r="AN69" s="734">
        <f t="shared" si="28"/>
        <v>0</v>
      </c>
      <c r="AO69" s="734">
        <f t="shared" si="28"/>
        <v>0</v>
      </c>
      <c r="AP69" s="734">
        <f t="shared" si="28"/>
        <v>0</v>
      </c>
      <c r="AQ69" s="734">
        <f t="shared" si="28"/>
        <v>0</v>
      </c>
      <c r="AR69" s="734">
        <f t="shared" si="28"/>
        <v>0</v>
      </c>
      <c r="AS69" s="734">
        <f t="shared" si="28"/>
        <v>0</v>
      </c>
      <c r="AT69" s="734">
        <f t="shared" si="28"/>
        <v>0</v>
      </c>
      <c r="AU69" s="734">
        <f t="shared" si="28"/>
        <v>0</v>
      </c>
      <c r="AV69" s="734">
        <f t="shared" si="28"/>
        <v>0</v>
      </c>
      <c r="AW69" s="734">
        <f t="shared" si="21"/>
        <v>0</v>
      </c>
      <c r="AX69" s="734">
        <f t="shared" si="21"/>
        <v>0</v>
      </c>
      <c r="AY69" s="734">
        <f t="shared" si="21"/>
        <v>0</v>
      </c>
      <c r="AZ69" s="734">
        <f t="shared" si="21"/>
        <v>0</v>
      </c>
      <c r="BA69" s="734">
        <f t="shared" si="21"/>
        <v>0</v>
      </c>
      <c r="BB69" s="734">
        <f t="shared" si="21"/>
        <v>0</v>
      </c>
      <c r="BC69" s="734">
        <f t="shared" si="21"/>
        <v>0</v>
      </c>
      <c r="BD69" s="734">
        <f t="shared" si="21"/>
        <v>0</v>
      </c>
      <c r="BE69" s="734">
        <f t="shared" si="21"/>
        <v>0</v>
      </c>
      <c r="BF69" s="734">
        <f t="shared" si="21"/>
        <v>0</v>
      </c>
      <c r="BG69" s="734">
        <f t="shared" si="29"/>
        <v>0</v>
      </c>
      <c r="BH69" s="734">
        <f t="shared" si="29"/>
        <v>0</v>
      </c>
      <c r="BI69" s="734">
        <f t="shared" si="29"/>
        <v>0</v>
      </c>
      <c r="BJ69" s="734">
        <f t="shared" si="29"/>
        <v>0</v>
      </c>
      <c r="BK69" s="734">
        <f t="shared" si="29"/>
        <v>0</v>
      </c>
      <c r="BL69" s="734">
        <f t="shared" si="29"/>
        <v>0</v>
      </c>
      <c r="BM69" s="734">
        <f t="shared" si="29"/>
        <v>0</v>
      </c>
      <c r="BN69" s="734">
        <f t="shared" si="29"/>
        <v>0</v>
      </c>
      <c r="BO69" s="734">
        <f t="shared" si="29"/>
        <v>0</v>
      </c>
      <c r="BP69" s="734">
        <f t="shared" si="29"/>
        <v>0</v>
      </c>
    </row>
    <row r="70" spans="1:68">
      <c r="A70" s="421" t="s">
        <v>558</v>
      </c>
      <c r="B70" s="418"/>
      <c r="C70" s="955" t="str">
        <f>IF($B70&lt;&gt;"",VLOOKUP($B70,COSTS_Giant_Bomb[#All],2),"")</f>
        <v/>
      </c>
      <c r="D70" s="987" t="str">
        <f>IF($B70&lt;&gt;"",VLOOKUP($B70,COSTS_Giant_Bomb[#All],3)/24,"")</f>
        <v/>
      </c>
      <c r="E70" s="991"/>
      <c r="F70" s="992"/>
      <c r="G70" s="982" t="str">
        <f t="shared" si="34"/>
        <v/>
      </c>
      <c r="H70" s="979"/>
      <c r="I70" s="736">
        <f t="shared" si="33"/>
        <v>0</v>
      </c>
      <c r="J70" s="736">
        <f t="shared" si="32"/>
        <v>0</v>
      </c>
      <c r="K70" s="736">
        <f t="shared" si="32"/>
        <v>0</v>
      </c>
      <c r="L70" s="736">
        <f t="shared" si="32"/>
        <v>0</v>
      </c>
      <c r="M70" s="736">
        <f t="shared" si="32"/>
        <v>0</v>
      </c>
      <c r="N70" s="736">
        <f t="shared" si="32"/>
        <v>0</v>
      </c>
      <c r="O70" s="736">
        <f t="shared" si="32"/>
        <v>0</v>
      </c>
      <c r="P70" s="736">
        <f t="shared" si="32"/>
        <v>0</v>
      </c>
      <c r="Q70" s="736">
        <f t="shared" si="32"/>
        <v>0</v>
      </c>
      <c r="R70" s="734">
        <f t="shared" si="32"/>
        <v>0</v>
      </c>
      <c r="S70" s="734">
        <f t="shared" si="31"/>
        <v>0</v>
      </c>
      <c r="T70" s="734">
        <f t="shared" si="31"/>
        <v>0</v>
      </c>
      <c r="U70" s="734">
        <f t="shared" si="31"/>
        <v>0</v>
      </c>
      <c r="V70" s="734">
        <f t="shared" si="31"/>
        <v>0</v>
      </c>
      <c r="W70" s="734">
        <f t="shared" si="31"/>
        <v>0</v>
      </c>
      <c r="X70" s="734">
        <f t="shared" si="31"/>
        <v>0</v>
      </c>
      <c r="Y70" s="734">
        <f t="shared" si="31"/>
        <v>0</v>
      </c>
      <c r="Z70" s="734">
        <f t="shared" si="31"/>
        <v>0</v>
      </c>
      <c r="AA70" s="734">
        <f t="shared" si="31"/>
        <v>0</v>
      </c>
      <c r="AB70" s="734">
        <f t="shared" si="31"/>
        <v>0</v>
      </c>
      <c r="AC70" s="734">
        <f t="shared" si="27"/>
        <v>0</v>
      </c>
      <c r="AD70" s="734">
        <f t="shared" si="27"/>
        <v>0</v>
      </c>
      <c r="AE70" s="734">
        <f t="shared" si="27"/>
        <v>0</v>
      </c>
      <c r="AF70" s="734">
        <f t="shared" si="27"/>
        <v>0</v>
      </c>
      <c r="AG70" s="734">
        <f t="shared" si="27"/>
        <v>0</v>
      </c>
      <c r="AH70" s="734">
        <f t="shared" si="27"/>
        <v>0</v>
      </c>
      <c r="AI70" s="734">
        <f t="shared" si="27"/>
        <v>0</v>
      </c>
      <c r="AJ70" s="734">
        <f t="shared" si="27"/>
        <v>0</v>
      </c>
      <c r="AK70" s="734">
        <f t="shared" si="27"/>
        <v>0</v>
      </c>
      <c r="AL70" s="734">
        <f t="shared" si="27"/>
        <v>0</v>
      </c>
      <c r="AM70" s="734">
        <f t="shared" si="28"/>
        <v>0</v>
      </c>
      <c r="AN70" s="734">
        <f t="shared" si="28"/>
        <v>0</v>
      </c>
      <c r="AO70" s="734">
        <f t="shared" si="28"/>
        <v>0</v>
      </c>
      <c r="AP70" s="734">
        <f t="shared" si="28"/>
        <v>0</v>
      </c>
      <c r="AQ70" s="734">
        <f t="shared" si="28"/>
        <v>0</v>
      </c>
      <c r="AR70" s="734">
        <f t="shared" si="28"/>
        <v>0</v>
      </c>
      <c r="AS70" s="734">
        <f t="shared" si="28"/>
        <v>0</v>
      </c>
      <c r="AT70" s="734">
        <f t="shared" si="28"/>
        <v>0</v>
      </c>
      <c r="AU70" s="734">
        <f t="shared" si="28"/>
        <v>0</v>
      </c>
      <c r="AV70" s="734">
        <f t="shared" si="28"/>
        <v>0</v>
      </c>
      <c r="AW70" s="734">
        <f t="shared" si="21"/>
        <v>0</v>
      </c>
      <c r="AX70" s="734">
        <f t="shared" si="21"/>
        <v>0</v>
      </c>
      <c r="AY70" s="734">
        <f t="shared" si="21"/>
        <v>0</v>
      </c>
      <c r="AZ70" s="734">
        <f t="shared" si="21"/>
        <v>0</v>
      </c>
      <c r="BA70" s="734">
        <f t="shared" si="21"/>
        <v>0</v>
      </c>
      <c r="BB70" s="734">
        <f t="shared" si="21"/>
        <v>0</v>
      </c>
      <c r="BC70" s="734">
        <f t="shared" si="21"/>
        <v>0</v>
      </c>
      <c r="BD70" s="734">
        <f t="shared" si="21"/>
        <v>0</v>
      </c>
      <c r="BE70" s="734">
        <f t="shared" si="21"/>
        <v>0</v>
      </c>
      <c r="BF70" s="734">
        <f t="shared" si="21"/>
        <v>0</v>
      </c>
      <c r="BG70" s="734">
        <f t="shared" si="29"/>
        <v>0</v>
      </c>
      <c r="BH70" s="734">
        <f t="shared" si="29"/>
        <v>0</v>
      </c>
      <c r="BI70" s="734">
        <f t="shared" si="29"/>
        <v>0</v>
      </c>
      <c r="BJ70" s="734">
        <f t="shared" si="29"/>
        <v>0</v>
      </c>
      <c r="BK70" s="734">
        <f t="shared" si="29"/>
        <v>0</v>
      </c>
      <c r="BL70" s="734">
        <f t="shared" si="29"/>
        <v>0</v>
      </c>
      <c r="BM70" s="734">
        <f t="shared" si="29"/>
        <v>0</v>
      </c>
      <c r="BN70" s="734">
        <f t="shared" si="29"/>
        <v>0</v>
      </c>
      <c r="BO70" s="734">
        <f t="shared" si="29"/>
        <v>0</v>
      </c>
      <c r="BP70" s="734">
        <f t="shared" si="29"/>
        <v>0</v>
      </c>
    </row>
    <row r="71" spans="1:68">
      <c r="A71" s="421" t="s">
        <v>560</v>
      </c>
      <c r="B71" s="418"/>
      <c r="C71" s="955" t="str">
        <f>IF($B71&lt;&gt;"",VLOOKUP($B71,COST_Air_Bomb[#All],2),"")</f>
        <v/>
      </c>
      <c r="D71" s="987" t="str">
        <f>IF($B71&lt;&gt;"",VLOOKUP($B71,COST_Air_Bomb[#All],3)/24,"")</f>
        <v/>
      </c>
      <c r="E71" s="991"/>
      <c r="F71" s="992"/>
      <c r="G71" s="982" t="str">
        <f t="shared" si="34"/>
        <v/>
      </c>
      <c r="H71" s="979"/>
      <c r="I71" s="736">
        <f t="shared" si="33"/>
        <v>0</v>
      </c>
      <c r="J71" s="736">
        <f t="shared" si="32"/>
        <v>0</v>
      </c>
      <c r="K71" s="736">
        <f t="shared" si="32"/>
        <v>0</v>
      </c>
      <c r="L71" s="736">
        <f t="shared" si="32"/>
        <v>0</v>
      </c>
      <c r="M71" s="736">
        <f t="shared" si="32"/>
        <v>0</v>
      </c>
      <c r="N71" s="736">
        <f t="shared" si="32"/>
        <v>0</v>
      </c>
      <c r="O71" s="736">
        <f t="shared" si="32"/>
        <v>0</v>
      </c>
      <c r="P71" s="736">
        <f t="shared" si="32"/>
        <v>0</v>
      </c>
      <c r="Q71" s="736">
        <f t="shared" si="32"/>
        <v>0</v>
      </c>
      <c r="R71" s="734">
        <f t="shared" si="32"/>
        <v>0</v>
      </c>
      <c r="S71" s="734">
        <f t="shared" si="31"/>
        <v>0</v>
      </c>
      <c r="T71" s="734">
        <f t="shared" si="31"/>
        <v>0</v>
      </c>
      <c r="U71" s="734">
        <f t="shared" si="31"/>
        <v>0</v>
      </c>
      <c r="V71" s="734">
        <f t="shared" si="31"/>
        <v>0</v>
      </c>
      <c r="W71" s="734">
        <f t="shared" si="31"/>
        <v>0</v>
      </c>
      <c r="X71" s="734">
        <f t="shared" si="31"/>
        <v>0</v>
      </c>
      <c r="Y71" s="734">
        <f t="shared" si="31"/>
        <v>0</v>
      </c>
      <c r="Z71" s="734">
        <f t="shared" si="31"/>
        <v>0</v>
      </c>
      <c r="AA71" s="734">
        <f t="shared" si="31"/>
        <v>0</v>
      </c>
      <c r="AB71" s="734">
        <f t="shared" si="31"/>
        <v>0</v>
      </c>
      <c r="AC71" s="734">
        <f t="shared" si="27"/>
        <v>0</v>
      </c>
      <c r="AD71" s="734">
        <f t="shared" si="27"/>
        <v>0</v>
      </c>
      <c r="AE71" s="734">
        <f t="shared" si="27"/>
        <v>0</v>
      </c>
      <c r="AF71" s="734">
        <f t="shared" si="27"/>
        <v>0</v>
      </c>
      <c r="AG71" s="734">
        <f t="shared" si="27"/>
        <v>0</v>
      </c>
      <c r="AH71" s="734">
        <f t="shared" si="27"/>
        <v>0</v>
      </c>
      <c r="AI71" s="734">
        <f t="shared" si="27"/>
        <v>0</v>
      </c>
      <c r="AJ71" s="734">
        <f t="shared" si="27"/>
        <v>0</v>
      </c>
      <c r="AK71" s="734">
        <f t="shared" si="27"/>
        <v>0</v>
      </c>
      <c r="AL71" s="734">
        <f t="shared" si="27"/>
        <v>0</v>
      </c>
      <c r="AM71" s="734">
        <f t="shared" si="28"/>
        <v>0</v>
      </c>
      <c r="AN71" s="734">
        <f t="shared" si="28"/>
        <v>0</v>
      </c>
      <c r="AO71" s="734">
        <f t="shared" si="28"/>
        <v>0</v>
      </c>
      <c r="AP71" s="734">
        <f t="shared" si="28"/>
        <v>0</v>
      </c>
      <c r="AQ71" s="734">
        <f t="shared" si="28"/>
        <v>0</v>
      </c>
      <c r="AR71" s="734">
        <f t="shared" si="28"/>
        <v>0</v>
      </c>
      <c r="AS71" s="734">
        <f t="shared" si="28"/>
        <v>0</v>
      </c>
      <c r="AT71" s="734">
        <f t="shared" ref="AM71:AV73" si="35">IF(ISERROR(Plan),0,Plan)</f>
        <v>0</v>
      </c>
      <c r="AU71" s="734">
        <f t="shared" si="35"/>
        <v>0</v>
      </c>
      <c r="AV71" s="734">
        <f t="shared" si="35"/>
        <v>0</v>
      </c>
      <c r="AW71" s="734">
        <f t="shared" si="21"/>
        <v>0</v>
      </c>
      <c r="AX71" s="734">
        <f t="shared" si="21"/>
        <v>0</v>
      </c>
      <c r="AY71" s="734">
        <f t="shared" ref="AW71:BF73" si="36">IF(ISERROR(Plan),0,Plan)</f>
        <v>0</v>
      </c>
      <c r="AZ71" s="734">
        <f t="shared" si="36"/>
        <v>0</v>
      </c>
      <c r="BA71" s="734">
        <f t="shared" si="36"/>
        <v>0</v>
      </c>
      <c r="BB71" s="734">
        <f t="shared" si="36"/>
        <v>0</v>
      </c>
      <c r="BC71" s="734">
        <f t="shared" si="36"/>
        <v>0</v>
      </c>
      <c r="BD71" s="734">
        <f t="shared" si="36"/>
        <v>0</v>
      </c>
      <c r="BE71" s="734">
        <f t="shared" si="36"/>
        <v>0</v>
      </c>
      <c r="BF71" s="734">
        <f t="shared" si="36"/>
        <v>0</v>
      </c>
      <c r="BG71" s="734">
        <f t="shared" si="29"/>
        <v>0</v>
      </c>
      <c r="BH71" s="734">
        <f t="shared" si="29"/>
        <v>0</v>
      </c>
      <c r="BI71" s="734">
        <f t="shared" si="29"/>
        <v>0</v>
      </c>
      <c r="BJ71" s="734">
        <f t="shared" si="29"/>
        <v>0</v>
      </c>
      <c r="BK71" s="734">
        <f t="shared" si="29"/>
        <v>0</v>
      </c>
      <c r="BL71" s="734">
        <f t="shared" si="29"/>
        <v>0</v>
      </c>
      <c r="BM71" s="734">
        <f t="shared" si="29"/>
        <v>0</v>
      </c>
      <c r="BN71" s="734">
        <f t="shared" si="29"/>
        <v>0</v>
      </c>
      <c r="BO71" s="734">
        <f t="shared" si="29"/>
        <v>0</v>
      </c>
      <c r="BP71" s="734">
        <f t="shared" si="29"/>
        <v>0</v>
      </c>
    </row>
    <row r="72" spans="1:68">
      <c r="A72" s="421" t="s">
        <v>562</v>
      </c>
      <c r="B72" s="418"/>
      <c r="C72" s="955" t="str">
        <f>IF($B72&lt;&gt;"",VLOOKUP($B72,COST_Seeking_Air_Mine[#All],2),"")</f>
        <v/>
      </c>
      <c r="D72" s="987" t="str">
        <f>IF($B72&lt;&gt;"",VLOOKUP($B72,COST_Seeking_Air_Mine[#All],3)/24,"")</f>
        <v/>
      </c>
      <c r="E72" s="991"/>
      <c r="F72" s="992"/>
      <c r="G72" s="982" t="str">
        <f t="shared" si="34"/>
        <v/>
      </c>
      <c r="H72" s="979"/>
      <c r="I72" s="736">
        <f t="shared" si="33"/>
        <v>0</v>
      </c>
      <c r="J72" s="736">
        <f t="shared" si="32"/>
        <v>0</v>
      </c>
      <c r="K72" s="736">
        <f t="shared" si="32"/>
        <v>0</v>
      </c>
      <c r="L72" s="736">
        <f t="shared" si="32"/>
        <v>0</v>
      </c>
      <c r="M72" s="736">
        <f t="shared" si="32"/>
        <v>0</v>
      </c>
      <c r="N72" s="736">
        <f t="shared" si="32"/>
        <v>0</v>
      </c>
      <c r="O72" s="736">
        <f t="shared" si="32"/>
        <v>0</v>
      </c>
      <c r="P72" s="736">
        <f t="shared" si="32"/>
        <v>0</v>
      </c>
      <c r="Q72" s="736">
        <f t="shared" si="32"/>
        <v>0</v>
      </c>
      <c r="R72" s="734">
        <f t="shared" si="32"/>
        <v>0</v>
      </c>
      <c r="S72" s="734">
        <f t="shared" si="31"/>
        <v>0</v>
      </c>
      <c r="T72" s="734">
        <f t="shared" si="31"/>
        <v>0</v>
      </c>
      <c r="U72" s="734">
        <f t="shared" si="31"/>
        <v>0</v>
      </c>
      <c r="V72" s="734">
        <f t="shared" si="31"/>
        <v>0</v>
      </c>
      <c r="W72" s="734">
        <f t="shared" si="31"/>
        <v>0</v>
      </c>
      <c r="X72" s="734">
        <f t="shared" si="31"/>
        <v>0</v>
      </c>
      <c r="Y72" s="734">
        <f t="shared" si="31"/>
        <v>0</v>
      </c>
      <c r="Z72" s="734">
        <f t="shared" si="31"/>
        <v>0</v>
      </c>
      <c r="AA72" s="734">
        <f t="shared" si="31"/>
        <v>0</v>
      </c>
      <c r="AB72" s="734">
        <f t="shared" si="31"/>
        <v>0</v>
      </c>
      <c r="AC72" s="734">
        <f t="shared" si="27"/>
        <v>0</v>
      </c>
      <c r="AD72" s="734">
        <f t="shared" si="27"/>
        <v>0</v>
      </c>
      <c r="AE72" s="734">
        <f t="shared" si="27"/>
        <v>0</v>
      </c>
      <c r="AF72" s="734">
        <f t="shared" si="27"/>
        <v>0</v>
      </c>
      <c r="AG72" s="734">
        <f t="shared" si="27"/>
        <v>0</v>
      </c>
      <c r="AH72" s="734">
        <f t="shared" si="27"/>
        <v>0</v>
      </c>
      <c r="AI72" s="734">
        <f t="shared" si="27"/>
        <v>0</v>
      </c>
      <c r="AJ72" s="734">
        <f t="shared" si="27"/>
        <v>0</v>
      </c>
      <c r="AK72" s="734">
        <f t="shared" si="27"/>
        <v>0</v>
      </c>
      <c r="AL72" s="734">
        <f t="shared" si="27"/>
        <v>0</v>
      </c>
      <c r="AM72" s="734">
        <f t="shared" si="35"/>
        <v>0</v>
      </c>
      <c r="AN72" s="734">
        <f t="shared" si="35"/>
        <v>0</v>
      </c>
      <c r="AO72" s="734">
        <f t="shared" si="35"/>
        <v>0</v>
      </c>
      <c r="AP72" s="734">
        <f t="shared" si="35"/>
        <v>0</v>
      </c>
      <c r="AQ72" s="734">
        <f t="shared" si="35"/>
        <v>0</v>
      </c>
      <c r="AR72" s="734">
        <f t="shared" si="35"/>
        <v>0</v>
      </c>
      <c r="AS72" s="734">
        <f t="shared" si="35"/>
        <v>0</v>
      </c>
      <c r="AT72" s="734">
        <f t="shared" si="35"/>
        <v>0</v>
      </c>
      <c r="AU72" s="734">
        <f t="shared" si="35"/>
        <v>0</v>
      </c>
      <c r="AV72" s="734">
        <f t="shared" si="35"/>
        <v>0</v>
      </c>
      <c r="AW72" s="734">
        <f t="shared" si="36"/>
        <v>0</v>
      </c>
      <c r="AX72" s="734">
        <f t="shared" si="36"/>
        <v>0</v>
      </c>
      <c r="AY72" s="734">
        <f t="shared" si="36"/>
        <v>0</v>
      </c>
      <c r="AZ72" s="734">
        <f t="shared" si="36"/>
        <v>0</v>
      </c>
      <c r="BA72" s="734">
        <f t="shared" si="36"/>
        <v>0</v>
      </c>
      <c r="BB72" s="734">
        <f t="shared" si="36"/>
        <v>0</v>
      </c>
      <c r="BC72" s="734">
        <f t="shared" si="36"/>
        <v>0</v>
      </c>
      <c r="BD72" s="734">
        <f t="shared" si="36"/>
        <v>0</v>
      </c>
      <c r="BE72" s="734">
        <f t="shared" si="36"/>
        <v>0</v>
      </c>
      <c r="BF72" s="734">
        <f t="shared" si="36"/>
        <v>0</v>
      </c>
      <c r="BG72" s="734">
        <f t="shared" si="29"/>
        <v>0</v>
      </c>
      <c r="BH72" s="734">
        <f t="shared" si="29"/>
        <v>0</v>
      </c>
      <c r="BI72" s="734">
        <f t="shared" si="29"/>
        <v>0</v>
      </c>
      <c r="BJ72" s="734">
        <f t="shared" si="29"/>
        <v>0</v>
      </c>
      <c r="BK72" s="734">
        <f t="shared" si="29"/>
        <v>0</v>
      </c>
      <c r="BL72" s="734">
        <f t="shared" si="29"/>
        <v>0</v>
      </c>
      <c r="BM72" s="734">
        <f t="shared" si="29"/>
        <v>0</v>
      </c>
      <c r="BN72" s="734">
        <f t="shared" si="29"/>
        <v>0</v>
      </c>
      <c r="BO72" s="734">
        <f t="shared" si="29"/>
        <v>0</v>
      </c>
      <c r="BP72" s="734">
        <f t="shared" si="29"/>
        <v>0</v>
      </c>
    </row>
    <row r="73" spans="1:68" ht="15.75" thickBot="1">
      <c r="A73" s="429" t="s">
        <v>564</v>
      </c>
      <c r="B73" s="430"/>
      <c r="C73" s="958" t="str">
        <f>IF($B73&lt;&gt;"",VLOOKUP($B73,COST_Skeleton_Trap[#All],2),"")</f>
        <v/>
      </c>
      <c r="D73" s="988" t="str">
        <f>IF($B73&lt;&gt;"",VLOOKUP($B73,COST_Skeleton_Trap[#All],3)/24,"")</f>
        <v/>
      </c>
      <c r="E73" s="993"/>
      <c r="F73" s="994"/>
      <c r="G73" s="983" t="str">
        <f t="shared" si="34"/>
        <v/>
      </c>
      <c r="H73" s="980"/>
      <c r="I73" s="736">
        <f t="shared" si="33"/>
        <v>0</v>
      </c>
      <c r="J73" s="736">
        <f t="shared" si="32"/>
        <v>0</v>
      </c>
      <c r="K73" s="736">
        <f t="shared" si="32"/>
        <v>0</v>
      </c>
      <c r="L73" s="736">
        <f t="shared" si="32"/>
        <v>0</v>
      </c>
      <c r="M73" s="736">
        <f t="shared" si="32"/>
        <v>0</v>
      </c>
      <c r="N73" s="736">
        <f t="shared" si="32"/>
        <v>0</v>
      </c>
      <c r="O73" s="736">
        <f t="shared" si="32"/>
        <v>0</v>
      </c>
      <c r="P73" s="736">
        <f t="shared" si="32"/>
        <v>0</v>
      </c>
      <c r="Q73" s="736">
        <f t="shared" si="32"/>
        <v>0</v>
      </c>
      <c r="R73" s="734">
        <f t="shared" si="32"/>
        <v>0</v>
      </c>
      <c r="S73" s="734">
        <f t="shared" si="31"/>
        <v>0</v>
      </c>
      <c r="T73" s="734">
        <f t="shared" si="31"/>
        <v>0</v>
      </c>
      <c r="U73" s="734">
        <f t="shared" si="31"/>
        <v>0</v>
      </c>
      <c r="V73" s="734">
        <f t="shared" si="31"/>
        <v>0</v>
      </c>
      <c r="W73" s="734">
        <f t="shared" si="31"/>
        <v>0</v>
      </c>
      <c r="X73" s="734">
        <f t="shared" si="31"/>
        <v>0</v>
      </c>
      <c r="Y73" s="734">
        <f t="shared" si="31"/>
        <v>0</v>
      </c>
      <c r="Z73" s="734">
        <f t="shared" si="31"/>
        <v>0</v>
      </c>
      <c r="AA73" s="734">
        <f t="shared" si="31"/>
        <v>0</v>
      </c>
      <c r="AB73" s="734">
        <f t="shared" si="31"/>
        <v>0</v>
      </c>
      <c r="AC73" s="734">
        <f t="shared" si="27"/>
        <v>0</v>
      </c>
      <c r="AD73" s="734">
        <f t="shared" si="27"/>
        <v>0</v>
      </c>
      <c r="AE73" s="734">
        <f t="shared" ref="AE73:AL73" si="37">IF(ISERROR(Plan),0,Plan)</f>
        <v>0</v>
      </c>
      <c r="AF73" s="734">
        <f t="shared" si="37"/>
        <v>0</v>
      </c>
      <c r="AG73" s="734">
        <f t="shared" si="37"/>
        <v>0</v>
      </c>
      <c r="AH73" s="734">
        <f t="shared" si="37"/>
        <v>0</v>
      </c>
      <c r="AI73" s="734">
        <f t="shared" si="37"/>
        <v>0</v>
      </c>
      <c r="AJ73" s="734">
        <f t="shared" si="37"/>
        <v>0</v>
      </c>
      <c r="AK73" s="734">
        <f t="shared" si="37"/>
        <v>0</v>
      </c>
      <c r="AL73" s="734">
        <f t="shared" si="37"/>
        <v>0</v>
      </c>
      <c r="AM73" s="734">
        <f t="shared" si="35"/>
        <v>0</v>
      </c>
      <c r="AN73" s="734">
        <f t="shared" si="35"/>
        <v>0</v>
      </c>
      <c r="AO73" s="734">
        <f t="shared" si="35"/>
        <v>0</v>
      </c>
      <c r="AP73" s="734">
        <f t="shared" si="35"/>
        <v>0</v>
      </c>
      <c r="AQ73" s="734">
        <f t="shared" si="35"/>
        <v>0</v>
      </c>
      <c r="AR73" s="734">
        <f t="shared" si="35"/>
        <v>0</v>
      </c>
      <c r="AS73" s="734">
        <f t="shared" si="35"/>
        <v>0</v>
      </c>
      <c r="AT73" s="734">
        <f t="shared" si="35"/>
        <v>0</v>
      </c>
      <c r="AU73" s="734">
        <f t="shared" si="35"/>
        <v>0</v>
      </c>
      <c r="AV73" s="734">
        <f t="shared" si="35"/>
        <v>0</v>
      </c>
      <c r="AW73" s="734">
        <f t="shared" si="36"/>
        <v>0</v>
      </c>
      <c r="AX73" s="734">
        <f t="shared" si="36"/>
        <v>0</v>
      </c>
      <c r="AY73" s="734">
        <f t="shared" si="36"/>
        <v>0</v>
      </c>
      <c r="AZ73" s="734">
        <f t="shared" si="36"/>
        <v>0</v>
      </c>
      <c r="BA73" s="734">
        <f t="shared" si="36"/>
        <v>0</v>
      </c>
      <c r="BB73" s="734">
        <f t="shared" si="36"/>
        <v>0</v>
      </c>
      <c r="BC73" s="734">
        <f t="shared" si="36"/>
        <v>0</v>
      </c>
      <c r="BD73" s="734">
        <f t="shared" si="36"/>
        <v>0</v>
      </c>
      <c r="BE73" s="734">
        <f t="shared" si="36"/>
        <v>0</v>
      </c>
      <c r="BF73" s="734">
        <f t="shared" si="36"/>
        <v>0</v>
      </c>
      <c r="BG73" s="734">
        <f t="shared" si="29"/>
        <v>0</v>
      </c>
      <c r="BH73" s="734">
        <f t="shared" si="29"/>
        <v>0</v>
      </c>
      <c r="BI73" s="734">
        <f t="shared" si="29"/>
        <v>0</v>
      </c>
      <c r="BJ73" s="734">
        <f t="shared" si="29"/>
        <v>0</v>
      </c>
      <c r="BK73" s="734">
        <f t="shared" si="29"/>
        <v>0</v>
      </c>
      <c r="BL73" s="734">
        <f t="shared" si="29"/>
        <v>0</v>
      </c>
      <c r="BM73" s="734">
        <f t="shared" si="29"/>
        <v>0</v>
      </c>
      <c r="BN73" s="734">
        <f t="shared" si="29"/>
        <v>0</v>
      </c>
      <c r="BO73" s="734">
        <f t="shared" si="29"/>
        <v>0</v>
      </c>
      <c r="BP73" s="734">
        <f t="shared" si="29"/>
        <v>0</v>
      </c>
    </row>
  </sheetData>
  <sheetProtection sheet="1" objects="1" scenarios="1" selectLockedCells="1"/>
  <dataConsolidate/>
  <mergeCells count="39">
    <mergeCell ref="T3:V3"/>
    <mergeCell ref="T2:V2"/>
    <mergeCell ref="T4:V4"/>
    <mergeCell ref="X5:Z5"/>
    <mergeCell ref="P5:Q5"/>
    <mergeCell ref="S1:Z1"/>
    <mergeCell ref="A15:H15"/>
    <mergeCell ref="A37:H37"/>
    <mergeCell ref="A1:B1"/>
    <mergeCell ref="A2:B2"/>
    <mergeCell ref="I5:J5"/>
    <mergeCell ref="L5:M5"/>
    <mergeCell ref="N5:O5"/>
    <mergeCell ref="P1:Q1"/>
    <mergeCell ref="P2:Q2"/>
    <mergeCell ref="P3:Q3"/>
    <mergeCell ref="P4:Q4"/>
    <mergeCell ref="I1:J1"/>
    <mergeCell ref="X2:Z2"/>
    <mergeCell ref="X3:Z3"/>
    <mergeCell ref="T5:V5"/>
    <mergeCell ref="N1:O1"/>
    <mergeCell ref="L2:M2"/>
    <mergeCell ref="L3:M3"/>
    <mergeCell ref="L4:M4"/>
    <mergeCell ref="N2:O2"/>
    <mergeCell ref="N3:O3"/>
    <mergeCell ref="N4:O4"/>
    <mergeCell ref="A67:H67"/>
    <mergeCell ref="A63:H63"/>
    <mergeCell ref="A22:H22"/>
    <mergeCell ref="A34:H34"/>
    <mergeCell ref="L1:M1"/>
    <mergeCell ref="A8:H8"/>
    <mergeCell ref="I2:J2"/>
    <mergeCell ref="I3:J3"/>
    <mergeCell ref="I4:J4"/>
    <mergeCell ref="A46:H46"/>
    <mergeCell ref="A3:H6"/>
  </mergeCells>
  <conditionalFormatting sqref="I7:BP7">
    <cfRule type="expression" dxfId="9" priority="64">
      <formula>I$7=period_selected</formula>
    </cfRule>
  </conditionalFormatting>
  <conditionalFormatting sqref="I8:BP73">
    <cfRule type="expression" dxfId="8" priority="83">
      <formula>I$7=period_selected</formula>
    </cfRule>
    <cfRule type="expression" dxfId="7" priority="84">
      <formula>PercentComplete</formula>
    </cfRule>
    <cfRule type="expression" dxfId="6" priority="86">
      <formula>PercentCompleteBeyond</formula>
    </cfRule>
    <cfRule type="expression" dxfId="5" priority="87">
      <formula>Actual</formula>
    </cfRule>
    <cfRule type="expression" dxfId="4" priority="88">
      <formula>ActualBeyond</formula>
    </cfRule>
    <cfRule type="expression" dxfId="3" priority="91">
      <formula>Plan</formula>
    </cfRule>
    <cfRule type="expression" dxfId="2" priority="94">
      <formula>MOD(COLUMN(),2)</formula>
    </cfRule>
    <cfRule type="expression" dxfId="1" priority="95">
      <formula>MOD(COLUMN(),2)=0</formula>
    </cfRule>
  </conditionalFormatting>
  <conditionalFormatting sqref="K2:Q5">
    <cfRule type="expression" dxfId="0" priority="3">
      <formula>$K2&gt;$G$1</formula>
    </cfRule>
  </conditionalFormatting>
  <dataValidations count="3">
    <dataValidation type="list" allowBlank="1" showInputMessage="1" showErrorMessage="1" sqref="E64:F66 E68:F73 E47:F62 E23:F33 E2 E9:F14 E16:F21 E35:F36 E38:F45">
      <formula1>Calendar</formula1>
    </dataValidation>
    <dataValidation type="list" allowBlank="1" showInputMessage="1" showErrorMessage="1" sqref="D2">
      <formula1>Pas</formula1>
    </dataValidation>
    <dataValidation type="date" allowBlank="1" showInputMessage="1" showErrorMessage="1" sqref="C2">
      <formula1>1</formula1>
      <formula2>73415</formula2>
    </dataValidation>
  </dataValidations>
  <pageMargins left="0.70866141732283472" right="0.70866141732283472" top="0.74803149606299213" bottom="0.74803149606299213" header="0.31496062992125984" footer="0.31496062992125984"/>
  <pageSetup paperSize="9" orientation="landscape" r:id="rId1"/>
  <drawing r:id="rId2"/>
  <legacyDrawing r:id="rId3"/>
  <extLst xmlns:x14="http://schemas.microsoft.com/office/spreadsheetml/2009/9/main">
    <ext uri="{78C0D931-6437-407d-A8EE-F0AAD7539E65}">
      <x14:conditionalFormattings>
        <x14:conditionalFormatting xmlns:xm="http://schemas.microsoft.com/office/excel/2006/main">
          <x14:cfRule type="expression" priority="72" id="{73F5B081-7835-422B-87B2-1DEC784C2A77}">
            <xm:f>I$6&lt;Paramètres!$BJ$2</xm:f>
            <x14:dxf>
              <fill>
                <patternFill>
                  <bgColor rgb="FF00B0F0"/>
                </patternFill>
              </fill>
            </x14:dxf>
          </x14:cfRule>
          <xm:sqref>I7:BP7</xm:sqref>
        </x14:conditionalFormatting>
        <x14:conditionalFormatting xmlns:xm="http://schemas.microsoft.com/office/excel/2006/main">
          <x14:cfRule type="expression" priority="73" id="{CBFA38D1-EFCA-4F93-BCED-865B344A5638}">
            <xm:f>I$6&gt;Paramètres!$BJ$2</xm:f>
            <x14:dxf>
              <fill>
                <patternFill>
                  <bgColor rgb="FFFF0000"/>
                </patternFill>
              </fill>
            </x14:dxf>
          </x14:cfRule>
          <xm:sqref>I7:BP7</xm:sqref>
        </x14:conditionalFormatting>
      </x14:conditionalFormattings>
    </ext>
  </extLst>
</worksheet>
</file>

<file path=xl/worksheets/sheet2.xml><?xml version="1.0" encoding="utf-8"?>
<worksheet xmlns="http://schemas.openxmlformats.org/spreadsheetml/2006/main" xmlns:r="http://schemas.openxmlformats.org/officeDocument/2006/relationships">
  <sheetPr codeName="Feuil7">
    <tabColor rgb="FF0070C0"/>
    <pageSetUpPr fitToPage="1"/>
  </sheetPr>
  <dimension ref="A1:AF50"/>
  <sheetViews>
    <sheetView showGridLines="0" topLeftCell="B1" zoomScaleNormal="100" zoomScaleSheetLayoutView="90" workbookViewId="0">
      <pane ySplit="2" topLeftCell="A3" activePane="bottomLeft" state="frozen"/>
      <selection activeCell="A3" sqref="A3:H6"/>
      <selection pane="bottomLeft" activeCell="P27" sqref="P27"/>
    </sheetView>
  </sheetViews>
  <sheetFormatPr baseColWidth="10" defaultColWidth="11.42578125" defaultRowHeight="15" customHeight="1"/>
  <cols>
    <col min="1" max="1" width="15.5703125" style="131" bestFit="1" customWidth="1"/>
    <col min="2" max="3" width="5.7109375" style="131" customWidth="1"/>
    <col min="4" max="4" width="9.42578125" style="131" customWidth="1"/>
    <col min="5" max="6" width="8.85546875" style="131" customWidth="1"/>
    <col min="7" max="7" width="14" style="131" bestFit="1" customWidth="1"/>
    <col min="8" max="9" width="5.7109375" style="131" customWidth="1"/>
    <col min="10" max="10" width="9.42578125" style="131" customWidth="1"/>
    <col min="11" max="12" width="8.85546875" style="131" customWidth="1"/>
    <col min="13" max="13" width="13.5703125" style="131" bestFit="1" customWidth="1"/>
    <col min="14" max="15" width="5.7109375" style="131" customWidth="1"/>
    <col min="16" max="16" width="9.42578125" style="131" customWidth="1"/>
    <col min="17" max="18" width="8.85546875" style="131" customWidth="1"/>
    <col min="19" max="19" width="17.140625" style="131" bestFit="1" customWidth="1"/>
    <col min="20" max="21" width="5.7109375" style="131" customWidth="1"/>
    <col min="22" max="22" width="9.42578125" style="131" customWidth="1"/>
    <col min="23" max="24" width="8.85546875" style="131" customWidth="1"/>
    <col min="25" max="25" width="4.7109375" style="713" customWidth="1"/>
    <col min="26" max="27" width="10.7109375" style="713" customWidth="1"/>
    <col min="28" max="29" width="11.42578125" style="713"/>
    <col min="30" max="16384" width="11.42578125" style="131"/>
  </cols>
  <sheetData>
    <row r="1" spans="1:29" ht="15" customHeight="1" thickBot="1">
      <c r="A1" s="333" t="s">
        <v>291</v>
      </c>
      <c r="B1" s="1074" t="s">
        <v>228</v>
      </c>
      <c r="C1" s="1075"/>
      <c r="D1" s="716" t="s">
        <v>660</v>
      </c>
      <c r="E1" s="716" t="s">
        <v>663</v>
      </c>
      <c r="F1" s="716" t="s">
        <v>178</v>
      </c>
      <c r="G1" s="732"/>
      <c r="H1" s="1085" t="s">
        <v>237</v>
      </c>
      <c r="I1" s="1085"/>
      <c r="J1" s="1085"/>
      <c r="K1" s="1076" t="s">
        <v>241</v>
      </c>
      <c r="L1" s="1076"/>
      <c r="M1" s="1078" t="s">
        <v>260</v>
      </c>
      <c r="N1" s="1078"/>
      <c r="O1" s="1081" t="s">
        <v>244</v>
      </c>
      <c r="P1" s="1081"/>
      <c r="Q1" s="1094" t="str">
        <f>'Paramètres - Admin'!$D$7 &amp; IF($B$2='Paramètres - Admin'!$B$2,TEXT((E13+K13+E28+Q27+Q13)*60*60,"# 0")&amp;" " &amp; 'Paramètres - Admin'!$B$2,IF($B$2='Paramètres - Admin'!$B$3,TEXT((E13+K13+E28+Q27+Q13)*60,"# 0")&amp;" " &amp; 'Paramètres - Admin'!$B$3,IF($B$2='Paramètres - Admin'!$B$4,TEXT((E13+K13+E28+Q27+Q13),"# 0,00")&amp;" " &amp; 'Paramètres - Admin'!$B$4,IF($B$2='Paramètres - Admin'!$B$5,TEXT((E13+K13+E28+Q27+Q13)/24,"# 0,00")&amp;" " &amp; 'Paramètres - Admin'!$B$5,IF($B$2='Paramètres - Admin'!$B$6,TEXT(((E13+K13+E28+Q27+Q13)/24)/30,"# 0,00")&amp;" " &amp; 'Paramètres - Admin'!$B$6,IF((E13+K13+E28+Q27+Q13)/24&gt;=1,INT((E13+K13+E28+Q27+Q13)/24)&amp;" " &amp;  'Paramètres - Admin'!$D$4 &amp; " " &amp; HOUR((E13+K13+E28+Q27+Q13)/24-INT((E13+K13+E28+Q27+Q13)/24))&amp;" " &amp;  'Paramètres - Admin'!$D$3 &amp; " " &amp; MINUTE((E13+K13+E28+Q27+Q13)/24-INT((E13+K13+E28+Q27+Q13)/24))&amp;" " &amp;  'Paramètres - Admin'!$D$2,HOUR((E13+K13+E28+Q27+Q13)/24-INT((E13+K13+E28+Q27+Q13)/24))&amp;" " &amp;  'Paramètres - Admin'!$D$3 &amp; " " &amp; MINUTE((E13+K13+E28+Q27+Q13)/24-INT((E13+K13+E28+Q27+Q13)/24))&amp;" " &amp;  'Paramètres - Admin'!$D$2))))))</f>
        <v>Bâtiments : 1,18 jours</v>
      </c>
      <c r="R1" s="1094"/>
      <c r="S1" s="1094"/>
      <c r="T1" s="1081" t="s">
        <v>357</v>
      </c>
      <c r="U1" s="1081"/>
      <c r="V1" s="1081"/>
      <c r="W1" s="1092" t="s">
        <v>672</v>
      </c>
      <c r="X1" s="1092"/>
    </row>
    <row r="2" spans="1:29" ht="15" customHeight="1" thickTop="1" thickBot="1">
      <c r="A2" s="605">
        <f>Paramètres!$BI$2</f>
        <v>2</v>
      </c>
      <c r="B2" s="1072" t="s">
        <v>221</v>
      </c>
      <c r="C2" s="1073"/>
      <c r="D2" s="717" t="s">
        <v>652</v>
      </c>
      <c r="E2" s="718" t="s">
        <v>652</v>
      </c>
      <c r="F2" s="718" t="s">
        <v>652</v>
      </c>
      <c r="G2" s="732"/>
      <c r="H2" s="1086" t="str">
        <f>TEXT(D8+D11+D28+P27+P13,"# ##0")</f>
        <v>51 400</v>
      </c>
      <c r="I2" s="1086"/>
      <c r="J2" s="1086"/>
      <c r="K2" s="1077" t="str">
        <f>TEXT(D7+D9+D10+D12+J13+P22+J27,"# ##0")</f>
        <v>27 800</v>
      </c>
      <c r="L2" s="1077"/>
      <c r="M2" s="1091" t="str">
        <f>TEXT(V13+V27,"# ##0")</f>
        <v>0</v>
      </c>
      <c r="N2" s="1091"/>
      <c r="O2" s="1080" t="str">
        <f>IF($B$2='Paramètres - Admin'!$B$2,TEXT((Z6)*60*60,"# 0")&amp;" " &amp; 'Paramètres - Admin'!$B$2,IF($B$2='Paramètres - Admin'!$B$3,TEXT(Z6*60,"# 0")&amp;" " &amp; 'Paramètres - Admin'!$B$3,IF($B$2='Paramètres - Admin'!$B$4,TEXT(Z6,"# 0,00")&amp;" " &amp; 'Paramètres - Admin'!$B$4,IF($B$2='Paramètres - Admin'!$B$5,TEXT(Z6/24,"# 0,00")&amp;" " &amp; 'Paramètres - Admin'!$B$5,IF($B$2='Paramètres - Admin'!$B$6,TEXT((Z6/24)/30,"# 0,00")&amp;" " &amp; 'Paramètres - Admin'!$B$6,IF(Z6/24&gt;=1,INT(Z6/24)&amp;" " &amp;  'Paramètres - Admin'!$D$4 &amp; " " &amp; HOUR(Z6/24-INT(Z6/24))&amp;" " &amp;  'Paramètres - Admin'!$D$3 &amp; " " &amp; MINUTE(Z6/24-INT(Z6/24))&amp;" " &amp;  'Paramètres - Admin'!$D$2,HOUR(Z6/24-INT(Z6/24))&amp;" " &amp;  'Paramètres - Admin'!$D$3 &amp; " " &amp; MINUTE(Z6/24-INT(Z6/24))&amp;" " &amp;  'Paramètres - Admin'!$D$2))))))</f>
        <v>1,18 jours</v>
      </c>
      <c r="P2" s="1080"/>
      <c r="Q2" s="1095" t="str">
        <f>'Paramètres - Admin'!$D$6 &amp; IF($B$2='Paramètres - Admin'!$B$2,TEXT(W27*60*60,"# 0")&amp;" " &amp; 'Paramètres - Admin'!$B$2,IF($B$2='Paramètres - Admin'!$B$3,TEXT(W27*60,"# 0")&amp;" " &amp; 'Paramètres - Admin'!$B$3,IF($B$2='Paramètres - Admin'!$B$4,TEXT(W27,"# 0,00")&amp;" " &amp; 'Paramètres - Admin'!$B$4,IF($B$2='Paramètres - Admin'!$B$5,TEXT(W27/24,"# 0,00")&amp;" " &amp; 'Paramètres - Admin'!$B$5,IF($B$2='Paramètres - Admin'!$B$6,TEXT((W27/24)/30,"# 0,00")&amp;" " &amp; 'Paramètres - Admin'!$B$6,IF(W27/24&gt;=1,INT(W27/24)&amp;" " &amp;  'Paramètres - Admin'!$D$4 &amp; " " &amp; HOUR(W27/24-INT(W27/24))&amp;" " &amp;  'Paramètres - Admin'!$D$3 &amp; " " &amp; MINUTE(W27/24-INT(W27/24))&amp;" " &amp;  'Paramètres - Admin'!$D$2,HOUR(W27/24-INT(W27/24))&amp;" " &amp;  'Paramètres - Admin'!$D$3 &amp; " " &amp; MINUTE(W27/24-INT(W27/24))&amp;" " &amp;  'Paramètres - Admin'!$D$2))))))</f>
        <v>Héros : 0,00 jours</v>
      </c>
      <c r="R2" s="1095"/>
      <c r="S2" s="1095"/>
      <c r="T2" s="1080" t="str">
        <f>IF($B$2='Paramètres - Admin'!$B$2,TEXT((E13+K13+E28+Q27+Q13+W27)/Paramètres!$BJ$2*60*60,"# 0")&amp;" " &amp; 'Paramètres - Admin'!$B$2,IF($B$2='Paramètres - Admin'!$B$3,TEXT((E13+K13+E28+Q27+Q13+W27)/Paramètres!$BJ$2*60,"# 0")&amp;" " &amp; 'Paramètres - Admin'!$B$3,IF($B$2='Paramètres - Admin'!$B$4,TEXT((E13+K13+E28+Q27+Q13+W27)/Paramètres!$BJ$2,"# 0,00")&amp;" " &amp; 'Paramètres - Admin'!$B$4,IF($B$2='Paramètres - Admin'!$B$5,TEXT((E13+K13+E28+Q27+Q13+W27)/Paramètres!$BJ$2/24,"# 0,00")&amp;" " &amp; 'Paramètres - Admin'!$B$5,IF($B$2='Paramètres - Admin'!$B$6,TEXT(((E13+K13+E28+Q27+Q13+W27)/Paramètres!$BJ$2/24)/30,"# 0,00")&amp;" " &amp; 'Paramètres - Admin'!$B$6,IF((E13+K13+E28+Q27+Q13+W27)/Paramètres!$BJ$2/24&gt;=1,INT((E13+K13+E28+Q27+Q13+W27)/Paramètres!$BJ$2/24)&amp;" " &amp;  'Paramètres - Admin'!$D$4 &amp; " " &amp; HOUR((E13+K13+E28+Q27+Q13+W27)/Paramètres!$BJ$2/24-INT((E13+K13+E28+Q27+Q13+W27)/Paramètres!$BJ$2/24))&amp;" " &amp;  'Paramètres - Admin'!$D$3 &amp; " " &amp; MINUTE((E13+K13+E28+Q27+Q13+W27)/Paramètres!$BJ$2/24-INT((E13+K13+E28+Q27+Q13+W27)/Paramètres!$BJ$2/24))&amp;" " &amp;  'Paramètres - Admin'!$D$2,HOUR((E13+K13+E28+Q27+Q13+W27)/Paramètres!$BJ$2/24-INT((E13+K13+E28+Q27+Q13+W27)/Paramètres!$BJ$2/24))&amp;" " &amp;  'Paramètres - Admin'!$D$3 &amp; " " &amp; MINUTE((E13+K13+E28+Q27+Q13+W27)/Paramètres!$BJ$2/24-INT((E13+K13+E28+Q27+Q13+W27)/Paramètres!$BJ$2/24))&amp;" " &amp;  'Paramètres - Admin'!$D$2))))))</f>
        <v>0,59 jours</v>
      </c>
      <c r="U2" s="1080"/>
      <c r="V2" s="1080"/>
      <c r="W2" s="1093" t="str">
        <f>IF($B$2='Paramètres - Admin'!$B$2,TEXT((Q22+K27+W13+W20)*60*60,"# 0")&amp;" " &amp; 'Paramètres - Admin'!$B$2,IF($B$2='Paramètres - Admin'!$B$3,TEXT((Q22+K27+W13+W20)*60,"# 0")&amp;" " &amp; 'Paramètres - Admin'!$B$3,IF($B$2='Paramètres - Admin'!$B$4,TEXT((Q22+K27+W13+W20),"# 0,00")&amp;" " &amp; 'Paramètres - Admin'!$B$4,IF($B$2='Paramètres - Admin'!$B$5,TEXT((Q22+K27+W13+W20)/24,"# 0,00")&amp;" " &amp; 'Paramètres - Admin'!$B$5,IF($B$2='Paramètres - Admin'!$B$6,TEXT(((Q22+K27+W13+W20)/24)/30,"# 0,00")&amp;" " &amp; 'Paramètres - Admin'!$B$6,IF((Q22+K27+W13+W20)/24&gt;=1,INT((Q22+K27+W13+W20)/24)&amp;" " &amp;  'Paramètres - Admin'!$D$4 &amp; " " &amp; HOUR((Q22+K27+W13+W20)/24-INT((Q22+K27+W13+W20)/24))&amp;" " &amp;  'Paramètres - Admin'!$D$3 &amp; " " &amp; MINUTE((Q22+K27+W13+W20)/24-INT((Q22+K27+W13+W20)/24))&amp;" " &amp;  'Paramètres - Admin'!$D$2,HOUR((Q22+K27+W13+W20)/24-INT((Q22+K27+W13+W20)/24))&amp;" " &amp;  'Paramètres - Admin'!$D$3 &amp; " " &amp; MINUTE((Q22+K27+W13+W20)/24-INT((Q22+K27+W13+W20)/24))&amp;" " &amp;  'Paramètres - Admin'!$D$2))))))</f>
        <v>0,00 jours</v>
      </c>
      <c r="X2" s="1093"/>
    </row>
    <row r="3" spans="1:29" ht="15" customHeight="1" thickTop="1">
      <c r="A3" s="1087" t="s">
        <v>175</v>
      </c>
      <c r="B3" s="1088"/>
      <c r="C3" s="1088"/>
      <c r="D3" s="1088"/>
      <c r="E3" s="1088"/>
      <c r="F3" s="1088"/>
      <c r="G3" s="1088"/>
      <c r="H3" s="1088"/>
      <c r="I3" s="1088"/>
      <c r="J3" s="1088"/>
      <c r="K3" s="1088"/>
      <c r="L3" s="1088"/>
      <c r="M3" s="1088"/>
      <c r="N3" s="1088"/>
      <c r="O3" s="1088"/>
      <c r="P3" s="1088"/>
      <c r="Q3" s="1088"/>
      <c r="R3" s="1088"/>
      <c r="S3" s="1088"/>
      <c r="T3" s="1088"/>
      <c r="U3" s="1088"/>
      <c r="V3" s="1088"/>
      <c r="W3" s="1088"/>
      <c r="X3" s="1088"/>
      <c r="Y3" s="713" t="s">
        <v>246</v>
      </c>
      <c r="Z3" s="714">
        <f>D8+D11+D28+P27+P13-IF(D2="Non",D17,0)-IF(E2="Non",P26,0)</f>
        <v>51400</v>
      </c>
    </row>
    <row r="4" spans="1:29" ht="15" customHeight="1" thickBot="1">
      <c r="A4" s="1089"/>
      <c r="B4" s="1090"/>
      <c r="C4" s="1090"/>
      <c r="D4" s="1090"/>
      <c r="E4" s="1090"/>
      <c r="F4" s="1090"/>
      <c r="G4" s="1090"/>
      <c r="H4" s="1090"/>
      <c r="I4" s="1090"/>
      <c r="J4" s="1090"/>
      <c r="K4" s="1090"/>
      <c r="L4" s="1090"/>
      <c r="M4" s="1090"/>
      <c r="N4" s="1090"/>
      <c r="O4" s="1090"/>
      <c r="P4" s="1090"/>
      <c r="Q4" s="1090"/>
      <c r="R4" s="1090"/>
      <c r="S4" s="1090"/>
      <c r="T4" s="1090"/>
      <c r="U4" s="1090"/>
      <c r="V4" s="1090"/>
      <c r="W4" s="1090"/>
      <c r="X4" s="1090"/>
      <c r="Y4" s="713" t="s">
        <v>247</v>
      </c>
      <c r="Z4" s="714">
        <f>D7+D9+D10+D12+J13+P22+J27+IF(F2="Non",0,V26)</f>
        <v>27800</v>
      </c>
    </row>
    <row r="5" spans="1:29" ht="20.100000000000001" customHeight="1" thickBot="1">
      <c r="A5" s="1082" t="s">
        <v>447</v>
      </c>
      <c r="B5" s="1083"/>
      <c r="C5" s="1083"/>
      <c r="D5" s="1083"/>
      <c r="E5" s="1083"/>
      <c r="F5" s="1084"/>
      <c r="G5" s="1082" t="s">
        <v>181</v>
      </c>
      <c r="H5" s="1083"/>
      <c r="I5" s="1083"/>
      <c r="J5" s="1083"/>
      <c r="K5" s="1083"/>
      <c r="L5" s="1084"/>
      <c r="M5" s="1082" t="s">
        <v>582</v>
      </c>
      <c r="N5" s="1083"/>
      <c r="O5" s="1083"/>
      <c r="P5" s="1083"/>
      <c r="Q5" s="1083"/>
      <c r="R5" s="1084"/>
      <c r="S5" s="1082" t="s">
        <v>227</v>
      </c>
      <c r="T5" s="1083"/>
      <c r="U5" s="1083"/>
      <c r="V5" s="1083"/>
      <c r="W5" s="1083"/>
      <c r="X5" s="1084"/>
      <c r="Y5" s="713" t="s">
        <v>248</v>
      </c>
      <c r="Z5" s="714">
        <f>V13+V20+IF(F2="Non",0,V27)</f>
        <v>0</v>
      </c>
    </row>
    <row r="6" spans="1:29" s="132" customFormat="1" ht="15" customHeight="1" thickBot="1">
      <c r="A6" s="496" t="s">
        <v>231</v>
      </c>
      <c r="B6" s="278" t="s">
        <v>361</v>
      </c>
      <c r="C6" s="544" t="s">
        <v>70</v>
      </c>
      <c r="D6" s="544" t="s">
        <v>232</v>
      </c>
      <c r="E6" s="544" t="s">
        <v>233</v>
      </c>
      <c r="F6" s="545" t="s">
        <v>233</v>
      </c>
      <c r="G6" s="349" t="s">
        <v>231</v>
      </c>
      <c r="H6" s="100" t="s">
        <v>361</v>
      </c>
      <c r="I6" s="230" t="s">
        <v>70</v>
      </c>
      <c r="J6" s="230" t="s">
        <v>232</v>
      </c>
      <c r="K6" s="230" t="s">
        <v>233</v>
      </c>
      <c r="L6" s="231" t="s">
        <v>233</v>
      </c>
      <c r="M6" s="232" t="s">
        <v>231</v>
      </c>
      <c r="N6" s="278" t="s">
        <v>361</v>
      </c>
      <c r="O6" s="544" t="s">
        <v>70</v>
      </c>
      <c r="P6" s="544" t="s">
        <v>232</v>
      </c>
      <c r="Q6" s="544" t="s">
        <v>233</v>
      </c>
      <c r="R6" s="545" t="s">
        <v>233</v>
      </c>
      <c r="S6" s="349" t="s">
        <v>236</v>
      </c>
      <c r="T6" s="229" t="s">
        <v>361</v>
      </c>
      <c r="U6" s="230" t="s">
        <v>70</v>
      </c>
      <c r="V6" s="230" t="s">
        <v>232</v>
      </c>
      <c r="W6" s="230" t="s">
        <v>233</v>
      </c>
      <c r="X6" s="231" t="s">
        <v>233</v>
      </c>
      <c r="Y6" s="719" t="s">
        <v>259</v>
      </c>
      <c r="Z6" s="823">
        <f>E13+K13+Q13+W13+K27+E28+Q22+Q27+W20+W27</f>
        <v>28.306666666666665</v>
      </c>
      <c r="AA6" s="719"/>
      <c r="AB6" s="719"/>
      <c r="AC6" s="719"/>
    </row>
    <row r="7" spans="1:29" s="132" customFormat="1" ht="15" customHeight="1">
      <c r="A7" s="345" t="s">
        <v>176</v>
      </c>
      <c r="B7" s="83">
        <f>'À Faire - Détails'!H5</f>
        <v>2</v>
      </c>
      <c r="C7" s="84">
        <f>'À Faire - Détails'!I5</f>
        <v>8</v>
      </c>
      <c r="D7" s="395">
        <f>'À Faire - Détails'!H19</f>
        <v>5100</v>
      </c>
      <c r="E7" s="329">
        <f>'À Faire - Détails'!I19</f>
        <v>2.7</v>
      </c>
      <c r="F7" s="85" t="str">
        <f>IF($B$2='Paramètres - Admin'!$B$2,TEXT(E7*60*60,"# 0")&amp;" " &amp; 'Paramètres - Admin'!$B$2,IF($B$2='Paramètres - Admin'!$B$3,TEXT(E7*60,"# 0")&amp;" " &amp; 'Paramètres - Admin'!$B$3,IF($B$2='Paramètres - Admin'!$B$4,TEXT(E7,"# 0,00")&amp;" " &amp; 'Paramètres - Admin'!$B$4,IF($B$2='Paramètres - Admin'!$B$5,TEXT(E7/24,"# 0,00")&amp;" " &amp; 'Paramètres - Admin'!$B$5,IF($B$2='Paramètres - Admin'!$B$6,TEXT((E7/24)/30,"# 0,00")&amp;" " &amp; 'Paramètres - Admin'!$B$6,IF(E7/24&gt;=1,INT(E7/24)&amp;" " &amp;  'Paramètres - Admin'!$D$4 &amp; " " &amp; HOUR(E7/24-INT(E7/24))&amp;" " &amp;  'Paramètres - Admin'!$D$3 &amp; " " &amp; MINUTE(E7/24-INT(E7/24))&amp;" " &amp;  'Paramètres - Admin'!$D$2,HOUR(E7/24-INT(E7/24))&amp;" " &amp;  'Paramètres - Admin'!$D$3 &amp; " " &amp; MINUTE(E7/24-INT(E7/24))&amp;" " &amp;  'Paramètres - Admin'!$D$2))))))</f>
        <v>0,11 jours</v>
      </c>
      <c r="G7" s="285" t="s">
        <v>207</v>
      </c>
      <c r="H7" s="473">
        <f>'À Faire - Détails'!H50</f>
        <v>2</v>
      </c>
      <c r="I7" s="815">
        <f>'À Faire - Détails'!I50</f>
        <v>8</v>
      </c>
      <c r="J7" s="389">
        <f>'À Faire - Détails'!H62</f>
        <v>17400</v>
      </c>
      <c r="K7" s="816">
        <f>'À Faire - Détails'!I62</f>
        <v>12.54</v>
      </c>
      <c r="L7" s="817" t="str">
        <f>IF($B$2='Paramètres - Admin'!$B$2,TEXT(K7*60*60,"# 0")&amp;" " &amp; 'Paramètres - Admin'!$B$2,IF($B$2='Paramètres - Admin'!$B$3,TEXT(K7*60,"# 0")&amp;" " &amp; 'Paramètres - Admin'!$B$3,IF($B$2='Paramètres - Admin'!$B$4,TEXT(K7,"# 0,00")&amp;" " &amp; 'Paramètres - Admin'!$B$4,IF($B$2='Paramètres - Admin'!$B$5,TEXT(K7/24,"# 0,00")&amp;" " &amp; 'Paramètres - Admin'!$B$5,IF($B$2='Paramètres - Admin'!$B$6,TEXT((K7/24)/30,"# 0,00")&amp;" " &amp; 'Paramètres - Admin'!$B$6,IF(K7/24&gt;=1,INT(K7/24)&amp;" " &amp;  'Paramètres - Admin'!$D$4 &amp; " " &amp; HOUR(K7/24-INT(K7/24))&amp;" " &amp;  'Paramètres - Admin'!$D$3 &amp; " " &amp; MINUTE(K7/24-INT(K7/24))&amp;" " &amp;  'Paramètres - Admin'!$D$2,HOUR(K7/24-INT(K7/24))&amp;" " &amp;  'Paramètres - Admin'!$D$3 &amp; " " &amp; MINUTE(K7/24-INT(K7/24))&amp;" " &amp;  'Paramètres - Admin'!$D$2))))))</f>
        <v>0,52 jours</v>
      </c>
      <c r="M7" s="345" t="s">
        <v>561</v>
      </c>
      <c r="N7" s="83">
        <f>'À Faire - Détails'!H155</f>
        <v>0</v>
      </c>
      <c r="O7" s="286">
        <f>'À Faire - Détails'!I155</f>
        <v>0</v>
      </c>
      <c r="P7" s="541">
        <f>'À Faire - Détails'!H163</f>
        <v>0</v>
      </c>
      <c r="Q7" s="329">
        <f>'À Faire - Détails'!I163</f>
        <v>0</v>
      </c>
      <c r="R7" s="85" t="str">
        <f>IF($B$2='Paramètres - Admin'!$B$2,TEXT(Q7*60*60,"# 0")&amp;" " &amp; 'Paramètres - Admin'!$B$2,IF($B$2='Paramètres - Admin'!$B$3,TEXT(Q7*60,"# 0")&amp;" " &amp; 'Paramètres - Admin'!$B$3,IF($B$2='Paramètres - Admin'!$B$4,TEXT(Q7,"# 0,00")&amp;" " &amp; 'Paramètres - Admin'!$B$4,IF($B$2='Paramètres - Admin'!$B$5,TEXT(Q7/24,"# 0,00")&amp;" " &amp; 'Paramètres - Admin'!$B$5,IF($B$2='Paramètres - Admin'!$B$6,TEXT((Q7/24)/30,"# 0,00")&amp;" " &amp; 'Paramètres - Admin'!$B$6,IF(Q7/24&gt;=1,INT(Q7/24)&amp;" " &amp;  'Paramètres - Admin'!$D$4 &amp; " " &amp; HOUR(Q7/24-INT(Q7/24))&amp;" " &amp;  'Paramètres - Admin'!$D$3 &amp; " " &amp; MINUTE(Q7/24-INT(Q7/24))&amp;" " &amp;  'Paramètres - Admin'!$D$2,HOUR(Q7/24-INT(Q7/24))&amp;" " &amp;  'Paramètres - Admin'!$D$3 &amp; " " &amp; MINUTE(Q7/24-INT(Q7/24))&amp;" " &amp;  'Paramètres - Admin'!$D$2))))))</f>
        <v>0,00 jours</v>
      </c>
      <c r="S7" s="600" t="s">
        <v>183</v>
      </c>
      <c r="T7" s="289">
        <f>'À Faire - Détails'!H302</f>
        <v>0</v>
      </c>
      <c r="U7" s="92">
        <f>'À Faire - Détails'!I302</f>
        <v>0</v>
      </c>
      <c r="V7" s="124">
        <f>'À Faire - Détails'!H311</f>
        <v>0</v>
      </c>
      <c r="W7" s="330">
        <f>'À Faire - Détails'!I311</f>
        <v>0</v>
      </c>
      <c r="X7" s="601" t="str">
        <f>IF($B$2='Paramètres - Admin'!$B$2,TEXT(W7*60*60,"# 0")&amp;" " &amp; 'Paramètres - Admin'!$B$2,IF($B$2='Paramètres - Admin'!$B$3,TEXT(W7*60,"# 0")&amp;" " &amp; 'Paramètres - Admin'!$B$3,IF($B$2='Paramètres - Admin'!$B$4,TEXT(W7,"# 0,00")&amp;" " &amp; 'Paramètres - Admin'!$B$4,IF($B$2='Paramètres - Admin'!$B$5,TEXT(W7/24,"# 0,00")&amp;" " &amp; 'Paramètres - Admin'!$B$5,IF($B$2='Paramètres - Admin'!$B$6,TEXT((W7/24)/30,"# 0,00")&amp;" " &amp; 'Paramètres - Admin'!$B$6,IF(W7/24&gt;=1,INT(W7/24)&amp;" " &amp;  'Paramètres - Admin'!$D$4 &amp; " " &amp; HOUR(W7/24-INT(W7/24))&amp;" " &amp;  'Paramètres - Admin'!$D$3 &amp; " " &amp; MINUTE(W7/24-INT(W7/24))&amp;" " &amp;  'Paramètres - Admin'!$D$2,HOUR(W7/24-INT(W7/24))&amp;" " &amp;  'Paramètres - Admin'!$D$3 &amp; " " &amp; MINUTE(W7/24-INT(W7/24))&amp;" " &amp;  'Paramètres - Admin'!$D$2))))))</f>
        <v>0,00 jours</v>
      </c>
      <c r="Y7" s="719"/>
      <c r="Z7" s="719"/>
      <c r="AA7" s="719"/>
      <c r="AB7" s="719"/>
      <c r="AC7" s="719"/>
    </row>
    <row r="8" spans="1:29" s="132" customFormat="1" ht="15" customHeight="1">
      <c r="A8" s="90" t="s">
        <v>210</v>
      </c>
      <c r="B8" s="91">
        <f>'À Faire - Détails'!Q5</f>
        <v>2</v>
      </c>
      <c r="C8" s="92">
        <f>'À Faire - Détails'!R5</f>
        <v>8</v>
      </c>
      <c r="D8" s="529">
        <f>'À Faire - Détails'!Q19</f>
        <v>5100</v>
      </c>
      <c r="E8" s="330">
        <f>'À Faire - Détails'!R19</f>
        <v>2.7</v>
      </c>
      <c r="F8" s="85" t="str">
        <f>IF($B$2='Paramètres - Admin'!$B$2,TEXT(E8*60*60,"# 0")&amp;" " &amp; 'Paramètres - Admin'!$B$2,IF($B$2='Paramètres - Admin'!$B$3,TEXT(E8*60,"# 0")&amp;" " &amp; 'Paramètres - Admin'!$B$3,IF($B$2='Paramètres - Admin'!$B$4,TEXT(E8,"# 0,00")&amp;" " &amp; 'Paramètres - Admin'!$B$4,IF($B$2='Paramètres - Admin'!$B$5,TEXT(E8/24,"# 0,00")&amp;" " &amp; 'Paramètres - Admin'!$B$5,IF($B$2='Paramètres - Admin'!$B$6,TEXT((E8/24)/30,"# 0,00")&amp;" " &amp; 'Paramètres - Admin'!$B$6,IF(E8/24&gt;=1,INT(E8/24)&amp;" " &amp;  'Paramètres - Admin'!$D$4 &amp; " " &amp; HOUR(E8/24-INT(E8/24))&amp;" " &amp;  'Paramètres - Admin'!$D$3 &amp; " " &amp; MINUTE(E8/24-INT(E8/24))&amp;" " &amp;  'Paramètres - Admin'!$D$2,HOUR(E8/24-INT(E8/24))&amp;" " &amp;  'Paramètres - Admin'!$D$3 &amp; " " &amp; MINUTE(E8/24-INT(E8/24))&amp;" " &amp;  'Paramètres - Admin'!$D$2))))))</f>
        <v>0,11 jours</v>
      </c>
      <c r="G8" s="119" t="s">
        <v>343</v>
      </c>
      <c r="H8" s="91">
        <f>'À Faire - Détails'!H64</f>
        <v>0</v>
      </c>
      <c r="I8" s="92">
        <f>'À Faire - Détails'!I64</f>
        <v>0</v>
      </c>
      <c r="J8" s="390">
        <f>'À Faire - Détails'!H72</f>
        <v>0</v>
      </c>
      <c r="K8" s="330">
        <f>'À Faire - Détails'!I72</f>
        <v>0</v>
      </c>
      <c r="L8" s="601" t="str">
        <f>IF($B$2='Paramètres - Admin'!$B$2,TEXT(K8*60*60,"# 0")&amp;" " &amp; 'Paramètres - Admin'!$B$2,IF($B$2='Paramètres - Admin'!$B$3,TEXT(K8*60,"# 0")&amp;" " &amp; 'Paramètres - Admin'!$B$3,IF($B$2='Paramètres - Admin'!$B$4,TEXT(K8,"# 0,00")&amp;" " &amp; 'Paramètres - Admin'!$B$4,IF($B$2='Paramètres - Admin'!$B$5,TEXT(K8/24,"# 0,00")&amp;" " &amp; 'Paramètres - Admin'!$B$5,IF($B$2='Paramètres - Admin'!$B$6,TEXT((K8/24)/30,"# 0,00")&amp;" " &amp; 'Paramètres - Admin'!$B$6,IF(K8/24&gt;=1,INT(K8/24)&amp;" " &amp;  'Paramètres - Admin'!$D$4 &amp; " " &amp; HOUR(K8/24-INT(K8/24))&amp;" " &amp;  'Paramètres - Admin'!$D$3 &amp; " " &amp; MINUTE(K8/24-INT(K8/24))&amp;" " &amp;  'Paramètres - Admin'!$D$2,HOUR(K8/24-INT(K8/24))&amp;" " &amp;  'Paramètres - Admin'!$D$3 &amp; " " &amp; MINUTE(K8/24-INT(K8/24))&amp;" " &amp;  'Paramètres - Admin'!$D$2))))))</f>
        <v>0,00 jours</v>
      </c>
      <c r="M8" s="345" t="s">
        <v>559</v>
      </c>
      <c r="N8" s="83">
        <f>'À Faire - Détails'!H165</f>
        <v>0</v>
      </c>
      <c r="O8" s="286">
        <f>'À Faire - Détails'!I165</f>
        <v>0</v>
      </c>
      <c r="P8" s="541">
        <f>'À Faire - Détails'!H168</f>
        <v>0</v>
      </c>
      <c r="Q8" s="329">
        <f>'À Faire - Détails'!I168</f>
        <v>0</v>
      </c>
      <c r="R8" s="85" t="str">
        <f>IF($B$2='Paramètres - Admin'!$B$2,TEXT(Q8*60*60,"# 0")&amp;" " &amp; 'Paramètres - Admin'!$B$2,IF($B$2='Paramètres - Admin'!$B$3,TEXT(Q8*60,"# 0")&amp;" " &amp; 'Paramètres - Admin'!$B$3,IF($B$2='Paramètres - Admin'!$B$4,TEXT(Q8,"# 0,00")&amp;" " &amp; 'Paramètres - Admin'!$B$4,IF($B$2='Paramètres - Admin'!$B$5,TEXT(Q8/24,"# 0,00")&amp;" " &amp; 'Paramètres - Admin'!$B$5,IF($B$2='Paramètres - Admin'!$B$6,TEXT((Q8/24)/30,"# 0,00")&amp;" " &amp; 'Paramètres - Admin'!$B$6,IF(Q8/24&gt;=1,INT(Q8/24)&amp;" " &amp;  'Paramètres - Admin'!$D$4 &amp; " " &amp; HOUR(Q8/24-INT(Q8/24))&amp;" " &amp;  'Paramètres - Admin'!$D$3 &amp; " " &amp; MINUTE(Q8/24-INT(Q8/24))&amp;" " &amp;  'Paramètres - Admin'!$D$2,HOUR(Q8/24-INT(Q8/24))&amp;" " &amp;  'Paramètres - Admin'!$D$3 &amp; " " &amp; MINUTE(Q8/24-INT(Q8/24))&amp;" " &amp;  'Paramètres - Admin'!$D$2))))))</f>
        <v>0,00 jours</v>
      </c>
      <c r="S8" s="600" t="s">
        <v>245</v>
      </c>
      <c r="T8" s="289">
        <f>'À Faire - Détails'!Q302</f>
        <v>0</v>
      </c>
      <c r="U8" s="92">
        <f>'À Faire - Détails'!R302</f>
        <v>0</v>
      </c>
      <c r="V8" s="124">
        <f>'À Faire - Détails'!Q309</f>
        <v>0</v>
      </c>
      <c r="W8" s="330">
        <f>'À Faire - Détails'!R309</f>
        <v>0</v>
      </c>
      <c r="X8" s="601" t="str">
        <f>IF($B$2='Paramètres - Admin'!$B$2,TEXT(W8*60*60,"# 0")&amp;" " &amp; 'Paramètres - Admin'!$B$2,IF($B$2='Paramètres - Admin'!$B$3,TEXT(W8*60,"# 0")&amp;" " &amp; 'Paramètres - Admin'!$B$3,IF($B$2='Paramètres - Admin'!$B$4,TEXT(W8,"# 0,00")&amp;" " &amp; 'Paramètres - Admin'!$B$4,IF($B$2='Paramètres - Admin'!$B$5,TEXT(W8/24,"# 0,00")&amp;" " &amp; 'Paramètres - Admin'!$B$5,IF($B$2='Paramètres - Admin'!$B$6,TEXT((W8/24)/30,"# 0,00")&amp;" " &amp; 'Paramètres - Admin'!$B$6,IF(W8/24&gt;=1,INT(W8/24)&amp;" " &amp;  'Paramètres - Admin'!$D$4 &amp; " " &amp; HOUR(W8/24-INT(W8/24))&amp;" " &amp;  'Paramètres - Admin'!$D$3 &amp; " " &amp; MINUTE(W8/24-INT(W8/24))&amp;" " &amp;  'Paramètres - Admin'!$D$2,HOUR(W8/24-INT(W8/24))&amp;" " &amp;  'Paramètres - Admin'!$D$3 &amp; " " &amp; MINUTE(W8/24-INT(W8/24))&amp;" " &amp;  'Paramètres - Admin'!$D$2))))))</f>
        <v>0,00 jours</v>
      </c>
      <c r="Y8" s="719"/>
      <c r="Z8" s="719"/>
      <c r="AA8" s="719"/>
      <c r="AB8" s="719"/>
      <c r="AC8" s="719"/>
    </row>
    <row r="9" spans="1:29" s="132" customFormat="1" ht="15" customHeight="1">
      <c r="A9" s="90" t="s">
        <v>211</v>
      </c>
      <c r="B9" s="91">
        <f>'À Faire - Détails'!H37</f>
        <v>0</v>
      </c>
      <c r="C9" s="92">
        <f>'À Faire - Détails'!I37</f>
        <v>0</v>
      </c>
      <c r="D9" s="390">
        <f>'À Faire - Détails'!H45</f>
        <v>0</v>
      </c>
      <c r="E9" s="330">
        <f>'À Faire - Détails'!I45</f>
        <v>0</v>
      </c>
      <c r="F9" s="85" t="str">
        <f>IF($B$2='Paramètres - Admin'!$B$2,TEXT(E9*60*60,"# 0")&amp;" " &amp; 'Paramètres - Admin'!$B$2,IF($B$2='Paramètres - Admin'!$B$3,TEXT(E9*60,"# 0")&amp;" " &amp; 'Paramètres - Admin'!$B$3,IF($B$2='Paramètres - Admin'!$B$4,TEXT(E9,"# 0,00")&amp;" " &amp; 'Paramètres - Admin'!$B$4,IF($B$2='Paramètres - Admin'!$B$5,TEXT(E9/24,"# 0,00")&amp;" " &amp; 'Paramètres - Admin'!$B$5,IF($B$2='Paramètres - Admin'!$B$6,TEXT((E9/24)/30,"# 0,00")&amp;" " &amp; 'Paramètres - Admin'!$B$6,IF(E9/24&gt;=1,INT(E9/24)&amp;" " &amp;  'Paramètres - Admin'!$D$4 &amp; " " &amp; HOUR(E9/24-INT(E9/24))&amp;" " &amp;  'Paramètres - Admin'!$D$3 &amp; " " &amp; MINUTE(E9/24-INT(E9/24))&amp;" " &amp;  'Paramètres - Admin'!$D$2,HOUR(E9/24-INT(E9/24))&amp;" " &amp;  'Paramètres - Admin'!$D$3 &amp; " " &amp; MINUTE(E9/24-INT(E9/24))&amp;" " &amp;  'Paramètres - Admin'!$D$2))))))</f>
        <v>0,00 jours</v>
      </c>
      <c r="G9" s="122" t="s">
        <v>338</v>
      </c>
      <c r="H9" s="91">
        <f>'À Faire - Détails'!Q63</f>
        <v>1</v>
      </c>
      <c r="I9" s="92">
        <f>'À Faire - Détails'!R63</f>
        <v>2</v>
      </c>
      <c r="J9" s="390">
        <f>'À Faire - Détails'!Q73</f>
        <v>2750</v>
      </c>
      <c r="K9" s="330">
        <f>'À Faire - Détails'!R73</f>
        <v>1.0833333333333333</v>
      </c>
      <c r="L9" s="601" t="str">
        <f>IF($B$2='Paramètres - Admin'!$B$2,TEXT(K9*60*60,"# 0")&amp;" " &amp; 'Paramètres - Admin'!$B$2,IF($B$2='Paramètres - Admin'!$B$3,TEXT(K9*60,"# 0")&amp;" " &amp; 'Paramètres - Admin'!$B$3,IF($B$2='Paramètres - Admin'!$B$4,TEXT(K9,"# 0,00")&amp;" " &amp; 'Paramètres - Admin'!$B$4,IF($B$2='Paramètres - Admin'!$B$5,TEXT(K9/24,"# 0,00")&amp;" " &amp; 'Paramètres - Admin'!$B$5,IF($B$2='Paramètres - Admin'!$B$6,TEXT((K9/24)/30,"# 0,00")&amp;" " &amp; 'Paramètres - Admin'!$B$6,IF(K9/24&gt;=1,INT(K9/24)&amp;" " &amp;  'Paramètres - Admin'!$D$4 &amp; " " &amp; HOUR(K9/24-INT(K9/24))&amp;" " &amp;  'Paramètres - Admin'!$D$3 &amp; " " &amp; MINUTE(K9/24-INT(K9/24))&amp;" " &amp;  'Paramètres - Admin'!$D$2,HOUR(K9/24-INT(K9/24))&amp;" " &amp;  'Paramètres - Admin'!$D$3 &amp; " " &amp; MINUTE(K9/24-INT(K9/24))&amp;" " &amp;  'Paramètres - Admin'!$D$2))))))</f>
        <v>0,05 jours</v>
      </c>
      <c r="M9" s="345" t="s">
        <v>558</v>
      </c>
      <c r="N9" s="83">
        <f>'À Faire - Détails'!H170</f>
        <v>0</v>
      </c>
      <c r="O9" s="286">
        <f>'À Faire - Détails'!I170</f>
        <v>0</v>
      </c>
      <c r="P9" s="541">
        <f>'À Faire - Détails'!H176</f>
        <v>0</v>
      </c>
      <c r="Q9" s="329">
        <f>'À Faire - Détails'!I176</f>
        <v>0</v>
      </c>
      <c r="R9" s="85" t="str">
        <f>IF($B$2='Paramètres - Admin'!$B$2,TEXT(Q9*60*60,"# 0")&amp;" " &amp; 'Paramètres - Admin'!$B$2,IF($B$2='Paramètres - Admin'!$B$3,TEXT(Q9*60,"# 0")&amp;" " &amp; 'Paramètres - Admin'!$B$3,IF($B$2='Paramètres - Admin'!$B$4,TEXT(Q9,"# 0,00")&amp;" " &amp; 'Paramètres - Admin'!$B$4,IF($B$2='Paramètres - Admin'!$B$5,TEXT(Q9/24,"# 0,00")&amp;" " &amp; 'Paramètres - Admin'!$B$5,IF($B$2='Paramètres - Admin'!$B$6,TEXT((Q9/24)/30,"# 0,00")&amp;" " &amp; 'Paramètres - Admin'!$B$6,IF(Q9/24&gt;=1,INT(Q9/24)&amp;" " &amp;  'Paramètres - Admin'!$D$4 &amp; " " &amp; HOUR(Q9/24-INT(Q9/24))&amp;" " &amp;  'Paramètres - Admin'!$D$3 &amp; " " &amp; MINUTE(Q9/24-INT(Q9/24))&amp;" " &amp;  'Paramètres - Admin'!$D$2,HOUR(Q9/24-INT(Q9/24))&amp;" " &amp;  'Paramètres - Admin'!$D$3 &amp; " " &amp; MINUTE(Q9/24-INT(Q9/24))&amp;" " &amp;  'Paramètres - Admin'!$D$2))))))</f>
        <v>0,00 jours</v>
      </c>
      <c r="S9" s="600" t="s">
        <v>66</v>
      </c>
      <c r="T9" s="289">
        <f>'À Faire - Détails'!H313</f>
        <v>0</v>
      </c>
      <c r="U9" s="92">
        <f>'À Faire - Détails'!I313</f>
        <v>0</v>
      </c>
      <c r="V9" s="124">
        <f>'À Faire - Détails'!H319</f>
        <v>0</v>
      </c>
      <c r="W9" s="330">
        <f>'À Faire - Détails'!I319</f>
        <v>0</v>
      </c>
      <c r="X9" s="601" t="str">
        <f>IF($B$2='Paramètres - Admin'!$B$2,TEXT(W9*60*60,"# 0")&amp;" " &amp; 'Paramètres - Admin'!$B$2,IF($B$2='Paramètres - Admin'!$B$3,TEXT(W9*60,"# 0")&amp;" " &amp; 'Paramètres - Admin'!$B$3,IF($B$2='Paramètres - Admin'!$B$4,TEXT(W9,"# 0,00")&amp;" " &amp; 'Paramètres - Admin'!$B$4,IF($B$2='Paramètres - Admin'!$B$5,TEXT(W9/24,"# 0,00")&amp;" " &amp; 'Paramètres - Admin'!$B$5,IF($B$2='Paramètres - Admin'!$B$6,TEXT((W9/24)/30,"# 0,00")&amp;" " &amp; 'Paramètres - Admin'!$B$6,IF(W9/24&gt;=1,INT(W9/24)&amp;" " &amp;  'Paramètres - Admin'!$D$4 &amp; " " &amp; HOUR(W9/24-INT(W9/24))&amp;" " &amp;  'Paramètres - Admin'!$D$3 &amp; " " &amp; MINUTE(W9/24-INT(W9/24))&amp;" " &amp;  'Paramètres - Admin'!$D$2,HOUR(W9/24-INT(W9/24))&amp;" " &amp;  'Paramètres - Admin'!$D$3 &amp; " " &amp; MINUTE(W9/24-INT(W9/24))&amp;" " &amp;  'Paramètres - Admin'!$D$2))))))</f>
        <v>0,00 jours</v>
      </c>
      <c r="Y9" s="719"/>
      <c r="Z9" s="719"/>
      <c r="AA9" s="719"/>
      <c r="AB9" s="719"/>
      <c r="AC9" s="719"/>
    </row>
    <row r="10" spans="1:29" s="132" customFormat="1" ht="15" customHeight="1">
      <c r="A10" s="90" t="s">
        <v>212</v>
      </c>
      <c r="B10" s="91">
        <f>'À Faire - Détails'!H21</f>
        <v>1</v>
      </c>
      <c r="C10" s="92">
        <f>'À Faire - Détails'!I21</f>
        <v>3</v>
      </c>
      <c r="D10" s="390">
        <f>'À Faire - Détails'!H35</f>
        <v>2550</v>
      </c>
      <c r="E10" s="330">
        <f>'À Faire - Détails'!I35</f>
        <v>1.75</v>
      </c>
      <c r="F10" s="85" t="str">
        <f>IF($B$2='Paramètres - Admin'!$B$2,TEXT(E10*60*60,"# 0")&amp;" " &amp; 'Paramètres - Admin'!$B$2,IF($B$2='Paramètres - Admin'!$B$3,TEXT(E10*60,"# 0")&amp;" " &amp; 'Paramètres - Admin'!$B$3,IF($B$2='Paramètres - Admin'!$B$4,TEXT(E10,"# 0,00")&amp;" " &amp; 'Paramètres - Admin'!$B$4,IF($B$2='Paramètres - Admin'!$B$5,TEXT(E10/24,"# 0,00")&amp;" " &amp; 'Paramètres - Admin'!$B$5,IF($B$2='Paramètres - Admin'!$B$6,TEXT((E10/24)/30,"# 0,00")&amp;" " &amp; 'Paramètres - Admin'!$B$6,IF(E10/24&gt;=1,INT(E10/24)&amp;" " &amp;  'Paramètres - Admin'!$D$4 &amp; " " &amp; HOUR(E10/24-INT(E10/24))&amp;" " &amp;  'Paramètres - Admin'!$D$3 &amp; " " &amp; MINUTE(E10/24-INT(E10/24))&amp;" " &amp;  'Paramètres - Admin'!$D$2,HOUR(E10/24-INT(E10/24))&amp;" " &amp;  'Paramètres - Admin'!$D$3 &amp; " " &amp; MINUTE(E10/24-INT(E10/24))&amp;" " &amp;  'Paramètres - Admin'!$D$2))))))</f>
        <v>0,07 jours</v>
      </c>
      <c r="G10" s="122" t="s">
        <v>208</v>
      </c>
      <c r="H10" s="91">
        <f>'À Faire - Détails'!Q50</f>
        <v>0</v>
      </c>
      <c r="I10" s="92">
        <f>'À Faire - Détails'!R50</f>
        <v>0</v>
      </c>
      <c r="J10" s="390">
        <f>'À Faire - Détails'!Q61</f>
        <v>0</v>
      </c>
      <c r="K10" s="330">
        <f>'À Faire - Détails'!R61</f>
        <v>0</v>
      </c>
      <c r="L10" s="601" t="str">
        <f>IF($B$2='Paramètres - Admin'!$B$2,TEXT(K10*60*60,"# 0")&amp;" " &amp; 'Paramètres - Admin'!$B$2,IF($B$2='Paramètres - Admin'!$B$3,TEXT(K10*60,"# 0")&amp;" " &amp; 'Paramètres - Admin'!$B$3,IF($B$2='Paramètres - Admin'!$B$4,TEXT(K10,"# 0,00")&amp;" " &amp; 'Paramètres - Admin'!$B$4,IF($B$2='Paramètres - Admin'!$B$5,TEXT(K10/24,"# 0,00")&amp;" " &amp; 'Paramètres - Admin'!$B$5,IF($B$2='Paramètres - Admin'!$B$6,TEXT((K10/24)/30,"# 0,00")&amp;" " &amp; 'Paramètres - Admin'!$B$6,IF(K10/24&gt;=1,INT(K10/24)&amp;" " &amp;  'Paramètres - Admin'!$D$4 &amp; " " &amp; HOUR(K10/24-INT(K10/24))&amp;" " &amp;  'Paramètres - Admin'!$D$3 &amp; " " &amp; MINUTE(K10/24-INT(K10/24))&amp;" " &amp;  'Paramètres - Admin'!$D$2,HOUR(K10/24-INT(K10/24))&amp;" " &amp;  'Paramètres - Admin'!$D$3 &amp; " " &amp; MINUTE(K10/24-INT(K10/24))&amp;" " &amp;  'Paramètres - Admin'!$D$2))))))</f>
        <v>0,00 jours</v>
      </c>
      <c r="M10" s="345" t="s">
        <v>560</v>
      </c>
      <c r="N10" s="83">
        <f>'À Faire - Détails'!Q155</f>
        <v>0</v>
      </c>
      <c r="O10" s="286">
        <f>'À Faire - Détails'!R155</f>
        <v>0</v>
      </c>
      <c r="P10" s="541">
        <f>'À Faire - Détails'!Q161</f>
        <v>0</v>
      </c>
      <c r="Q10" s="329">
        <f>'À Faire - Détails'!R161</f>
        <v>0</v>
      </c>
      <c r="R10" s="85" t="str">
        <f>IF($B$2='Paramètres - Admin'!$B$2,TEXT(Q10*60*60,"# 0")&amp;" " &amp; 'Paramètres - Admin'!$B$2,IF($B$2='Paramètres - Admin'!$B$3,TEXT(Q10*60,"# 0")&amp;" " &amp; 'Paramètres - Admin'!$B$3,IF($B$2='Paramètres - Admin'!$B$4,TEXT(Q10,"# 0,00")&amp;" " &amp; 'Paramètres - Admin'!$B$4,IF($B$2='Paramètres - Admin'!$B$5,TEXT(Q10/24,"# 0,00")&amp;" " &amp; 'Paramètres - Admin'!$B$5,IF($B$2='Paramètres - Admin'!$B$6,TEXT((Q10/24)/30,"# 0,00")&amp;" " &amp; 'Paramètres - Admin'!$B$6,IF(Q10/24&gt;=1,INT(Q10/24)&amp;" " &amp;  'Paramètres - Admin'!$D$4 &amp; " " &amp; HOUR(Q10/24-INT(Q10/24))&amp;" " &amp;  'Paramètres - Admin'!$D$3 &amp; " " &amp; MINUTE(Q10/24-INT(Q10/24))&amp;" " &amp;  'Paramètres - Admin'!$D$2,HOUR(Q10/24-INT(Q10/24))&amp;" " &amp;  'Paramètres - Admin'!$D$3 &amp; " " &amp; MINUTE(Q10/24-INT(Q10/24))&amp;" " &amp;  'Paramètres - Admin'!$D$2))))))</f>
        <v>0,00 jours</v>
      </c>
      <c r="S10" s="600" t="s">
        <v>67</v>
      </c>
      <c r="T10" s="289">
        <f>'À Faire - Détails'!Q311</f>
        <v>0</v>
      </c>
      <c r="U10" s="92">
        <f>'À Faire - Détails'!R311</f>
        <v>0</v>
      </c>
      <c r="V10" s="124">
        <f>'À Faire - Détails'!Q318</f>
        <v>0</v>
      </c>
      <c r="W10" s="330">
        <f>'À Faire - Détails'!R318</f>
        <v>0</v>
      </c>
      <c r="X10" s="601" t="str">
        <f>IF($B$2='Paramètres - Admin'!$B$2,TEXT(W10*60*60,"# 0")&amp;" " &amp; 'Paramètres - Admin'!$B$2,IF($B$2='Paramètres - Admin'!$B$3,TEXT(W10*60,"# 0")&amp;" " &amp; 'Paramètres - Admin'!$B$3,IF($B$2='Paramètres - Admin'!$B$4,TEXT(W10,"# 0,00")&amp;" " &amp; 'Paramètres - Admin'!$B$4,IF($B$2='Paramètres - Admin'!$B$5,TEXT(W10/24,"# 0,00")&amp;" " &amp; 'Paramètres - Admin'!$B$5,IF($B$2='Paramètres - Admin'!$B$6,TEXT((W10/24)/30,"# 0,00")&amp;" " &amp; 'Paramètres - Admin'!$B$6,IF(W10/24&gt;=1,INT(W10/24)&amp;" " &amp;  'Paramètres - Admin'!$D$4 &amp; " " &amp; HOUR(W10/24-INT(W10/24))&amp;" " &amp;  'Paramètres - Admin'!$D$3 &amp; " " &amp; MINUTE(W10/24-INT(W10/24))&amp;" " &amp;  'Paramètres - Admin'!$D$2,HOUR(W10/24-INT(W10/24))&amp;" " &amp;  'Paramètres - Admin'!$D$3 &amp; " " &amp; MINUTE(W10/24-INT(W10/24))&amp;" " &amp;  'Paramètres - Admin'!$D$2))))))</f>
        <v>0,00 jours</v>
      </c>
      <c r="Y10" s="719"/>
      <c r="Z10" s="719"/>
      <c r="AA10" s="719"/>
      <c r="AB10" s="719"/>
      <c r="AC10" s="719"/>
    </row>
    <row r="11" spans="1:29" s="132" customFormat="1" ht="15" customHeight="1">
      <c r="A11" s="90" t="s">
        <v>452</v>
      </c>
      <c r="B11" s="91">
        <f>'À Faire - Détails'!Q21</f>
        <v>1</v>
      </c>
      <c r="C11" s="92">
        <f>'À Faire - Détails'!R21</f>
        <v>3</v>
      </c>
      <c r="D11" s="529">
        <f>'À Faire - Détails'!Q35</f>
        <v>2550</v>
      </c>
      <c r="E11" s="330">
        <f>'À Faire - Détails'!R35</f>
        <v>1.75</v>
      </c>
      <c r="F11" s="85" t="str">
        <f>IF($B$2='Paramètres - Admin'!$B$2,TEXT(E11*60*60,"# 0")&amp;" " &amp; 'Paramètres - Admin'!$B$2,IF($B$2='Paramètres - Admin'!$B$3,TEXT(E11*60,"# 0")&amp;" " &amp; 'Paramètres - Admin'!$B$3,IF($B$2='Paramètres - Admin'!$B$4,TEXT(E11,"# 0,00")&amp;" " &amp; 'Paramètres - Admin'!$B$4,IF($B$2='Paramètres - Admin'!$B$5,TEXT(E11/24,"# 0,00")&amp;" " &amp; 'Paramètres - Admin'!$B$5,IF($B$2='Paramètres - Admin'!$B$6,TEXT((E11/24)/30,"# 0,00")&amp;" " &amp; 'Paramètres - Admin'!$B$6,IF(E11/24&gt;=1,INT(E11/24)&amp;" " &amp;  'Paramètres - Admin'!$D$4 &amp; " " &amp; HOUR(E11/24-INT(E11/24))&amp;" " &amp;  'Paramètres - Admin'!$D$3 &amp; " " &amp; MINUTE(E11/24-INT(E11/24))&amp;" " &amp;  'Paramètres - Admin'!$D$2,HOUR(E11/24-INT(E11/24))&amp;" " &amp;  'Paramètres - Admin'!$D$3 &amp; " " &amp; MINUTE(E11/24-INT(E11/24))&amp;" " &amp;  'Paramètres - Admin'!$D$2))))))</f>
        <v>0,07 jours</v>
      </c>
      <c r="G11" s="158" t="s">
        <v>209</v>
      </c>
      <c r="H11" s="91">
        <f>'À Faire - Détails'!H74</f>
        <v>0</v>
      </c>
      <c r="I11" s="92">
        <f>'À Faire - Détails'!I74</f>
        <v>0</v>
      </c>
      <c r="J11" s="390">
        <f>'À Faire - Détails'!H81</f>
        <v>0</v>
      </c>
      <c r="K11" s="330">
        <f>'À Faire - Détails'!I81</f>
        <v>0</v>
      </c>
      <c r="L11" s="601" t="str">
        <f>IF($B$2='Paramètres - Admin'!$B$2,TEXT(K11*60*60,"# 0")&amp;" " &amp; 'Paramètres - Admin'!$B$2,IF($B$2='Paramètres - Admin'!$B$3,TEXT(K11*60,"# 0")&amp;" " &amp; 'Paramètres - Admin'!$B$3,IF($B$2='Paramètres - Admin'!$B$4,TEXT(K11,"# 0,00")&amp;" " &amp; 'Paramètres - Admin'!$B$4,IF($B$2='Paramètres - Admin'!$B$5,TEXT(K11/24,"# 0,00")&amp;" " &amp; 'Paramètres - Admin'!$B$5,IF($B$2='Paramètres - Admin'!$B$6,TEXT((K11/24)/30,"# 0,00")&amp;" " &amp; 'Paramètres - Admin'!$B$6,IF(K11/24&gt;=1,INT(K11/24)&amp;" " &amp;  'Paramètres - Admin'!$D$4 &amp; " " &amp; HOUR(K11/24-INT(K11/24))&amp;" " &amp;  'Paramètres - Admin'!$D$3 &amp; " " &amp; MINUTE(K11/24-INT(K11/24))&amp;" " &amp;  'Paramètres - Admin'!$D$2,HOUR(K11/24-INT(K11/24))&amp;" " &amp;  'Paramètres - Admin'!$D$3 &amp; " " &amp; MINUTE(K11/24-INT(K11/24))&amp;" " &amp;  'Paramètres - Admin'!$D$2))))))</f>
        <v>0,00 jours</v>
      </c>
      <c r="M11" s="345" t="s">
        <v>562</v>
      </c>
      <c r="N11" s="83">
        <f>'À Faire - Détails'!Q163</f>
        <v>0</v>
      </c>
      <c r="O11" s="286">
        <f>'À Faire - Détails'!R163</f>
        <v>0</v>
      </c>
      <c r="P11" s="541">
        <f>'À Faire - Détails'!Q168</f>
        <v>0</v>
      </c>
      <c r="Q11" s="329">
        <f>'À Faire - Détails'!R168</f>
        <v>0</v>
      </c>
      <c r="R11" s="85" t="str">
        <f>IF($B$2='Paramètres - Admin'!$B$2,TEXT(Q11*60*60,"# 0")&amp;" " &amp; 'Paramètres - Admin'!$B$2,IF($B$2='Paramètres - Admin'!$B$3,TEXT(Q11*60,"# 0")&amp;" " &amp; 'Paramètres - Admin'!$B$3,IF($B$2='Paramètres - Admin'!$B$4,TEXT(Q11,"# 0,00")&amp;" " &amp; 'Paramètres - Admin'!$B$4,IF($B$2='Paramètres - Admin'!$B$5,TEXT(Q11/24,"# 0,00")&amp;" " &amp; 'Paramètres - Admin'!$B$5,IF($B$2='Paramètres - Admin'!$B$6,TEXT((Q11/24)/30,"# 0,00")&amp;" " &amp; 'Paramètres - Admin'!$B$6,IF(Q11/24&gt;=1,INT(Q11/24)&amp;" " &amp;  'Paramètres - Admin'!$D$4 &amp; " " &amp; HOUR(Q11/24-INT(Q11/24))&amp;" " &amp;  'Paramètres - Admin'!$D$3 &amp; " " &amp; MINUTE(Q11/24-INT(Q11/24))&amp;" " &amp;  'Paramètres - Admin'!$D$2,HOUR(Q11/24-INT(Q11/24))&amp;" " &amp;  'Paramètres - Admin'!$D$3 &amp; " " &amp; MINUTE(Q11/24-INT(Q11/24))&amp;" " &amp;  'Paramètres - Admin'!$D$2))))))</f>
        <v>0,00 jours</v>
      </c>
      <c r="S11" s="600" t="s">
        <v>536</v>
      </c>
      <c r="T11" s="289">
        <f>'À Faire - Détails'!H321</f>
        <v>0</v>
      </c>
      <c r="U11" s="92">
        <f>'À Faire - Détails'!I321</f>
        <v>0</v>
      </c>
      <c r="V11" s="124">
        <f>'À Faire - Détails'!H324</f>
        <v>0</v>
      </c>
      <c r="W11" s="330">
        <f>'À Faire - Détails'!I326</f>
        <v>0</v>
      </c>
      <c r="X11" s="601" t="str">
        <f>IF($B$2='Paramètres - Admin'!$B$2,TEXT(W11*60*60,"# 0")&amp;" " &amp; 'Paramètres - Admin'!$B$2,IF($B$2='Paramètres - Admin'!$B$3,TEXT(W11*60,"# 0")&amp;" " &amp; 'Paramètres - Admin'!$B$3,IF($B$2='Paramètres - Admin'!$B$4,TEXT(W11,"# 0,00")&amp;" " &amp; 'Paramètres - Admin'!$B$4,IF($B$2='Paramètres - Admin'!$B$5,TEXT(W11/24,"# 0,00")&amp;" " &amp; 'Paramètres - Admin'!$B$5,IF($B$2='Paramètres - Admin'!$B$6,TEXT((W11/24)/30,"# 0,00")&amp;" " &amp; 'Paramètres - Admin'!$B$6,IF(W11/24&gt;=1,INT(W11/24)&amp;" " &amp;  'Paramètres - Admin'!$D$4 &amp; " " &amp; HOUR(W11/24-INT(W11/24))&amp;" " &amp;  'Paramètres - Admin'!$D$3 &amp; " " &amp; MINUTE(W11/24-INT(W11/24))&amp;" " &amp;  'Paramètres - Admin'!$D$2,HOUR(W11/24-INT(W11/24))&amp;" " &amp;  'Paramètres - Admin'!$D$3 &amp; " " &amp; MINUTE(W11/24-INT(W11/24))&amp;" " &amp;  'Paramètres - Admin'!$D$2))))))</f>
        <v>0,00 jours</v>
      </c>
      <c r="Y11" s="719"/>
      <c r="Z11" s="719"/>
    </row>
    <row r="12" spans="1:29" s="132" customFormat="1" ht="15" customHeight="1" thickBot="1">
      <c r="A12" s="113" t="s">
        <v>451</v>
      </c>
      <c r="B12" s="530">
        <f>'À Faire - Détails'!Q37</f>
        <v>0</v>
      </c>
      <c r="C12" s="111">
        <f>'À Faire - Détails'!R37</f>
        <v>0</v>
      </c>
      <c r="D12" s="396">
        <f>'À Faire - Détails'!Q45</f>
        <v>0</v>
      </c>
      <c r="E12" s="331">
        <f>'À Faire - Détails'!R45</f>
        <v>0</v>
      </c>
      <c r="F12" s="157" t="str">
        <f>IF($B$2='Paramètres - Admin'!$B$2,TEXT(E12*60*60,"# 0")&amp;" " &amp; 'Paramètres - Admin'!$B$2,IF($B$2='Paramètres - Admin'!$B$3,TEXT(E12*60,"# 0")&amp;" " &amp; 'Paramètres - Admin'!$B$3,IF($B$2='Paramètres - Admin'!$B$4,TEXT(E12,"# 0,00")&amp;" " &amp; 'Paramètres - Admin'!$B$4,IF($B$2='Paramètres - Admin'!$B$5,TEXT(E12/24,"# 0,00")&amp;" " &amp; 'Paramètres - Admin'!$B$5,IF($B$2='Paramètres - Admin'!$B$6,TEXT((E12/24)/30,"# 0,00")&amp;" " &amp; 'Paramètres - Admin'!$B$6,IF(E12/24&gt;=1,INT(E12/24)&amp;" " &amp;  'Paramètres - Admin'!$D$4 &amp; " " &amp; HOUR(E12/24-INT(E12/24))&amp;" " &amp;  'Paramètres - Admin'!$D$3 &amp; " " &amp; MINUTE(E12/24-INT(E12/24))&amp;" " &amp;  'Paramètres - Admin'!$D$2,HOUR(E12/24-INT(E12/24))&amp;" " &amp;  'Paramètres - Admin'!$D$3 &amp; " " &amp; MINUTE(E12/24-INT(E12/24))&amp;" " &amp;  'Paramètres - Admin'!$D$2))))))</f>
        <v>0,00 jours</v>
      </c>
      <c r="G12" s="293" t="s">
        <v>702</v>
      </c>
      <c r="H12" s="527">
        <f>'À Faire - Détails'!Q75</f>
        <v>0</v>
      </c>
      <c r="I12" s="822">
        <f>'À Faire - Détails'!R75</f>
        <v>0</v>
      </c>
      <c r="J12" s="391">
        <f>'À Faire - Détails'!Q80</f>
        <v>0</v>
      </c>
      <c r="K12" s="818">
        <f>'À Faire - Détails'!R80</f>
        <v>0</v>
      </c>
      <c r="L12" s="819" t="str">
        <f>IF($B$2='Paramètres - Admin'!$B$2,TEXT(K12*60*60,"# 0")&amp;" " &amp; 'Paramètres - Admin'!$B$2,IF($B$2='Paramètres - Admin'!$B$3,TEXT(K12*60,"# 0")&amp;" " &amp; 'Paramètres - Admin'!$B$3,IF($B$2='Paramètres - Admin'!$B$4,TEXT(K12,"# 0,00")&amp;" " &amp; 'Paramètres - Admin'!$B$4,IF($B$2='Paramètres - Admin'!$B$5,TEXT(K12/24,"# 0,00")&amp;" " &amp; 'Paramètres - Admin'!$B$5,IF($B$2='Paramètres - Admin'!$B$6,TEXT((K12/24)/30,"# 0,00")&amp;" " &amp; 'Paramètres - Admin'!$B$6,IF(K12/24&gt;=1,INT(K12/24)&amp;" " &amp;  'Paramètres - Admin'!$D$4 &amp; " " &amp; HOUR(K12/24-INT(K12/24))&amp;" " &amp;  'Paramètres - Admin'!$D$3 &amp; " " &amp; MINUTE(K12/24-INT(K12/24))&amp;" " &amp;  'Paramètres - Admin'!$D$2,HOUR(K12/24-INT(K12/24))&amp;" " &amp;  'Paramètres - Admin'!$D$3 &amp; " " &amp; MINUTE(K12/24-INT(K12/24))&amp;" " &amp;  'Paramètres - Admin'!$D$2))))))</f>
        <v>0,00 jours</v>
      </c>
      <c r="M12" s="345" t="s">
        <v>564</v>
      </c>
      <c r="N12" s="83">
        <f>'À Faire - Détails'!Q170</f>
        <v>0</v>
      </c>
      <c r="O12" s="286">
        <f>'À Faire - Détails'!R170</f>
        <v>0</v>
      </c>
      <c r="P12" s="541">
        <f>'À Faire - Détails'!Q175</f>
        <v>0</v>
      </c>
      <c r="Q12" s="329">
        <f>'À Faire - Détails'!R175</f>
        <v>0</v>
      </c>
      <c r="R12" s="85" t="str">
        <f>IF($B$2='Paramètres - Admin'!$B$2,TEXT(Q12*60*60,"# 0")&amp;" " &amp; 'Paramètres - Admin'!$B$2,IF($B$2='Paramètres - Admin'!$B$3,TEXT(Q12*60,"# 0")&amp;" " &amp; 'Paramètres - Admin'!$B$3,IF($B$2='Paramètres - Admin'!$B$4,TEXT(Q12,"# 0,00")&amp;" " &amp; 'Paramètres - Admin'!$B$4,IF($B$2='Paramètres - Admin'!$B$5,TEXT(Q12/24,"# 0,00")&amp;" " &amp; 'Paramètres - Admin'!$B$5,IF($B$2='Paramètres - Admin'!$B$6,TEXT((Q12/24)/30,"# 0,00")&amp;" " &amp; 'Paramètres - Admin'!$B$6,IF(Q12/24&gt;=1,INT(Q12/24)&amp;" " &amp;  'Paramètres - Admin'!$D$4 &amp; " " &amp; HOUR(Q12/24-INT(Q12/24))&amp;" " &amp;  'Paramètres - Admin'!$D$3 &amp; " " &amp; MINUTE(Q12/24-INT(Q12/24))&amp;" " &amp;  'Paramètres - Admin'!$D$2,HOUR(Q12/24-INT(Q12/24))&amp;" " &amp;  'Paramètres - Admin'!$D$3 &amp; " " &amp; MINUTE(Q12/24-INT(Q12/24))&amp;" " &amp;  'Paramètres - Admin'!$D$2))))))</f>
        <v>0,00 jours</v>
      </c>
      <c r="S12" s="602" t="s">
        <v>573</v>
      </c>
      <c r="T12" s="599">
        <f>'À Faire - Détails'!Q320</f>
        <v>0</v>
      </c>
      <c r="U12" s="111">
        <f>'À Faire - Détails'!R320</f>
        <v>0</v>
      </c>
      <c r="V12" s="125">
        <f>'À Faire - Détails'!Q325</f>
        <v>0</v>
      </c>
      <c r="W12" s="331">
        <f>'À Faire - Détails'!R325</f>
        <v>0</v>
      </c>
      <c r="X12" s="603" t="str">
        <f>IF($B$2='Paramètres - Admin'!$B$2,TEXT(W12*60*60,"# 0")&amp;" " &amp; 'Paramètres - Admin'!$B$2,IF($B$2='Paramètres - Admin'!$B$3,TEXT(W12*60,"# 0")&amp;" " &amp; 'Paramètres - Admin'!$B$3,IF($B$2='Paramètres - Admin'!$B$4,TEXT(W12,"# 0,00")&amp;" " &amp; 'Paramètres - Admin'!$B$4,IF($B$2='Paramètres - Admin'!$B$5,TEXT(W12/24,"# 0,00")&amp;" " &amp; 'Paramètres - Admin'!$B$5,IF($B$2='Paramètres - Admin'!$B$6,TEXT((W12/24)/30,"# 0,00")&amp;" " &amp; 'Paramètres - Admin'!$B$6,IF(W12/24&gt;=1,INT(W12/24)&amp;" " &amp;  'Paramètres - Admin'!$D$4 &amp; " " &amp; HOUR(W12/24-INT(W12/24))&amp;" " &amp;  'Paramètres - Admin'!$D$3 &amp; " " &amp; MINUTE(W12/24-INT(W12/24))&amp;" " &amp;  'Paramètres - Admin'!$D$2,HOUR(W12/24-INT(W12/24))&amp;" " &amp;  'Paramètres - Admin'!$D$3 &amp; " " &amp; MINUTE(W12/24-INT(W12/24))&amp;" " &amp;  'Paramètres - Admin'!$D$2))))))</f>
        <v>0,00 jours</v>
      </c>
      <c r="Y12" s="719"/>
      <c r="Z12" s="719"/>
    </row>
    <row r="13" spans="1:29" s="132" customFormat="1" ht="15" customHeight="1" thickBot="1">
      <c r="A13" s="496" t="s">
        <v>31</v>
      </c>
      <c r="B13" s="102">
        <f>SUM(B7:B12)</f>
        <v>6</v>
      </c>
      <c r="C13" s="103">
        <f>SUM(C7:C12)</f>
        <v>22</v>
      </c>
      <c r="D13" s="397">
        <f>SUM(D7:D12)</f>
        <v>15300</v>
      </c>
      <c r="E13" s="332">
        <f>SUM(E7:E12)</f>
        <v>8.9</v>
      </c>
      <c r="F13" s="105" t="str">
        <f>IF($B$2='Paramètres - Admin'!$B$2,TEXT(E13*60*60,"# 0")&amp;" " &amp; 'Paramètres - Admin'!$B$2,IF($B$2='Paramètres - Admin'!$B$3,TEXT(E13*60,"# 0")&amp;" " &amp; 'Paramètres - Admin'!$B$3,IF($B$2='Paramètres - Admin'!$B$4,TEXT(E13,"# 0,00")&amp;" " &amp; 'Paramètres - Admin'!$B$4,IF($B$2='Paramètres - Admin'!$B$5,TEXT(E13/24,"# 0,00")&amp;" " &amp; 'Paramètres - Admin'!$B$5,IF($B$2='Paramètres - Admin'!$B$6,TEXT((E13/24)/30,"# 0,00")&amp;" " &amp; 'Paramètres - Admin'!$B$6,IF(E13/24&gt;=1,INT(E13/24)&amp;" " &amp;  'Paramètres - Admin'!$D$4 &amp; " " &amp; HOUR(E13/24-INT(E13/24))&amp;" " &amp;  'Paramètres - Admin'!$D$3 &amp; " " &amp; MINUTE(E13/24-INT(E13/24))&amp;" " &amp;  'Paramètres - Admin'!$D$2,HOUR(E13/24-INT(E13/24))&amp;" " &amp;  'Paramètres - Admin'!$D$3 &amp; " " &amp; MINUTE(E13/24-INT(E13/24))&amp;" " &amp;  'Paramètres - Admin'!$D$2))))))</f>
        <v>0,37 jours</v>
      </c>
      <c r="G13" s="821" t="s">
        <v>31</v>
      </c>
      <c r="H13" s="820">
        <f>SUM(H7:H12)</f>
        <v>3</v>
      </c>
      <c r="I13" s="812">
        <f>SUM(I7:I12)</f>
        <v>10</v>
      </c>
      <c r="J13" s="392">
        <f>SUM(J7:J12)</f>
        <v>20150</v>
      </c>
      <c r="K13" s="813">
        <f>SUM(K7:K12)</f>
        <v>13.623333333333333</v>
      </c>
      <c r="L13" s="814" t="str">
        <f>IF($B$2='Paramètres - Admin'!$B$2,TEXT(K13*60*60,"# 0")&amp;" " &amp; 'Paramètres - Admin'!$B$2,IF($B$2='Paramètres - Admin'!$B$3,TEXT(K13*60,"# 0")&amp;" " &amp; 'Paramètres - Admin'!$B$3,IF($B$2='Paramètres - Admin'!$B$4,TEXT(K13,"# 0,00")&amp;" " &amp; 'Paramètres - Admin'!$B$4,IF($B$2='Paramètres - Admin'!$B$5,TEXT(K13/24,"# 0,00")&amp;" " &amp; 'Paramètres - Admin'!$B$5,IF($B$2='Paramètres - Admin'!$B$6,TEXT((K13/24)/30,"# 0,00")&amp;" " &amp; 'Paramètres - Admin'!$B$6,IF(K13/24&gt;=1,INT(K13/24)&amp;" " &amp;  'Paramètres - Admin'!$D$4 &amp; " " &amp; HOUR(K13/24-INT(K13/24))&amp;" " &amp;  'Paramètres - Admin'!$D$3 &amp; " " &amp; MINUTE(K13/24-INT(K13/24))&amp;" " &amp;  'Paramètres - Admin'!$D$2,HOUR(K13/24-INT(K13/24))&amp;" " &amp;  'Paramètres - Admin'!$D$3 &amp; " " &amp; MINUTE(K13/24-INT(K13/24))&amp;" " &amp;  'Paramètres - Admin'!$D$2))))))</f>
        <v>0,57 jours</v>
      </c>
      <c r="M13" s="496" t="s">
        <v>31</v>
      </c>
      <c r="N13" s="102">
        <f>SUM(N7:N12)</f>
        <v>0</v>
      </c>
      <c r="O13" s="103">
        <f>SUM(O7:O12)</f>
        <v>0</v>
      </c>
      <c r="P13" s="104">
        <f>SUM(P7:P12)</f>
        <v>0</v>
      </c>
      <c r="Q13" s="332">
        <f>SUM(Q7:Q12)</f>
        <v>0</v>
      </c>
      <c r="R13" s="105" t="str">
        <f>IF($B$2='Paramètres - Admin'!$B$2,TEXT(Q13*60*60,"# 0")&amp;" " &amp; 'Paramètres - Admin'!$B$2,IF($B$2='Paramètres - Admin'!$B$3,TEXT(Q13*60,"# 0")&amp;" " &amp; 'Paramètres - Admin'!$B$3,IF($B$2='Paramètres - Admin'!$B$4,TEXT(Q13,"# 0,00")&amp;" " &amp; 'Paramètres - Admin'!$B$4,IF($B$2='Paramètres - Admin'!$B$5,TEXT(Q13/24,"# 0,00")&amp;" " &amp; 'Paramètres - Admin'!$B$5,IF($B$2='Paramètres - Admin'!$B$6,TEXT((Q13/24)/30,"# 0,00")&amp;" " &amp; 'Paramètres - Admin'!$B$6,IF(Q13/24&gt;=1,INT(Q13/24)&amp;" " &amp;  'Paramètres - Admin'!$D$4 &amp; " " &amp; HOUR(Q13/24-INT(Q13/24))&amp;" " &amp;  'Paramètres - Admin'!$D$3 &amp; " " &amp; MINUTE(Q13/24-INT(Q13/24))&amp;" " &amp;  'Paramètres - Admin'!$D$2,HOUR(Q13/24-INT(Q13/24))&amp;" " &amp;  'Paramètres - Admin'!$D$3 &amp; " " &amp; MINUTE(Q13/24-INT(Q13/24))&amp;" " &amp;  'Paramètres - Admin'!$D$2))))))</f>
        <v>0,00 jours</v>
      </c>
      <c r="S13" s="278" t="s">
        <v>31</v>
      </c>
      <c r="T13" s="413">
        <f>SUM(T7:T12)</f>
        <v>0</v>
      </c>
      <c r="U13" s="103">
        <f>SUM(U7:U12)</f>
        <v>0</v>
      </c>
      <c r="V13" s="126">
        <f>SUM(V7:V12)</f>
        <v>0</v>
      </c>
      <c r="W13" s="332">
        <f>SUM(W7:W12)</f>
        <v>0</v>
      </c>
      <c r="X13" s="105" t="str">
        <f>IF($B$2='Paramètres - Admin'!$B$2,TEXT(W13*60*60,"# 0")&amp;" " &amp; 'Paramètres - Admin'!$B$2,IF($B$2='Paramètres - Admin'!$B$3,TEXT(W13*60,"# 0")&amp;" " &amp; 'Paramètres - Admin'!$B$3,IF($B$2='Paramètres - Admin'!$B$4,TEXT(W13,"# 0,00")&amp;" " &amp; 'Paramètres - Admin'!$B$4,IF($B$2='Paramètres - Admin'!$B$5,TEXT(W13/24,"# 0,00")&amp;" " &amp; 'Paramètres - Admin'!$B$5,IF($B$2='Paramètres - Admin'!$B$6,TEXT((W13/24)/30,"# 0,00")&amp;" " &amp; 'Paramètres - Admin'!$B$6,IF(W13/24&gt;=1,INT(W13/24)&amp;" " &amp;  'Paramètres - Admin'!$D$4 &amp; " " &amp; HOUR(W13/24-INT(W13/24))&amp;" " &amp;  'Paramètres - Admin'!$D$3 &amp; " " &amp; MINUTE(W13/24-INT(W13/24))&amp;" " &amp;  'Paramètres - Admin'!$D$2,HOUR(W13/24-INT(W13/24))&amp;" " &amp;  'Paramètres - Admin'!$D$3 &amp; " " &amp; MINUTE(W13/24-INT(W13/24))&amp;" " &amp;  'Paramètres - Admin'!$D$2))))))</f>
        <v>0,00 jours</v>
      </c>
      <c r="Y13" s="719"/>
      <c r="Z13" s="719"/>
    </row>
    <row r="14" spans="1:29" s="132" customFormat="1" ht="15" customHeight="1" thickBot="1">
      <c r="Y14" s="719"/>
      <c r="Z14" s="719"/>
    </row>
    <row r="15" spans="1:29" s="132" customFormat="1" ht="19.5" thickBot="1">
      <c r="A15" s="1082" t="s">
        <v>179</v>
      </c>
      <c r="B15" s="1083"/>
      <c r="C15" s="1083"/>
      <c r="D15" s="1083"/>
      <c r="E15" s="1083"/>
      <c r="F15" s="1084"/>
      <c r="G15" s="1082" t="s">
        <v>240</v>
      </c>
      <c r="H15" s="1083"/>
      <c r="I15" s="1083"/>
      <c r="J15" s="1083"/>
      <c r="K15" s="1083"/>
      <c r="L15" s="1084"/>
      <c r="M15" s="1082" t="s">
        <v>226</v>
      </c>
      <c r="N15" s="1083"/>
      <c r="O15" s="1083"/>
      <c r="P15" s="1083"/>
      <c r="Q15" s="1083"/>
      <c r="R15" s="1084"/>
      <c r="S15" s="1082" t="s">
        <v>710</v>
      </c>
      <c r="T15" s="1083"/>
      <c r="U15" s="1083"/>
      <c r="V15" s="1083"/>
      <c r="W15" s="1083"/>
      <c r="X15" s="1084"/>
      <c r="Z15" s="719"/>
    </row>
    <row r="16" spans="1:29" s="132" customFormat="1" ht="15" customHeight="1" thickBot="1">
      <c r="A16" s="232" t="s">
        <v>231</v>
      </c>
      <c r="B16" s="278" t="s">
        <v>361</v>
      </c>
      <c r="C16" s="544" t="s">
        <v>70</v>
      </c>
      <c r="D16" s="544" t="s">
        <v>232</v>
      </c>
      <c r="E16" s="544" t="s">
        <v>233</v>
      </c>
      <c r="F16" s="545" t="s">
        <v>233</v>
      </c>
      <c r="G16" s="232" t="s">
        <v>235</v>
      </c>
      <c r="H16" s="278" t="s">
        <v>361</v>
      </c>
      <c r="I16" s="544" t="s">
        <v>70</v>
      </c>
      <c r="J16" s="544" t="s">
        <v>232</v>
      </c>
      <c r="K16" s="544" t="s">
        <v>233</v>
      </c>
      <c r="L16" s="280" t="s">
        <v>233</v>
      </c>
      <c r="M16" s="232" t="s">
        <v>234</v>
      </c>
      <c r="N16" s="278" t="s">
        <v>361</v>
      </c>
      <c r="O16" s="544" t="s">
        <v>70</v>
      </c>
      <c r="P16" s="544" t="s">
        <v>232</v>
      </c>
      <c r="Q16" s="544" t="s">
        <v>233</v>
      </c>
      <c r="R16" s="545" t="s">
        <v>233</v>
      </c>
      <c r="S16" s="232" t="s">
        <v>234</v>
      </c>
      <c r="T16" s="278" t="s">
        <v>361</v>
      </c>
      <c r="U16" s="544" t="s">
        <v>70</v>
      </c>
      <c r="V16" s="544" t="s">
        <v>232</v>
      </c>
      <c r="W16" s="544" t="s">
        <v>233</v>
      </c>
      <c r="X16" s="545" t="s">
        <v>233</v>
      </c>
      <c r="Z16" s="719"/>
    </row>
    <row r="17" spans="1:29" s="132" customFormat="1" ht="15" customHeight="1">
      <c r="A17" s="344" t="s">
        <v>206</v>
      </c>
      <c r="B17" s="83">
        <f>'À Faire - Détails'!H86</f>
        <v>25</v>
      </c>
      <c r="C17" s="84">
        <f>'À Faire - Détails'!I86</f>
        <v>50</v>
      </c>
      <c r="D17" s="611">
        <f>'À Faire - Détails'!H99</f>
        <v>26250</v>
      </c>
      <c r="E17" s="329">
        <f>'À Faire - Détails'!I99</f>
        <v>0</v>
      </c>
      <c r="F17" s="85" t="str">
        <f>IF($B$2='Paramètres - Admin'!$B$2,TEXT(E17*60*60,"# 0")&amp;" " &amp; 'Paramètres - Admin'!$B$2,IF($B$2='Paramètres - Admin'!$B$3,TEXT(E17*60,"# 0")&amp;" " &amp; 'Paramètres - Admin'!$B$3,IF($B$2='Paramètres - Admin'!$B$4,TEXT(E17,"# 0,00")&amp;" " &amp; 'Paramètres - Admin'!$B$4,IF($B$2='Paramètres - Admin'!$B$5,TEXT(E17/24,"# 0,00")&amp;" " &amp; 'Paramètres - Admin'!$B$5,IF($B$2='Paramètres - Admin'!$B$6,TEXT((E17/24)/30,"# 0,00")&amp;" " &amp; 'Paramètres - Admin'!$B$6,IF(E17/24&gt;=1,INT(E17/24)&amp;" " &amp;  'Paramètres - Admin'!$D$4 &amp; " " &amp; HOUR(E17/24-INT(E17/24))&amp;" " &amp;  'Paramètres - Admin'!$D$3 &amp; " " &amp; MINUTE(E17/24-INT(E17/24))&amp;" " &amp;  'Paramètres - Admin'!$D$2,HOUR(E17/24-INT(E17/24))&amp;" " &amp;  'Paramètres - Admin'!$D$3 &amp; " " &amp; MINUTE(E17/24-INT(E17/24))&amp;" " &amp;  'Paramètres - Admin'!$D$2))))))</f>
        <v>0,00 jours</v>
      </c>
      <c r="G17" s="344" t="s">
        <v>195</v>
      </c>
      <c r="H17" s="83">
        <f>'À Faire - Détails'!H227</f>
        <v>0</v>
      </c>
      <c r="I17" s="84">
        <f>'À Faire - Détails'!I227</f>
        <v>0</v>
      </c>
      <c r="J17" s="395">
        <f>'À Faire - Détails'!H236</f>
        <v>0</v>
      </c>
      <c r="K17" s="329">
        <f>'À Faire - Détails'!I236</f>
        <v>0</v>
      </c>
      <c r="L17" s="576" t="str">
        <f>IF($B$2='Paramètres - Admin'!$B$2,TEXT(K17*60*60,"# 0")&amp;" " &amp; 'Paramètres - Admin'!$B$2,IF($B$2='Paramètres - Admin'!$B$3,TEXT(K17*60,"# 0")&amp;" " &amp; 'Paramètres - Admin'!$B$3,IF($B$2='Paramètres - Admin'!$B$4,TEXT(K17,"# 0,00")&amp;" " &amp; 'Paramètres - Admin'!$B$4,IF($B$2='Paramètres - Admin'!$B$5,TEXT(K17/24,"# 0,00")&amp;" " &amp; 'Paramètres - Admin'!$B$5,IF($B$2='Paramètres - Admin'!$B$6,TEXT((K17/24)/30,"# 0,00")&amp;" " &amp; 'Paramètres - Admin'!$B$6,IF(K17/24&gt;=1,INT(K17/24)&amp;" " &amp;  'Paramètres - Admin'!$D$4 &amp; " " &amp; HOUR(K17/24-INT(K17/24))&amp;" " &amp;  'Paramètres - Admin'!$D$3 &amp; " " &amp; MINUTE(K17/24-INT(K17/24))&amp;" " &amp;  'Paramètres - Admin'!$D$2,HOUR(K17/24-INT(K17/24))&amp;" " &amp;  'Paramètres - Admin'!$D$3 &amp; " " &amp; MINUTE(K17/24-INT(K17/24))&amp;" " &amp;  'Paramètres - Admin'!$D$2))))))</f>
        <v>0,00 jours</v>
      </c>
      <c r="M17" s="119" t="s">
        <v>190</v>
      </c>
      <c r="N17" s="120">
        <f>'À Faire - Détails'!H197</f>
        <v>0</v>
      </c>
      <c r="O17" s="84">
        <f>'À Faire - Détails'!I197</f>
        <v>0</v>
      </c>
      <c r="P17" s="395">
        <f>'À Faire - Détails'!H206</f>
        <v>0</v>
      </c>
      <c r="Q17" s="329">
        <f>'À Faire - Détails'!I206</f>
        <v>0</v>
      </c>
      <c r="R17" s="85" t="str">
        <f>IF($B$2='Paramètres - Admin'!$B$2,TEXT(Q17*60*60,"# 0")&amp;" " &amp; 'Paramètres - Admin'!$B$2,IF($B$2='Paramètres - Admin'!$B$3,TEXT(Q17*60,"# 0")&amp;" " &amp; 'Paramètres - Admin'!$B$3,IF($B$2='Paramètres - Admin'!$B$4,TEXT(Q17,"# 0,00")&amp;" " &amp; 'Paramètres - Admin'!$B$4,IF($B$2='Paramètres - Admin'!$B$5,TEXT(Q17/24,"# 0,00")&amp;" " &amp; 'Paramètres - Admin'!$B$5,IF($B$2='Paramètres - Admin'!$B$6,TEXT((Q17/24)/30,"# 0,00")&amp;" " &amp; 'Paramètres - Admin'!$B$6,IF(Q17/24&gt;=1,INT(Q17/24)&amp;" " &amp;  'Paramètres - Admin'!$D$4 &amp; " " &amp; HOUR(Q17/24-INT(Q17/24))&amp;" " &amp;  'Paramètres - Admin'!$D$3 &amp; " " &amp; MINUTE(Q17/24-INT(Q17/24))&amp;" " &amp;  'Paramètres - Admin'!$D$2,HOUR(Q17/24-INT(Q17/24))&amp;" " &amp;  'Paramètres - Admin'!$D$3 &amp; " " &amp; MINUTE(Q17/24-INT(Q17/24))&amp;" " &amp;  'Paramètres - Admin'!$D$2))))))</f>
        <v>0,00 jours</v>
      </c>
      <c r="S17" s="119" t="s">
        <v>707</v>
      </c>
      <c r="T17" s="120">
        <f>'À Faire - Détails'!H283</f>
        <v>0</v>
      </c>
      <c r="U17" s="84">
        <f>'À Faire - Détails'!I283</f>
        <v>0</v>
      </c>
      <c r="V17" s="124">
        <f>'À Faire - Détails'!H289</f>
        <v>0</v>
      </c>
      <c r="W17" s="329">
        <f>'À Faire - Détails'!I289</f>
        <v>0</v>
      </c>
      <c r="X17" s="85" t="str">
        <f>IF($B$2='Paramètres - Admin'!$B$2,TEXT(W17*60*60,"# 0")&amp;" " &amp; 'Paramètres - Admin'!$B$2,IF($B$2='Paramètres - Admin'!$B$3,TEXT(W17*60,"# 0")&amp;" " &amp; 'Paramètres - Admin'!$B$3,IF($B$2='Paramètres - Admin'!$B$4,TEXT(W17,"# 0,00")&amp;" " &amp; 'Paramètres - Admin'!$B$4,IF($B$2='Paramètres - Admin'!$B$5,TEXT(W17/24,"# 0,00")&amp;" " &amp; 'Paramètres - Admin'!$B$5,IF($B$2='Paramètres - Admin'!$B$6,TEXT((W17/24)/30,"# 0,00")&amp;" " &amp; 'Paramètres - Admin'!$B$6,IF(W17/24&gt;=1,INT(W17/24)&amp;" " &amp;  'Paramètres - Admin'!$D$4 &amp; " " &amp; HOUR(W17/24-INT(W17/24))&amp;" " &amp;  'Paramètres - Admin'!$D$3 &amp; " " &amp; MINUTE(W17/24-INT(W17/24))&amp;" " &amp;  'Paramètres - Admin'!$D$2,HOUR(W17/24-INT(W17/24))&amp;" " &amp;  'Paramètres - Admin'!$D$3 &amp; " " &amp; MINUTE(W17/24-INT(W17/24))&amp;" " &amp;  'Paramètres - Admin'!$D$2))))))</f>
        <v>0,00 jours</v>
      </c>
      <c r="Z17" s="719"/>
    </row>
    <row r="18" spans="1:29" s="132" customFormat="1" ht="15" customHeight="1">
      <c r="A18" s="87" t="s">
        <v>205</v>
      </c>
      <c r="B18" s="91">
        <f>'À Faire - Détails'!H101</f>
        <v>2</v>
      </c>
      <c r="C18" s="92">
        <f>'À Faire - Détails'!I101</f>
        <v>6</v>
      </c>
      <c r="D18" s="529">
        <f>'À Faire - Détails'!H116</f>
        <v>10500</v>
      </c>
      <c r="E18" s="330">
        <f>'À Faire - Détails'!I116</f>
        <v>2.0333333333333332</v>
      </c>
      <c r="F18" s="85" t="str">
        <f>IF($B$2='Paramètres - Admin'!$B$2,TEXT(E18*60*60,"# 0")&amp;" " &amp; 'Paramètres - Admin'!$B$2,IF($B$2='Paramètres - Admin'!$B$3,TEXT(E18*60,"# 0")&amp;" " &amp; 'Paramètres - Admin'!$B$3,IF($B$2='Paramètres - Admin'!$B$4,TEXT(E18,"# 0,00")&amp;" " &amp; 'Paramètres - Admin'!$B$4,IF($B$2='Paramètres - Admin'!$B$5,TEXT(E18/24,"# 0,00")&amp;" " &amp; 'Paramètres - Admin'!$B$5,IF($B$2='Paramètres - Admin'!$B$6,TEXT((E18/24)/30,"# 0,00")&amp;" " &amp; 'Paramètres - Admin'!$B$6,IF(E18/24&gt;=1,INT(E18/24)&amp;" " &amp;  'Paramètres - Admin'!$D$4 &amp; " " &amp; HOUR(E18/24-INT(E18/24))&amp;" " &amp;  'Paramètres - Admin'!$D$3 &amp; " " &amp; MINUTE(E18/24-INT(E18/24))&amp;" " &amp;  'Paramètres - Admin'!$D$2,HOUR(E18/24-INT(E18/24))&amp;" " &amp;  'Paramètres - Admin'!$D$3 &amp; " " &amp; MINUTE(E18/24-INT(E18/24))&amp;" " &amp;  'Paramètres - Admin'!$D$2))))))</f>
        <v>0,08 jours</v>
      </c>
      <c r="G18" s="87" t="s">
        <v>50</v>
      </c>
      <c r="H18" s="91">
        <f>'À Faire - Détails'!H238</f>
        <v>0</v>
      </c>
      <c r="I18" s="92">
        <f>'À Faire - Détails'!I238</f>
        <v>0</v>
      </c>
      <c r="J18" s="390">
        <f>'À Faire - Détails'!H247</f>
        <v>0</v>
      </c>
      <c r="K18" s="330">
        <f>'À Faire - Détails'!I247</f>
        <v>0</v>
      </c>
      <c r="L18" s="576" t="str">
        <f>IF($B$2='Paramètres - Admin'!$B$2,TEXT(K18*60*60,"# 0")&amp;" " &amp; 'Paramètres - Admin'!$B$2,IF($B$2='Paramètres - Admin'!$B$3,TEXT(K18*60,"# 0")&amp;" " &amp; 'Paramètres - Admin'!$B$3,IF($B$2='Paramètres - Admin'!$B$4,TEXT(K18,"# 0,00")&amp;" " &amp; 'Paramètres - Admin'!$B$4,IF($B$2='Paramètres - Admin'!$B$5,TEXT(K18/24,"# 0,00")&amp;" " &amp; 'Paramètres - Admin'!$B$5,IF($B$2='Paramètres - Admin'!$B$6,TEXT((K18/24)/30,"# 0,00")&amp;" " &amp; 'Paramètres - Admin'!$B$6,IF(K18/24&gt;=1,INT(K18/24)&amp;" " &amp;  'Paramètres - Admin'!$D$4 &amp; " " &amp; HOUR(K18/24-INT(K18/24))&amp;" " &amp;  'Paramètres - Admin'!$D$3 &amp; " " &amp; MINUTE(K18/24-INT(K18/24))&amp;" " &amp;  'Paramètres - Admin'!$D$2,HOUR(K18/24-INT(K18/24))&amp;" " &amp;  'Paramètres - Admin'!$D$3 &amp; " " &amp; MINUTE(K18/24-INT(K18/24))&amp;" " &amp;  'Paramètres - Admin'!$D$2))))))</f>
        <v>0,00 jours</v>
      </c>
      <c r="M18" s="122" t="s">
        <v>191</v>
      </c>
      <c r="N18" s="123">
        <f>'À Faire - Détails'!Q197</f>
        <v>0</v>
      </c>
      <c r="O18" s="92">
        <f>'À Faire - Détails'!R197</f>
        <v>0</v>
      </c>
      <c r="P18" s="390">
        <f>'À Faire - Détails'!Q205</f>
        <v>0</v>
      </c>
      <c r="Q18" s="330">
        <f>'À Faire - Détails'!R205</f>
        <v>0</v>
      </c>
      <c r="R18" s="85" t="str">
        <f>IF($B$2='Paramètres - Admin'!$B$2,TEXT(Q18*60*60,"# 0")&amp;" " &amp; 'Paramètres - Admin'!$B$2,IF($B$2='Paramètres - Admin'!$B$3,TEXT(Q18*60,"# 0")&amp;" " &amp; 'Paramètres - Admin'!$B$3,IF($B$2='Paramètres - Admin'!$B$4,TEXT(Q18,"# 0,00")&amp;" " &amp; 'Paramètres - Admin'!$B$4,IF($B$2='Paramètres - Admin'!$B$5,TEXT(Q18/24,"# 0,00")&amp;" " &amp; 'Paramètres - Admin'!$B$5,IF($B$2='Paramètres - Admin'!$B$6,TEXT((Q18/24)/30,"# 0,00")&amp;" " &amp; 'Paramètres - Admin'!$B$6,IF(Q18/24&gt;=1,INT(Q18/24)&amp;" " &amp;  'Paramètres - Admin'!$D$4 &amp; " " &amp; HOUR(Q18/24-INT(Q18/24))&amp;" " &amp;  'Paramètres - Admin'!$D$3 &amp; " " &amp; MINUTE(Q18/24-INT(Q18/24))&amp;" " &amp;  'Paramètres - Admin'!$D$2,HOUR(Q18/24-INT(Q18/24))&amp;" " &amp;  'Paramètres - Admin'!$D$3 &amp; " " &amp; MINUTE(Q18/24-INT(Q18/24))&amp;" " &amp;  'Paramètres - Admin'!$D$2))))))</f>
        <v>0,00 jours</v>
      </c>
      <c r="S18" s="122" t="s">
        <v>719</v>
      </c>
      <c r="T18" s="123">
        <f>'À Faire - Détails'!Q283</f>
        <v>0</v>
      </c>
      <c r="U18" s="92">
        <f>'À Faire - Détails'!R283</f>
        <v>0</v>
      </c>
      <c r="V18" s="124">
        <f>'À Faire - Détails'!Q289</f>
        <v>0</v>
      </c>
      <c r="W18" s="330">
        <f>'À Faire - Détails'!R289</f>
        <v>0</v>
      </c>
      <c r="X18" s="85" t="str">
        <f>IF($B$2='Paramètres - Admin'!$B$2,TEXT(W18*60*60,"# 0")&amp;" " &amp; 'Paramètres - Admin'!$B$2,IF($B$2='Paramètres - Admin'!$B$3,TEXT(W18*60,"# 0")&amp;" " &amp; 'Paramètres - Admin'!$B$3,IF($B$2='Paramètres - Admin'!$B$4,TEXT(W18,"# 0,00")&amp;" " &amp; 'Paramètres - Admin'!$B$4,IF($B$2='Paramètres - Admin'!$B$5,TEXT(W18/24,"# 0,00")&amp;" " &amp; 'Paramètres - Admin'!$B$5,IF($B$2='Paramètres - Admin'!$B$6,TEXT((W18/24)/30,"# 0,00")&amp;" " &amp; 'Paramètres - Admin'!$B$6,IF(W18/24&gt;=1,INT(W18/24)&amp;" " &amp;  'Paramètres - Admin'!$D$4 &amp; " " &amp; HOUR(W18/24-INT(W18/24))&amp;" " &amp;  'Paramètres - Admin'!$D$3 &amp; " " &amp; MINUTE(W18/24-INT(W18/24))&amp;" " &amp;  'Paramètres - Admin'!$D$2,HOUR(W18/24-INT(W18/24))&amp;" " &amp;  'Paramètres - Admin'!$D$3 &amp; " " &amp; MINUTE(W18/24-INT(W18/24))&amp;" " &amp;  'Paramètres - Admin'!$D$2))))))</f>
        <v>0,00 jours</v>
      </c>
    </row>
    <row r="19" spans="1:29" s="132" customFormat="1" ht="15" customHeight="1" thickBot="1">
      <c r="A19" s="87" t="s">
        <v>204</v>
      </c>
      <c r="B19" s="91">
        <f>'À Faire - Détails'!H118</f>
        <v>1</v>
      </c>
      <c r="C19" s="92">
        <f>'À Faire - Détails'!I118</f>
        <v>2</v>
      </c>
      <c r="D19" s="529">
        <f>'À Faire - Détails'!H133</f>
        <v>3000</v>
      </c>
      <c r="E19" s="330">
        <f>'À Faire - Détails'!I133</f>
        <v>0.75</v>
      </c>
      <c r="F19" s="85" t="str">
        <f>IF($B$2='Paramètres - Admin'!$B$2,TEXT(E19*60*60,"# 0")&amp;" " &amp; 'Paramètres - Admin'!$B$2,IF($B$2='Paramètres - Admin'!$B$3,TEXT(E19*60,"# 0")&amp;" " &amp; 'Paramètres - Admin'!$B$3,IF($B$2='Paramètres - Admin'!$B$4,TEXT(E19,"# 0,00")&amp;" " &amp; 'Paramètres - Admin'!$B$4,IF($B$2='Paramètres - Admin'!$B$5,TEXT(E19/24,"# 0,00")&amp;" " &amp; 'Paramètres - Admin'!$B$5,IF($B$2='Paramètres - Admin'!$B$6,TEXT((E19/24)/30,"# 0,00")&amp;" " &amp; 'Paramètres - Admin'!$B$6,IF(E19/24&gt;=1,INT(E19/24)&amp;" " &amp;  'Paramètres - Admin'!$D$4 &amp; " " &amp; HOUR(E19/24-INT(E19/24))&amp;" " &amp;  'Paramètres - Admin'!$D$3 &amp; " " &amp; MINUTE(E19/24-INT(E19/24))&amp;" " &amp;  'Paramètres - Admin'!$D$2,HOUR(E19/24-INT(E19/24))&amp;" " &amp;  'Paramètres - Admin'!$D$3 &amp; " " &amp; MINUTE(E19/24-INT(E19/24))&amp;" " &amp;  'Paramètres - Admin'!$D$2))))))</f>
        <v>0,03 jours</v>
      </c>
      <c r="G19" s="87" t="s">
        <v>189</v>
      </c>
      <c r="H19" s="91">
        <f>'À Faire - Détails'!H249</f>
        <v>0</v>
      </c>
      <c r="I19" s="92">
        <f>'À Faire - Détails'!I249</f>
        <v>0</v>
      </c>
      <c r="J19" s="390">
        <f>'À Faire - Détails'!H257</f>
        <v>0</v>
      </c>
      <c r="K19" s="330">
        <f>'À Faire - Détails'!I257</f>
        <v>0</v>
      </c>
      <c r="L19" s="576" t="str">
        <f>IF($B$2='Paramètres - Admin'!$B$2,TEXT(K19*60*60,"# 0")&amp;" " &amp; 'Paramètres - Admin'!$B$2,IF($B$2='Paramètres - Admin'!$B$3,TEXT(K19*60,"# 0")&amp;" " &amp; 'Paramètres - Admin'!$B$3,IF($B$2='Paramètres - Admin'!$B$4,TEXT(K19,"# 0,00")&amp;" " &amp; 'Paramètres - Admin'!$B$4,IF($B$2='Paramètres - Admin'!$B$5,TEXT(K19/24,"# 0,00")&amp;" " &amp; 'Paramètres - Admin'!$B$5,IF($B$2='Paramètres - Admin'!$B$6,TEXT((K19/24)/30,"# 0,00")&amp;" " &amp; 'Paramètres - Admin'!$B$6,IF(K19/24&gt;=1,INT(K19/24)&amp;" " &amp;  'Paramètres - Admin'!$D$4 &amp; " " &amp; HOUR(K19/24-INT(K19/24))&amp;" " &amp;  'Paramètres - Admin'!$D$3 &amp; " " &amp; MINUTE(K19/24-INT(K19/24))&amp;" " &amp;  'Paramètres - Admin'!$D$2,HOUR(K19/24-INT(K19/24))&amp;" " &amp;  'Paramètres - Admin'!$D$3 &amp; " " &amp; MINUTE(K19/24-INT(K19/24))&amp;" " &amp;  'Paramètres - Admin'!$D$2))))))</f>
        <v>0,00 jours</v>
      </c>
      <c r="M19" s="122" t="s">
        <v>192</v>
      </c>
      <c r="N19" s="123">
        <f>'À Faire - Détails'!H208</f>
        <v>0</v>
      </c>
      <c r="O19" s="92">
        <f>'À Faire - Détails'!I208</f>
        <v>0</v>
      </c>
      <c r="P19" s="390">
        <f>'À Faire - Détails'!H215</f>
        <v>0</v>
      </c>
      <c r="Q19" s="330">
        <f>'À Faire - Détails'!I215</f>
        <v>0</v>
      </c>
      <c r="R19" s="85" t="str">
        <f>IF($B$2='Paramètres - Admin'!$B$2,TEXT(Q19*60*60,"# 0")&amp;" " &amp; 'Paramètres - Admin'!$B$2,IF($B$2='Paramètres - Admin'!$B$3,TEXT(Q19*60,"# 0")&amp;" " &amp; 'Paramètres - Admin'!$B$3,IF($B$2='Paramètres - Admin'!$B$4,TEXT(Q19,"# 0,00")&amp;" " &amp; 'Paramètres - Admin'!$B$4,IF($B$2='Paramètres - Admin'!$B$5,TEXT(Q19/24,"# 0,00")&amp;" " &amp; 'Paramètres - Admin'!$B$5,IF($B$2='Paramètres - Admin'!$B$6,TEXT((Q19/24)/30,"# 0,00")&amp;" " &amp; 'Paramètres - Admin'!$B$6,IF(Q19/24&gt;=1,INT(Q19/24)&amp;" " &amp;  'Paramètres - Admin'!$D$4 &amp; " " &amp; HOUR(Q19/24-INT(Q19/24))&amp;" " &amp;  'Paramètres - Admin'!$D$3 &amp; " " &amp; MINUTE(Q19/24-INT(Q19/24))&amp;" " &amp;  'Paramètres - Admin'!$D$2,HOUR(Q19/24-INT(Q19/24))&amp;" " &amp;  'Paramètres - Admin'!$D$3 &amp; " " &amp; MINUTE(Q19/24-INT(Q19/24))&amp;" " &amp;  'Paramètres - Admin'!$D$2))))))</f>
        <v>0,00 jours</v>
      </c>
      <c r="S19" s="122" t="s">
        <v>708</v>
      </c>
      <c r="T19" s="123">
        <f>'À Faire - Détails'!H291</f>
        <v>0</v>
      </c>
      <c r="U19" s="92">
        <f>'À Faire - Détails'!I291</f>
        <v>0</v>
      </c>
      <c r="V19" s="125">
        <f>'À Faire - Détails'!H297</f>
        <v>0</v>
      </c>
      <c r="W19" s="330">
        <f>'À Faire - Détails'!I297</f>
        <v>0</v>
      </c>
      <c r="X19" s="85" t="str">
        <f>IF($B$2='Paramètres - Admin'!$B$2,TEXT(W19*60*60,"# 0")&amp;" " &amp; 'Paramètres - Admin'!$B$2,IF($B$2='Paramètres - Admin'!$B$3,TEXT(W19*60,"# 0")&amp;" " &amp; 'Paramètres - Admin'!$B$3,IF($B$2='Paramètres - Admin'!$B$4,TEXT(W19,"# 0,00")&amp;" " &amp; 'Paramètres - Admin'!$B$4,IF($B$2='Paramètres - Admin'!$B$5,TEXT(W19/24,"# 0,00")&amp;" " &amp; 'Paramètres - Admin'!$B$5,IF($B$2='Paramètres - Admin'!$B$6,TEXT((W19/24)/30,"# 0,00")&amp;" " &amp; 'Paramètres - Admin'!$B$6,IF(W19/24&gt;=1,INT(W19/24)&amp;" " &amp;  'Paramètres - Admin'!$D$4 &amp; " " &amp; HOUR(W19/24-INT(W19/24))&amp;" " &amp;  'Paramètres - Admin'!$D$3 &amp; " " &amp; MINUTE(W19/24-INT(W19/24))&amp;" " &amp;  'Paramètres - Admin'!$D$2,HOUR(W19/24-INT(W19/24))&amp;" " &amp;  'Paramètres - Admin'!$D$3 &amp; " " &amp; MINUTE(W19/24-INT(W19/24))&amp;" " &amp;  'Paramètres - Admin'!$D$2))))))</f>
        <v>0,00 jours</v>
      </c>
    </row>
    <row r="20" spans="1:29" s="132" customFormat="1" ht="15" customHeight="1" thickBot="1">
      <c r="A20" s="87" t="s">
        <v>203</v>
      </c>
      <c r="B20" s="91">
        <f>'À Faire - Détails'!H135</f>
        <v>0</v>
      </c>
      <c r="C20" s="92">
        <f>'À Faire - Détails'!I135</f>
        <v>0</v>
      </c>
      <c r="D20" s="529">
        <f>'À Faire - Détails'!H145</f>
        <v>0</v>
      </c>
      <c r="E20" s="330">
        <f>'À Faire - Détails'!I145</f>
        <v>0</v>
      </c>
      <c r="F20" s="85" t="str">
        <f>IF($B$2='Paramètres - Admin'!$B$2,TEXT(E20*60*60,"# 0")&amp;" " &amp; 'Paramètres - Admin'!$B$2,IF($B$2='Paramètres - Admin'!$B$3,TEXT(E20*60,"# 0")&amp;" " &amp; 'Paramètres - Admin'!$B$3,IF($B$2='Paramètres - Admin'!$B$4,TEXT(E20,"# 0,00")&amp;" " &amp; 'Paramètres - Admin'!$B$4,IF($B$2='Paramètres - Admin'!$B$5,TEXT(E20/24,"# 0,00")&amp;" " &amp; 'Paramètres - Admin'!$B$5,IF($B$2='Paramètres - Admin'!$B$6,TEXT((E20/24)/30,"# 0,00")&amp;" " &amp; 'Paramètres - Admin'!$B$6,IF(E20/24&gt;=1,INT(E20/24)&amp;" " &amp;  'Paramètres - Admin'!$D$4 &amp; " " &amp; HOUR(E20/24-INT(E20/24))&amp;" " &amp;  'Paramètres - Admin'!$D$3 &amp; " " &amp; MINUTE(E20/24-INT(E20/24))&amp;" " &amp;  'Paramètres - Admin'!$D$2,HOUR(E20/24-INT(E20/24))&amp;" " &amp;  'Paramètres - Admin'!$D$3 &amp; " " &amp; MINUTE(E20/24-INT(E20/24))&amp;" " &amp;  'Paramètres - Admin'!$D$2))))))</f>
        <v>0,00 jours</v>
      </c>
      <c r="G20" s="87" t="s">
        <v>188</v>
      </c>
      <c r="H20" s="91">
        <f>'À Faire - Détails'!H259</f>
        <v>0</v>
      </c>
      <c r="I20" s="92">
        <f>'À Faire - Détails'!I259</f>
        <v>0</v>
      </c>
      <c r="J20" s="390">
        <f>'À Faire - Détails'!H268</f>
        <v>0</v>
      </c>
      <c r="K20" s="330">
        <f>'À Faire - Détails'!I268</f>
        <v>0</v>
      </c>
      <c r="L20" s="576" t="str">
        <f>IF($B$2='Paramètres - Admin'!$B$2,TEXT(K20*60*60,"# 0")&amp;" " &amp; 'Paramètres - Admin'!$B$2,IF($B$2='Paramètres - Admin'!$B$3,TEXT(K20*60,"# 0")&amp;" " &amp; 'Paramètres - Admin'!$B$3,IF($B$2='Paramètres - Admin'!$B$4,TEXT(K20,"# 0,00")&amp;" " &amp; 'Paramètres - Admin'!$B$4,IF($B$2='Paramètres - Admin'!$B$5,TEXT(K20/24,"# 0,00")&amp;" " &amp; 'Paramètres - Admin'!$B$5,IF($B$2='Paramètres - Admin'!$B$6,TEXT((K20/24)/30,"# 0,00")&amp;" " &amp; 'Paramètres - Admin'!$B$6,IF(K20/24&gt;=1,INT(K20/24)&amp;" " &amp;  'Paramètres - Admin'!$D$4 &amp; " " &amp; HOUR(K20/24-INT(K20/24))&amp;" " &amp;  'Paramètres - Admin'!$D$3 &amp; " " &amp; MINUTE(K20/24-INT(K20/24))&amp;" " &amp;  'Paramètres - Admin'!$D$2,HOUR(K20/24-INT(K20/24))&amp;" " &amp;  'Paramètres - Admin'!$D$3 &amp; " " &amp; MINUTE(K20/24-INT(K20/24))&amp;" " &amp;  'Paramètres - Admin'!$D$2))))))</f>
        <v>0,00 jours</v>
      </c>
      <c r="M20" s="122" t="s">
        <v>193</v>
      </c>
      <c r="N20" s="123">
        <f>'À Faire - Détails'!H217</f>
        <v>0</v>
      </c>
      <c r="O20" s="92">
        <f>'À Faire - Détails'!I217</f>
        <v>0</v>
      </c>
      <c r="P20" s="390">
        <f>'À Faire - Détails'!H222</f>
        <v>0</v>
      </c>
      <c r="Q20" s="330">
        <f>'À Faire - Détails'!I222</f>
        <v>0</v>
      </c>
      <c r="R20" s="85" t="str">
        <f>IF($B$2='Paramètres - Admin'!$B$2,TEXT(Q20*60*60,"# 0")&amp;" " &amp; 'Paramètres - Admin'!$B$2,IF($B$2='Paramètres - Admin'!$B$3,TEXT(Q20*60,"# 0")&amp;" " &amp; 'Paramètres - Admin'!$B$3,IF($B$2='Paramètres - Admin'!$B$4,TEXT(Q20,"# 0,00")&amp;" " &amp; 'Paramètres - Admin'!$B$4,IF($B$2='Paramètres - Admin'!$B$5,TEXT(Q20/24,"# 0,00")&amp;" " &amp; 'Paramètres - Admin'!$B$5,IF($B$2='Paramètres - Admin'!$B$6,TEXT((Q20/24)/30,"# 0,00")&amp;" " &amp; 'Paramètres - Admin'!$B$6,IF(Q20/24&gt;=1,INT(Q20/24)&amp;" " &amp;  'Paramètres - Admin'!$D$4 &amp; " " &amp; HOUR(Q20/24-INT(Q20/24))&amp;" " &amp;  'Paramètres - Admin'!$D$3 &amp; " " &amp; MINUTE(Q20/24-INT(Q20/24))&amp;" " &amp;  'Paramètres - Admin'!$D$2,HOUR(Q20/24-INT(Q20/24))&amp;" " &amp;  'Paramètres - Admin'!$D$3 &amp; " " &amp; MINUTE(Q20/24-INT(Q20/24))&amp;" " &amp;  'Paramètres - Admin'!$D$2))))))</f>
        <v>0,00 jours</v>
      </c>
      <c r="S20" s="232" t="s">
        <v>31</v>
      </c>
      <c r="T20" s="127">
        <f>SUM(T17:T19)</f>
        <v>0</v>
      </c>
      <c r="U20" s="103">
        <f>SUM(U17:U19)</f>
        <v>0</v>
      </c>
      <c r="V20" s="126">
        <f>SUM(V17:V19)</f>
        <v>0</v>
      </c>
      <c r="W20" s="332">
        <f>SUM(W17:W19)</f>
        <v>0</v>
      </c>
      <c r="X20" s="105" t="str">
        <f>IF($B$2='Paramètres - Admin'!$B$2,TEXT(W20*60*60,"# 0")&amp;" " &amp; 'Paramètres - Admin'!$B$2,IF($B$2='Paramètres - Admin'!$B$3,TEXT(W20*60,"# 0")&amp;" " &amp; 'Paramètres - Admin'!$B$3,IF($B$2='Paramètres - Admin'!$B$4,TEXT(W20,"# 0,00")&amp;" " &amp; 'Paramètres - Admin'!$B$4,IF($B$2='Paramètres - Admin'!$B$5,TEXT(W20/24,"# 0,00")&amp;" " &amp; 'Paramètres - Admin'!$B$5,IF($B$2='Paramètres - Admin'!$B$6,TEXT((W20/24)/30,"# 0,00")&amp;" " &amp; 'Paramètres - Admin'!$B$6,IF(W20/24&gt;=1,INT(W20/24)&amp;" " &amp;  'Paramètres - Admin'!$D$4 &amp; " " &amp; HOUR(W20/24-INT(W20/24))&amp;" " &amp;  'Paramètres - Admin'!$D$3 &amp; " " &amp; MINUTE(W20/24-INT(W20/24))&amp;" " &amp;  'Paramètres - Admin'!$D$2,HOUR(W20/24-INT(W20/24))&amp;" " &amp;  'Paramètres - Admin'!$D$3 &amp; " " &amp; MINUTE(W20/24-INT(W20/24))&amp;" " &amp;  'Paramètres - Admin'!$D$2))))))</f>
        <v>0,00 jours</v>
      </c>
      <c r="Y20" s="719"/>
    </row>
    <row r="21" spans="1:29" s="132" customFormat="1" ht="19.5" customHeight="1" thickBot="1">
      <c r="A21" s="87" t="s">
        <v>202</v>
      </c>
      <c r="B21" s="91">
        <f>'À Faire - Détails'!Q86</f>
        <v>0</v>
      </c>
      <c r="C21" s="92">
        <f>'À Faire - Détails'!R86</f>
        <v>0</v>
      </c>
      <c r="D21" s="529">
        <f>'À Faire - Détails'!Q96</f>
        <v>0</v>
      </c>
      <c r="E21" s="330">
        <f>'À Faire - Détails'!R96</f>
        <v>0</v>
      </c>
      <c r="F21" s="85" t="str">
        <f>IF($B$2='Paramètres - Admin'!$B$2,TEXT(E21*60*60,"# 0")&amp;" " &amp; 'Paramètres - Admin'!$B$2,IF($B$2='Paramètres - Admin'!$B$3,TEXT(E21*60,"# 0")&amp;" " &amp; 'Paramètres - Admin'!$B$3,IF($B$2='Paramètres - Admin'!$B$4,TEXT(E21,"# 0,00")&amp;" " &amp; 'Paramètres - Admin'!$B$4,IF($B$2='Paramètres - Admin'!$B$5,TEXT(E21/24,"# 0,00")&amp;" " &amp; 'Paramètres - Admin'!$B$5,IF($B$2='Paramètres - Admin'!$B$6,TEXT((E21/24)/30,"# 0,00")&amp;" " &amp; 'Paramètres - Admin'!$B$6,IF(E21/24&gt;=1,INT(E21/24)&amp;" " &amp;  'Paramètres - Admin'!$D$4 &amp; " " &amp; HOUR(E21/24-INT(E21/24))&amp;" " &amp;  'Paramètres - Admin'!$D$3 &amp; " " &amp; MINUTE(E21/24-INT(E21/24))&amp;" " &amp;  'Paramètres - Admin'!$D$2,HOUR(E21/24-INT(E21/24))&amp;" " &amp;  'Paramètres - Admin'!$D$3 &amp; " " &amp; MINUTE(E21/24-INT(E21/24))&amp;" " &amp;  'Paramètres - Admin'!$D$2))))))</f>
        <v>0,00 jours</v>
      </c>
      <c r="G21" s="87" t="s">
        <v>187</v>
      </c>
      <c r="H21" s="91">
        <f>'À Faire - Détails'!H270</f>
        <v>0</v>
      </c>
      <c r="I21" s="92">
        <f>'À Faire - Détails'!I270</f>
        <v>0</v>
      </c>
      <c r="J21" s="390">
        <f>'À Faire - Détails'!H278</f>
        <v>0</v>
      </c>
      <c r="K21" s="330">
        <f>'À Faire - Détails'!I278</f>
        <v>0</v>
      </c>
      <c r="L21" s="576" t="str">
        <f>IF($B$2='Paramètres - Admin'!$B$2,TEXT(K21*60*60,"# 0")&amp;" " &amp; 'Paramètres - Admin'!$B$2,IF($B$2='Paramètres - Admin'!$B$3,TEXT(K21*60,"# 0")&amp;" " &amp; 'Paramètres - Admin'!$B$3,IF($B$2='Paramètres - Admin'!$B$4,TEXT(K21,"# 0,00")&amp;" " &amp; 'Paramètres - Admin'!$B$4,IF($B$2='Paramètres - Admin'!$B$5,TEXT(K21/24,"# 0,00")&amp;" " &amp; 'Paramètres - Admin'!$B$5,IF($B$2='Paramètres - Admin'!$B$6,TEXT((K21/24)/30,"# 0,00")&amp;" " &amp; 'Paramètres - Admin'!$B$6,IF(K21/24&gt;=1,INT(K21/24)&amp;" " &amp;  'Paramètres - Admin'!$D$4 &amp; " " &amp; HOUR(K21/24-INT(K21/24))&amp;" " &amp;  'Paramètres - Admin'!$D$3 &amp; " " &amp; MINUTE(K21/24-INT(K21/24))&amp;" " &amp;  'Paramètres - Admin'!$D$2,HOUR(K21/24-INT(K21/24))&amp;" " &amp;  'Paramètres - Admin'!$D$3 &amp; " " &amp; MINUTE(K21/24-INT(K21/24))&amp;" " &amp;  'Paramètres - Admin'!$D$2))))))</f>
        <v>0,00 jours</v>
      </c>
      <c r="M21" s="158" t="s">
        <v>194</v>
      </c>
      <c r="N21" s="159">
        <f>'À Faire - Détails'!Q207</f>
        <v>0</v>
      </c>
      <c r="O21" s="111">
        <f>'À Faire - Détails'!R207</f>
        <v>0</v>
      </c>
      <c r="P21" s="396">
        <f>'À Faire - Détails'!Q214</f>
        <v>0</v>
      </c>
      <c r="Q21" s="331">
        <f>'À Faire - Détails'!R214</f>
        <v>0</v>
      </c>
      <c r="R21" s="157" t="str">
        <f>IF($B$2='Paramètres - Admin'!$B$2,TEXT(Q21*60*60,"# 0")&amp;" " &amp; 'Paramètres - Admin'!$B$2,IF($B$2='Paramètres - Admin'!$B$3,TEXT(Q21*60,"# 0")&amp;" " &amp; 'Paramètres - Admin'!$B$3,IF($B$2='Paramètres - Admin'!$B$4,TEXT(Q21,"# 0,00")&amp;" " &amp; 'Paramètres - Admin'!$B$4,IF($B$2='Paramètres - Admin'!$B$5,TEXT(Q21/24,"# 0,00")&amp;" " &amp; 'Paramètres - Admin'!$B$5,IF($B$2='Paramètres - Admin'!$B$6,TEXT((Q21/24)/30,"# 0,00")&amp;" " &amp; 'Paramètres - Admin'!$B$6,IF(Q21/24&gt;=1,INT(Q21/24)&amp;" " &amp;  'Paramètres - Admin'!$D$4 &amp; " " &amp; HOUR(Q21/24-INT(Q21/24))&amp;" " &amp;  'Paramètres - Admin'!$D$3 &amp; " " &amp; MINUTE(Q21/24-INT(Q21/24))&amp;" " &amp;  'Paramètres - Admin'!$D$2,HOUR(Q21/24-INT(Q21/24))&amp;" " &amp;  'Paramètres - Admin'!$D$3 &amp; " " &amp; MINUTE(Q21/24-INT(Q21/24))&amp;" " &amp;  'Paramètres - Admin'!$D$2))))))</f>
        <v>0,00 jours</v>
      </c>
      <c r="Y21" s="719"/>
    </row>
    <row r="22" spans="1:29" s="132" customFormat="1" ht="15" customHeight="1" thickBot="1">
      <c r="A22" s="87" t="s">
        <v>454</v>
      </c>
      <c r="B22" s="91">
        <f>'À Faire - Détails'!Q98</f>
        <v>0</v>
      </c>
      <c r="C22" s="92">
        <f>'À Faire - Détails'!R98</f>
        <v>0</v>
      </c>
      <c r="D22" s="529">
        <f>'À Faire - Détails'!Q109</f>
        <v>0</v>
      </c>
      <c r="E22" s="330">
        <f>'À Faire - Détails'!R109</f>
        <v>0</v>
      </c>
      <c r="F22" s="85" t="str">
        <f>IF($B$2='Paramètres - Admin'!$B$2,TEXT(E22*60*60,"# 0")&amp;" " &amp; 'Paramètres - Admin'!$B$2,IF($B$2='Paramètres - Admin'!$B$3,TEXT(E22*60,"# 0")&amp;" " &amp; 'Paramètres - Admin'!$B$3,IF($B$2='Paramètres - Admin'!$B$4,TEXT(E22,"# 0,00")&amp;" " &amp; 'Paramètres - Admin'!$B$4,IF($B$2='Paramètres - Admin'!$B$5,TEXT(E22/24,"# 0,00")&amp;" " &amp; 'Paramètres - Admin'!$B$5,IF($B$2='Paramètres - Admin'!$B$6,TEXT((E22/24)/30,"# 0,00")&amp;" " &amp; 'Paramètres - Admin'!$B$6,IF(E22/24&gt;=1,INT(E22/24)&amp;" " &amp;  'Paramètres - Admin'!$D$4 &amp; " " &amp; HOUR(E22/24-INT(E22/24))&amp;" " &amp;  'Paramètres - Admin'!$D$3 &amp; " " &amp; MINUTE(E22/24-INT(E22/24))&amp;" " &amp;  'Paramètres - Admin'!$D$2,HOUR(E22/24-INT(E22/24))&amp;" " &amp;  'Paramètres - Admin'!$D$3 &amp; " " &amp; MINUTE(E22/24-INT(E22/24))&amp;" " &amp;  'Paramètres - Admin'!$D$2))))))</f>
        <v>0,00 jours</v>
      </c>
      <c r="G22" s="87" t="s">
        <v>186</v>
      </c>
      <c r="H22" s="91">
        <f>'À Faire - Détails'!Q227</f>
        <v>0</v>
      </c>
      <c r="I22" s="92">
        <f>'À Faire - Détails'!R227</f>
        <v>0</v>
      </c>
      <c r="J22" s="390">
        <f>'À Faire - Détails'!Q235</f>
        <v>0</v>
      </c>
      <c r="K22" s="330">
        <f>'À Faire - Détails'!R235</f>
        <v>0</v>
      </c>
      <c r="L22" s="576" t="str">
        <f>IF($B$2='Paramètres - Admin'!$B$2,TEXT(K22*60*60,"# 0")&amp;" " &amp; 'Paramètres - Admin'!$B$2,IF($B$2='Paramètres - Admin'!$B$3,TEXT(K22*60,"# 0")&amp;" " &amp; 'Paramètres - Admin'!$B$3,IF($B$2='Paramètres - Admin'!$B$4,TEXT(K22,"# 0,00")&amp;" " &amp; 'Paramètres - Admin'!$B$4,IF($B$2='Paramètres - Admin'!$B$5,TEXT(K22/24,"# 0,00")&amp;" " &amp; 'Paramètres - Admin'!$B$5,IF($B$2='Paramètres - Admin'!$B$6,TEXT((K22/24)/30,"# 0,00")&amp;" " &amp; 'Paramètres - Admin'!$B$6,IF(K22/24&gt;=1,INT(K22/24)&amp;" " &amp;  'Paramètres - Admin'!$D$4 &amp; " " &amp; HOUR(K22/24-INT(K22/24))&amp;" " &amp;  'Paramètres - Admin'!$D$3 &amp; " " &amp; MINUTE(K22/24-INT(K22/24))&amp;" " &amp;  'Paramètres - Admin'!$D$2,HOUR(K22/24-INT(K22/24))&amp;" " &amp;  'Paramètres - Admin'!$D$3 &amp; " " &amp; MINUTE(K22/24-INT(K22/24))&amp;" " &amp;  'Paramètres - Admin'!$D$2))))))</f>
        <v>0,00 jours</v>
      </c>
      <c r="M22" s="232" t="s">
        <v>31</v>
      </c>
      <c r="N22" s="127">
        <f>SUM(N17:N21)</f>
        <v>0</v>
      </c>
      <c r="O22" s="103">
        <f>SUM(O17:O21)</f>
        <v>0</v>
      </c>
      <c r="P22" s="398">
        <f>SUM(P17:P21)</f>
        <v>0</v>
      </c>
      <c r="Q22" s="332">
        <f>SUM(Q17:Q21)</f>
        <v>0</v>
      </c>
      <c r="R22" s="105" t="str">
        <f>IF($B$2='Paramètres - Admin'!$B$2,TEXT(Q22*60*60,"# 0")&amp;" " &amp; 'Paramètres - Admin'!$B$2,IF($B$2='Paramètres - Admin'!$B$3,TEXT(Q22*60,"# 0")&amp;" " &amp; 'Paramètres - Admin'!$B$3,IF($B$2='Paramètres - Admin'!$B$4,TEXT(Q22,"# 0,00")&amp;" " &amp; 'Paramètres - Admin'!$B$4,IF($B$2='Paramètres - Admin'!$B$5,TEXT(Q22/24,"# 0,00")&amp;" " &amp; 'Paramètres - Admin'!$B$5,IF($B$2='Paramètres - Admin'!$B$6,TEXT((Q22/24)/30,"# 0,00")&amp;" " &amp; 'Paramètres - Admin'!$B$6,IF(Q22/24&gt;=1,INT(Q22/24)&amp;" " &amp;  'Paramètres - Admin'!$D$4 &amp; " " &amp; HOUR(Q22/24-INT(Q22/24))&amp;" " &amp;  'Paramètres - Admin'!$D$3 &amp; " " &amp; MINUTE(Q22/24-INT(Q22/24))&amp;" " &amp;  'Paramètres - Admin'!$D$2,HOUR(Q22/24-INT(Q22/24))&amp;" " &amp;  'Paramètres - Admin'!$D$3 &amp; " " &amp; MINUTE(Q22/24-INT(Q22/24))&amp;" " &amp;  'Paramètres - Admin'!$D$2))))))</f>
        <v>0,00 jours</v>
      </c>
      <c r="S22" s="1082" t="s">
        <v>178</v>
      </c>
      <c r="T22" s="1083"/>
      <c r="U22" s="1083"/>
      <c r="V22" s="1083"/>
      <c r="W22" s="1083"/>
      <c r="X22" s="1084"/>
    </row>
    <row r="23" spans="1:29" s="132" customFormat="1" ht="15" customHeight="1" thickBot="1">
      <c r="A23" s="113" t="s">
        <v>643</v>
      </c>
      <c r="B23" s="530">
        <f>'À Faire - Détails'!Q138</f>
        <v>0</v>
      </c>
      <c r="C23" s="111" t="e">
        <f>'À Faire - Détails'!R138</f>
        <v>#REF!</v>
      </c>
      <c r="D23" s="98">
        <f>'À Faire - Détails'!Q146</f>
        <v>0</v>
      </c>
      <c r="E23" s="331">
        <f>'À Faire - Détails'!R146</f>
        <v>0</v>
      </c>
      <c r="F23" s="157" t="str">
        <f>IF($B$2='Paramètres - Admin'!$B$2,TEXT(E23*60*60,"# 0")&amp;" " &amp; 'Paramètres - Admin'!$B$2,IF($B$2='Paramètres - Admin'!$B$3,TEXT(E23*60,"# 0")&amp;" " &amp; 'Paramètres - Admin'!$B$3,IF($B$2='Paramètres - Admin'!$B$4,TEXT(E23,"# 0,00")&amp;" " &amp; 'Paramètres - Admin'!$B$4,IF($B$2='Paramètres - Admin'!$B$5,TEXT(E23/24,"# 0,00")&amp;" " &amp; 'Paramètres - Admin'!$B$5,IF($B$2='Paramètres - Admin'!$B$6,TEXT((E23/24)/30,"# 0,00")&amp;" " &amp; 'Paramètres - Admin'!$B$6,IF(E23/24&gt;=1,INT(E23/24)&amp;" " &amp;  'Paramètres - Admin'!$D$4 &amp; " " &amp; HOUR(E23/24-INT(E23/24))&amp;" " &amp;  'Paramètres - Admin'!$D$3 &amp; " " &amp; MINUTE(E23/24-INT(E23/24))&amp;" " &amp;  'Paramètres - Admin'!$D$2,HOUR(E23/24-INT(E23/24))&amp;" " &amp;  'Paramètres - Admin'!$D$3 &amp; " " &amp; MINUTE(E23/24-INT(E23/24))&amp;" " &amp;  'Paramètres - Admin'!$D$2))))))</f>
        <v>0,00 jours</v>
      </c>
      <c r="G23" s="90" t="s">
        <v>185</v>
      </c>
      <c r="H23" s="91">
        <f>'À Faire - Détails'!Q237</f>
        <v>0</v>
      </c>
      <c r="I23" s="92">
        <f>'À Faire - Détails'!R237</f>
        <v>0</v>
      </c>
      <c r="J23" s="390">
        <f>'À Faire - Détails'!Q245</f>
        <v>0</v>
      </c>
      <c r="K23" s="330">
        <f>'À Faire - Détails'!R245</f>
        <v>0</v>
      </c>
      <c r="L23" s="576" t="str">
        <f>IF($B$2='Paramètres - Admin'!$B$2,TEXT(K23*60*60,"# 0")&amp;" " &amp; 'Paramètres - Admin'!$B$2,IF($B$2='Paramètres - Admin'!$B$3,TEXT(K23*60,"# 0")&amp;" " &amp; 'Paramètres - Admin'!$B$3,IF($B$2='Paramètres - Admin'!$B$4,TEXT(K23,"# 0,00")&amp;" " &amp; 'Paramètres - Admin'!$B$4,IF($B$2='Paramètres - Admin'!$B$5,TEXT(K23/24,"# 0,00")&amp;" " &amp; 'Paramètres - Admin'!$B$5,IF($B$2='Paramètres - Admin'!$B$6,TEXT((K23/24)/30,"# 0,00")&amp;" " &amp; 'Paramètres - Admin'!$B$6,IF(K23/24&gt;=1,INT(K23/24)&amp;" " &amp;  'Paramètres - Admin'!$D$4 &amp; " " &amp; HOUR(K23/24-INT(K23/24))&amp;" " &amp;  'Paramètres - Admin'!$D$3 &amp; " " &amp; MINUTE(K23/24-INT(K23/24))&amp;" " &amp;  'Paramètres - Admin'!$D$2,HOUR(K23/24-INT(K23/24))&amp;" " &amp;  'Paramètres - Admin'!$D$3 &amp; " " &amp; MINUTE(K23/24-INT(K23/24))&amp;" " &amp;  'Paramètres - Admin'!$D$2))))))</f>
        <v>0,00 jours</v>
      </c>
      <c r="M23" s="1082" t="s">
        <v>180</v>
      </c>
      <c r="N23" s="1083"/>
      <c r="O23" s="1083"/>
      <c r="P23" s="1083"/>
      <c r="Q23" s="1083"/>
      <c r="R23" s="1084"/>
      <c r="S23" s="962" t="s">
        <v>178</v>
      </c>
      <c r="T23" s="229" t="s">
        <v>361</v>
      </c>
      <c r="U23" s="230" t="s">
        <v>70</v>
      </c>
      <c r="V23" s="230" t="s">
        <v>232</v>
      </c>
      <c r="W23" s="230" t="s">
        <v>233</v>
      </c>
      <c r="X23" s="231" t="s">
        <v>233</v>
      </c>
    </row>
    <row r="24" spans="1:29" s="132" customFormat="1" ht="15" customHeight="1" thickBot="1">
      <c r="A24" s="90" t="s">
        <v>201</v>
      </c>
      <c r="B24" s="91">
        <f>'À Faire - Détails'!Q111</f>
        <v>0</v>
      </c>
      <c r="C24" s="92">
        <f>'À Faire - Détails'!R111</f>
        <v>0</v>
      </c>
      <c r="D24" s="529">
        <f>'À Faire - Détails'!Q121</f>
        <v>0</v>
      </c>
      <c r="E24" s="330">
        <f>'À Faire - Détails'!R121</f>
        <v>0</v>
      </c>
      <c r="F24" s="85" t="str">
        <f>IF($B$2='Paramètres - Admin'!$B$2,TEXT(E24*60*60,"# 0")&amp;" " &amp; 'Paramètres - Admin'!$B$2,IF($B$2='Paramètres - Admin'!$B$3,TEXT(E24*60,"# 0")&amp;" " &amp; 'Paramètres - Admin'!$B$3,IF($B$2='Paramètres - Admin'!$B$4,TEXT(E24,"# 0,00")&amp;" " &amp; 'Paramètres - Admin'!$B$4,IF($B$2='Paramètres - Admin'!$B$5,TEXT(E24/24,"# 0,00")&amp;" " &amp; 'Paramètres - Admin'!$B$5,IF($B$2='Paramètres - Admin'!$B$6,TEXT((E24/24)/30,"# 0,00")&amp;" " &amp; 'Paramètres - Admin'!$B$6,IF(E24/24&gt;=1,INT(E24/24)&amp;" " &amp;  'Paramètres - Admin'!$D$4 &amp; " " &amp; HOUR(E24/24-INT(E24/24))&amp;" " &amp;  'Paramètres - Admin'!$D$3 &amp; " " &amp; MINUTE(E24/24-INT(E24/24))&amp;" " &amp;  'Paramètres - Admin'!$D$2,HOUR(E24/24-INT(E24/24))&amp;" " &amp;  'Paramètres - Admin'!$D$3 &amp; " " &amp; MINUTE(E24/24-INT(E24/24))&amp;" " &amp;  'Paramètres - Admin'!$D$2))))))</f>
        <v>0,00 jours</v>
      </c>
      <c r="G24" s="90" t="s">
        <v>184</v>
      </c>
      <c r="H24" s="91">
        <f>'À Faire - Détails'!Q247</f>
        <v>0</v>
      </c>
      <c r="I24" s="92">
        <f>'À Faire - Détails'!R247</f>
        <v>0</v>
      </c>
      <c r="J24" s="390">
        <f>'À Faire - Détails'!Q253</f>
        <v>0</v>
      </c>
      <c r="K24" s="330">
        <f>'À Faire - Détails'!R253</f>
        <v>0</v>
      </c>
      <c r="L24" s="85" t="str">
        <f>IF($B$2='Paramètres - Admin'!$B$2,TEXT(K24*60*60,"# 0")&amp;" " &amp; 'Paramètres - Admin'!$B$2,IF($B$2='Paramètres - Admin'!$B$3,TEXT(K24*60,"# 0")&amp;" " &amp; 'Paramètres - Admin'!$B$3,IF($B$2='Paramètres - Admin'!$B$4,TEXT(K24,"# 0,00")&amp;" " &amp; 'Paramètres - Admin'!$B$4,IF($B$2='Paramètres - Admin'!$B$5,TEXT(K24/24,"# 0,00")&amp;" " &amp; 'Paramètres - Admin'!$B$5,IF($B$2='Paramètres - Admin'!$B$6,TEXT((K24/24)/30,"# 0,00")&amp;" " &amp; 'Paramètres - Admin'!$B$6,IF(K24/24&gt;=1,INT(K24/24)&amp;" " &amp;  'Paramètres - Admin'!$D$4 &amp; " " &amp; HOUR(K24/24-INT(K24/24))&amp;" " &amp;  'Paramètres - Admin'!$D$3 &amp; " " &amp; MINUTE(K24/24-INT(K24/24))&amp;" " &amp;  'Paramètres - Admin'!$D$2,HOUR(K24/24-INT(K24/24))&amp;" " &amp;  'Paramètres - Admin'!$D$3 &amp; " " &amp; MINUTE(K24/24-INT(K24/24))&amp;" " &amp;  'Paramètres - Admin'!$D$2))))))</f>
        <v>0,00 jours</v>
      </c>
      <c r="M24" s="232" t="s">
        <v>231</v>
      </c>
      <c r="N24" s="278" t="s">
        <v>361</v>
      </c>
      <c r="O24" s="544" t="s">
        <v>70</v>
      </c>
      <c r="P24" s="544" t="s">
        <v>232</v>
      </c>
      <c r="Q24" s="544" t="s">
        <v>233</v>
      </c>
      <c r="R24" s="280" t="s">
        <v>233</v>
      </c>
      <c r="S24" s="973" t="s">
        <v>196</v>
      </c>
      <c r="T24" s="289">
        <f>'À Faire - Détails'!H331</f>
        <v>0</v>
      </c>
      <c r="U24" s="289">
        <f>'À Faire - Détails'!I331</f>
        <v>0</v>
      </c>
      <c r="V24" s="124">
        <f>'À Faire - Détails'!H373</f>
        <v>0</v>
      </c>
      <c r="W24" s="330">
        <f>'À Faire - Détails'!I373</f>
        <v>0</v>
      </c>
      <c r="X24" s="974" t="str">
        <f>IF($B$2='Paramètres - Admin'!$B$2,TEXT(W24*60*60,"# 0")&amp;" " &amp; 'Paramètres - Admin'!$B$2,IF($B$2='Paramètres - Admin'!$B$3,TEXT(W24*60,"# 0")&amp;" " &amp; 'Paramètres - Admin'!$B$3,IF($B$2='Paramètres - Admin'!$B$4,TEXT(W24,"# 0,00")&amp;" " &amp; 'Paramètres - Admin'!$B$4,IF($B$2='Paramètres - Admin'!$B$5,TEXT(W24/24,"# 0,00")&amp;" " &amp; 'Paramètres - Admin'!$B$5,IF($B$2='Paramètres - Admin'!$B$6,TEXT((W24/24)/30,"# 0,00")&amp;" " &amp; 'Paramètres - Admin'!$B$6,IF(W24/24&gt;=1,INT(W24/24)&amp;" " &amp;  'Paramètres - Admin'!$D$4 &amp; " " &amp; HOUR(W24/24-INT(W24/24))&amp;" " &amp;  'Paramètres - Admin'!$D$3 &amp; " " &amp; MINUTE(W24/24-INT(W24/24))&amp;" " &amp;  'Paramètres - Admin'!$D$2,HOUR(W24/24-INT(W24/24))&amp;" " &amp;  'Paramètres - Admin'!$D$3 &amp; " " &amp; MINUTE(W24/24-INT(W24/24))&amp;" " &amp;  'Paramètres - Admin'!$D$2))))))</f>
        <v>0,00 jours</v>
      </c>
    </row>
    <row r="25" spans="1:29" s="132" customFormat="1" ht="15" customHeight="1">
      <c r="A25" s="90" t="s">
        <v>200</v>
      </c>
      <c r="B25" s="91">
        <f>'À Faire - Détails'!Q123</f>
        <v>0</v>
      </c>
      <c r="C25" s="92">
        <f>'À Faire - Détails'!R123</f>
        <v>0</v>
      </c>
      <c r="D25" s="529">
        <f>'À Faire - Détails'!Q129</f>
        <v>0</v>
      </c>
      <c r="E25" s="330">
        <f>'À Faire - Détails'!R129</f>
        <v>0</v>
      </c>
      <c r="F25" s="85" t="str">
        <f>IF($B$2='Paramètres - Admin'!$B$2,TEXT(E25*60*60,"# 0")&amp;" " &amp; 'Paramètres - Admin'!$B$2,IF($B$2='Paramètres - Admin'!$B$3,TEXT(E25*60,"# 0")&amp;" " &amp; 'Paramètres - Admin'!$B$3,IF($B$2='Paramètres - Admin'!$B$4,TEXT(E25,"# 0,00")&amp;" " &amp; 'Paramètres - Admin'!$B$4,IF($B$2='Paramètres - Admin'!$B$5,TEXT(E25/24,"# 0,00")&amp;" " &amp; 'Paramètres - Admin'!$B$5,IF($B$2='Paramètres - Admin'!$B$6,TEXT((E25/24)/30,"# 0,00")&amp;" " &amp; 'Paramètres - Admin'!$B$6,IF(E25/24&gt;=1,INT(E25/24)&amp;" " &amp;  'Paramètres - Admin'!$D$4 &amp; " " &amp; HOUR(E25/24-INT(E25/24))&amp;" " &amp;  'Paramètres - Admin'!$D$3 &amp; " " &amp; MINUTE(E25/24-INT(E25/24))&amp;" " &amp;  'Paramètres - Admin'!$D$2,HOUR(E25/24-INT(E25/24))&amp;" " &amp;  'Paramètres - Admin'!$D$3 &amp; " " &amp; MINUTE(E25/24-INT(E25/24))&amp;" " &amp;  'Paramètres - Admin'!$D$2))))))</f>
        <v>0,00 jours</v>
      </c>
      <c r="G25" s="90" t="s">
        <v>57</v>
      </c>
      <c r="H25" s="91">
        <f>'À Faire - Détails'!Q255</f>
        <v>0</v>
      </c>
      <c r="I25" s="92">
        <f>'À Faire - Détails'!R255</f>
        <v>0</v>
      </c>
      <c r="J25" s="390">
        <f>'À Faire - Détails'!Q262</f>
        <v>0</v>
      </c>
      <c r="K25" s="330">
        <f>'À Faire - Détails'!R262</f>
        <v>0</v>
      </c>
      <c r="L25" s="85" t="str">
        <f>IF($B$2='Paramètres - Admin'!$B$2,TEXT(K25*60*60,"# 0")&amp;" " &amp; 'Paramètres - Admin'!$B$2,IF($B$2='Paramètres - Admin'!$B$3,TEXT(K25*60,"# 0")&amp;" " &amp; 'Paramètres - Admin'!$B$3,IF($B$2='Paramètres - Admin'!$B$4,TEXT(K25,"# 0,00")&amp;" " &amp; 'Paramètres - Admin'!$B$4,IF($B$2='Paramètres - Admin'!$B$5,TEXT(K25/24,"# 0,00")&amp;" " &amp; 'Paramètres - Admin'!$B$5,IF($B$2='Paramètres - Admin'!$B$6,TEXT((K25/24)/30,"# 0,00")&amp;" " &amp; 'Paramètres - Admin'!$B$6,IF(K25/24&gt;=1,INT(K25/24)&amp;" " &amp;  'Paramètres - Admin'!$D$4 &amp; " " &amp; HOUR(K25/24-INT(K25/24))&amp;" " &amp;  'Paramètres - Admin'!$D$3 &amp; " " &amp; MINUTE(K25/24-INT(K25/24))&amp;" " &amp;  'Paramètres - Admin'!$D$2,HOUR(K25/24-INT(K25/24))&amp;" " &amp;  'Paramètres - Admin'!$D$3 &amp; " " &amp; MINUTE(K25/24-INT(K25/24))&amp;" " &amp;  'Paramètres - Admin'!$D$2))))))</f>
        <v>0,00 jours</v>
      </c>
      <c r="M25" s="345" t="s">
        <v>198</v>
      </c>
      <c r="N25" s="83">
        <f>'À Faire - Détails'!H180</f>
        <v>0</v>
      </c>
      <c r="O25" s="286">
        <f>'À Faire - Détails'!I180</f>
        <v>0</v>
      </c>
      <c r="P25" s="541">
        <f>'À Faire - Détails'!H188</f>
        <v>0</v>
      </c>
      <c r="Q25" s="329">
        <f>'À Faire - Détails'!I188</f>
        <v>0</v>
      </c>
      <c r="R25" s="576" t="str">
        <f>IF($B$2='Paramètres - Admin'!$B$2,TEXT(Q25*60*60,"# 0")&amp;" " &amp; 'Paramètres - Admin'!$B$2,IF($B$2='Paramètres - Admin'!$B$3,TEXT(Q25*60,"# 0")&amp;" " &amp; 'Paramètres - Admin'!$B$3,IF($B$2='Paramètres - Admin'!$B$4,TEXT(Q25,"# 0,00")&amp;" " &amp; 'Paramètres - Admin'!$B$4,IF($B$2='Paramètres - Admin'!$B$5,TEXT(Q25/24,"# 0,00")&amp;" " &amp; 'Paramètres - Admin'!$B$5,IF($B$2='Paramètres - Admin'!$B$6,TEXT((Q25/24)/30,"# 0,00")&amp;" " &amp; 'Paramètres - Admin'!$B$6,IF(Q25/24&gt;=1,INT(Q25/24)&amp;" " &amp;  'Paramètres - Admin'!$D$4 &amp; " " &amp; HOUR(Q25/24-INT(Q25/24))&amp;" " &amp;  'Paramètres - Admin'!$D$3 &amp; " " &amp; MINUTE(Q25/24-INT(Q25/24))&amp;" " &amp;  'Paramètres - Admin'!$D$2,HOUR(Q25/24-INT(Q25/24))&amp;" " &amp;  'Paramètres - Admin'!$D$3 &amp; " " &amp; MINUTE(Q25/24-INT(Q25/24))&amp;" " &amp;  'Paramètres - Admin'!$D$2))))))</f>
        <v>0,00 jours</v>
      </c>
      <c r="S25" s="973" t="s">
        <v>182</v>
      </c>
      <c r="T25" s="289">
        <f>'À Faire - Détails'!Q331</f>
        <v>0</v>
      </c>
      <c r="U25" s="289">
        <f>'À Faire - Détails'!R331</f>
        <v>0</v>
      </c>
      <c r="V25" s="124">
        <f>'À Faire - Détails'!Q373</f>
        <v>0</v>
      </c>
      <c r="W25" s="330">
        <f>'À Faire - Détails'!R373</f>
        <v>0</v>
      </c>
      <c r="X25" s="974" t="str">
        <f>IF($B$2='Paramètres - Admin'!$B$2,TEXT(W25*60*60,"# 0")&amp;" " &amp; 'Paramètres - Admin'!$B$2,IF($B$2='Paramètres - Admin'!$B$3,TEXT(W25*60,"# 0")&amp;" " &amp; 'Paramètres - Admin'!$B$3,IF($B$2='Paramètres - Admin'!$B$4,TEXT(W25,"# 0,00")&amp;" " &amp; 'Paramètres - Admin'!$B$4,IF($B$2='Paramètres - Admin'!$B$5,TEXT(W25/24,"# 0,00")&amp;" " &amp; 'Paramètres - Admin'!$B$5,IF($B$2='Paramètres - Admin'!$B$6,TEXT((W25/24)/30,"# 0,00")&amp;" " &amp; 'Paramètres - Admin'!$B$6,IF(W25/24&gt;=1,INT(W25/24)&amp;" " &amp;  'Paramètres - Admin'!$D$4 &amp; " " &amp; HOUR(W25/24-INT(W25/24))&amp;" " &amp;  'Paramètres - Admin'!$D$3 &amp; " " &amp; MINUTE(W25/24-INT(W25/24))&amp;" " &amp;  'Paramètres - Admin'!$D$2,HOUR(W25/24-INT(W25/24))&amp;" " &amp;  'Paramètres - Admin'!$D$3 &amp; " " &amp; MINUTE(W25/24-INT(W25/24))&amp;" " &amp;  'Paramètres - Admin'!$D$2))))))</f>
        <v>0,00 jours</v>
      </c>
    </row>
    <row r="26" spans="1:29" s="132" customFormat="1" ht="15" customHeight="1" thickBot="1">
      <c r="A26" s="90" t="s">
        <v>199</v>
      </c>
      <c r="B26" s="91">
        <f>'À Faire - Détails'!Q131</f>
        <v>0</v>
      </c>
      <c r="C26" s="92">
        <f>'À Faire - Détails'!R131</f>
        <v>0</v>
      </c>
      <c r="D26" s="529">
        <f>'À Faire - Détails'!Q136</f>
        <v>0</v>
      </c>
      <c r="E26" s="330">
        <f>'À Faire - Détails'!R136</f>
        <v>0</v>
      </c>
      <c r="F26" s="85" t="str">
        <f>IF($B$2='Paramètres - Admin'!$B$2,TEXT(E26*60*60,"# 0")&amp;" " &amp; 'Paramètres - Admin'!$B$2,IF($B$2='Paramètres - Admin'!$B$3,TEXT(E26*60,"# 0")&amp;" " &amp; 'Paramètres - Admin'!$B$3,IF($B$2='Paramètres - Admin'!$B$4,TEXT(E26,"# 0,00")&amp;" " &amp; 'Paramètres - Admin'!$B$4,IF($B$2='Paramètres - Admin'!$B$5,TEXT(E26/24,"# 0,00")&amp;" " &amp; 'Paramètres - Admin'!$B$5,IF($B$2='Paramètres - Admin'!$B$6,TEXT((E26/24)/30,"# 0,00")&amp;" " &amp; 'Paramètres - Admin'!$B$6,IF(E26/24&gt;=1,INT(E26/24)&amp;" " &amp;  'Paramètres - Admin'!$D$4 &amp; " " &amp; HOUR(E26/24-INT(E26/24))&amp;" " &amp;  'Paramètres - Admin'!$D$3 &amp; " " &amp; MINUTE(E26/24-INT(E26/24))&amp;" " &amp;  'Paramètres - Admin'!$D$2,HOUR(E26/24-INT(E26/24))&amp;" " &amp;  'Paramètres - Admin'!$D$3 &amp; " " &amp; MINUTE(E26/24-INT(E26/24))&amp;" " &amp;  'Paramètres - Admin'!$D$2))))))</f>
        <v>0,00 jours</v>
      </c>
      <c r="G26" s="113" t="s">
        <v>58</v>
      </c>
      <c r="H26" s="530">
        <f>'À Faire - Détails'!Q264</f>
        <v>0</v>
      </c>
      <c r="I26" s="111">
        <f>'À Faire - Détails'!R264</f>
        <v>0</v>
      </c>
      <c r="J26" s="396">
        <f>'À Faire - Détails'!Q271</f>
        <v>0</v>
      </c>
      <c r="K26" s="331">
        <f>'À Faire - Détails'!R271</f>
        <v>0</v>
      </c>
      <c r="L26" s="157" t="str">
        <f>IF($B$2='Paramètres - Admin'!$B$2,TEXT(K26*60*60,"# 0")&amp;" " &amp; 'Paramètres - Admin'!$B$2,IF($B$2='Paramètres - Admin'!$B$3,TEXT(K26*60,"# 0")&amp;" " &amp; 'Paramètres - Admin'!$B$3,IF($B$2='Paramètres - Admin'!$B$4,TEXT(K26,"# 0,00")&amp;" " &amp; 'Paramètres - Admin'!$B$4,IF($B$2='Paramètres - Admin'!$B$5,TEXT(K26/24,"# 0,00")&amp;" " &amp; 'Paramètres - Admin'!$B$5,IF($B$2='Paramètres - Admin'!$B$6,TEXT((K26/24)/30,"# 0,00")&amp;" " &amp; 'Paramètres - Admin'!$B$6,IF(K26/24&gt;=1,INT(K26/24)&amp;" " &amp;  'Paramètres - Admin'!$D$4 &amp; " " &amp; HOUR(K26/24-INT(K26/24))&amp;" " &amp;  'Paramètres - Admin'!$D$3 &amp; " " &amp; MINUTE(K26/24-INT(K26/24))&amp;" " &amp;  'Paramètres - Admin'!$D$2,HOUR(K26/24-INT(K26/24))&amp;" " &amp;  'Paramètres - Admin'!$D$3 &amp; " " &amp; MINUTE(K26/24-INT(K26/24))&amp;" " &amp;  'Paramètres - Admin'!$D$2))))))</f>
        <v>0,00 jours</v>
      </c>
      <c r="M26" s="113" t="s">
        <v>197</v>
      </c>
      <c r="N26" s="530">
        <f>'À Faire - Détails'!Q180</f>
        <v>0</v>
      </c>
      <c r="O26" s="531">
        <f>'À Faire - Détails'!R180</f>
        <v>1</v>
      </c>
      <c r="P26" s="98">
        <f>'À Faire - Détails'!Q193</f>
        <v>4000</v>
      </c>
      <c r="Q26" s="331">
        <f>'À Faire - Détails'!R193</f>
        <v>3</v>
      </c>
      <c r="R26" s="970" t="str">
        <f>IF($B$2='Paramètres - Admin'!$B$2,TEXT(Q26*60*60,"# 0")&amp;" " &amp; 'Paramètres - Admin'!$B$2,IF($B$2='Paramètres - Admin'!$B$3,TEXT(Q26*60,"# 0")&amp;" " &amp; 'Paramètres - Admin'!$B$3,IF($B$2='Paramètres - Admin'!$B$4,TEXT(Q26,"# 0,00")&amp;" " &amp; 'Paramètres - Admin'!$B$4,IF($B$2='Paramètres - Admin'!$B$5,TEXT(Q26/24,"# 0,00")&amp;" " &amp; 'Paramètres - Admin'!$B$5,IF($B$2='Paramètres - Admin'!$B$6,TEXT((Q26/24)/30,"# 0,00")&amp;" " &amp; 'Paramètres - Admin'!$B$6,IF(Q26/24&gt;=1,INT(Q26/24)&amp;" " &amp;  'Paramètres - Admin'!$D$4 &amp; " " &amp; HOUR(Q26/24-INT(Q26/24))&amp;" " &amp;  'Paramètres - Admin'!$D$3 &amp; " " &amp; MINUTE(Q26/24-INT(Q26/24))&amp;" " &amp;  'Paramètres - Admin'!$D$2,HOUR(Q26/24-INT(Q26/24))&amp;" " &amp;  'Paramètres - Admin'!$D$3 &amp; " " &amp; MINUTE(Q26/24-INT(Q26/24))&amp;" " &amp;  'Paramètres - Admin'!$D$2))))))</f>
        <v>0,13 jours</v>
      </c>
      <c r="S26" s="973" t="s">
        <v>739</v>
      </c>
      <c r="T26" s="289">
        <f>'À Faire - Détails'!Z331</f>
        <v>0</v>
      </c>
      <c r="U26" s="289">
        <f>'À Faire - Détails'!AA331</f>
        <v>0</v>
      </c>
      <c r="V26" s="829">
        <f>'À Faire - Détails'!Z373</f>
        <v>0</v>
      </c>
      <c r="W26" s="330">
        <f>'À Faire - Détails'!AA373</f>
        <v>0</v>
      </c>
      <c r="X26" s="974" t="str">
        <f>IF($B$2='Paramètres - Admin'!$B$2,TEXT(W26*60*60,"# 0")&amp;" " &amp; 'Paramètres - Admin'!$B$2,IF($B$2='Paramètres - Admin'!$B$3,TEXT(W26*60,"# 0")&amp;" " &amp; 'Paramètres - Admin'!$B$3,IF($B$2='Paramètres - Admin'!$B$4,TEXT(W26,"# 0,00")&amp;" " &amp; 'Paramètres - Admin'!$B$4,IF($B$2='Paramètres - Admin'!$B$5,TEXT(W26/24,"# 0,00")&amp;" " &amp; 'Paramètres - Admin'!$B$5,IF($B$2='Paramètres - Admin'!$B$6,TEXT((W26/24)/30,"# 0,00")&amp;" " &amp; 'Paramètres - Admin'!$B$6,IF(W26/24&gt;=1,INT(W26/24)&amp;" " &amp;  'Paramètres - Admin'!$D$4 &amp; " " &amp; HOUR(W26/24-INT(W26/24))&amp;" " &amp;  'Paramètres - Admin'!$D$3 &amp; " " &amp; MINUTE(W26/24-INT(W26/24))&amp;" " &amp;  'Paramètres - Admin'!$D$2,HOUR(W26/24-INT(W26/24))&amp;" " &amp;  'Paramètres - Admin'!$D$3 &amp; " " &amp; MINUTE(W26/24-INT(W26/24))&amp;" " &amp;  'Paramètres - Admin'!$D$2))))))</f>
        <v>0,00 jours</v>
      </c>
    </row>
    <row r="27" spans="1:29" s="132" customFormat="1" ht="15" customHeight="1" thickBot="1">
      <c r="A27" s="90" t="s">
        <v>747</v>
      </c>
      <c r="B27" s="91">
        <f>'À Faire - Détails'!H147</f>
        <v>0</v>
      </c>
      <c r="C27" s="92">
        <f>'À Faire - Détails'!I147</f>
        <v>0</v>
      </c>
      <c r="D27" s="529">
        <f>'À Faire - Détails'!H151</f>
        <v>0</v>
      </c>
      <c r="E27" s="330">
        <f>'À Faire - Détails'!I151</f>
        <v>0</v>
      </c>
      <c r="F27" s="85" t="str">
        <f>IF($B$2='Paramètres - Admin'!$B$2,TEXT(E27*60*60,"# 0")&amp;" " &amp; 'Paramètres - Admin'!$B$2,IF($B$2='Paramètres - Admin'!$B$3,TEXT(E27*60,"# 0")&amp;" " &amp; 'Paramètres - Admin'!$B$3,IF($B$2='Paramètres - Admin'!$B$4,TEXT(E27,"# 0,00")&amp;" " &amp; 'Paramètres - Admin'!$B$4,IF($B$2='Paramètres - Admin'!$B$5,TEXT(E27/24,"# 0,00")&amp;" " &amp; 'Paramètres - Admin'!$B$5,IF($B$2='Paramètres - Admin'!$B$6,TEXT((E27/24)/30,"# 0,00")&amp;" " &amp; 'Paramètres - Admin'!$B$6,IF(E27/24&gt;=1,INT(E27/24)&amp;" " &amp;  'Paramètres - Admin'!$D$4 &amp; " " &amp; HOUR(E27/24-INT(E27/24))&amp;" " &amp;  'Paramètres - Admin'!$D$3 &amp; " " &amp; MINUTE(E27/24-INT(E27/24))&amp;" " &amp;  'Paramètres - Admin'!$D$2,HOUR(E27/24-INT(E27/24))&amp;" " &amp;  'Paramètres - Admin'!$D$3 &amp; " " &amp; MINUTE(E27/24-INT(E27/24))&amp;" " &amp;  'Paramètres - Admin'!$D$2))))))</f>
        <v>0,00 jours</v>
      </c>
      <c r="G27" s="496" t="s">
        <v>31</v>
      </c>
      <c r="H27" s="102">
        <f>SUM(H17:H26)</f>
        <v>0</v>
      </c>
      <c r="I27" s="103">
        <f>SUM(I17:I26)</f>
        <v>0</v>
      </c>
      <c r="J27" s="398">
        <f>SUM(J17:J26)</f>
        <v>0</v>
      </c>
      <c r="K27" s="332">
        <f>SUM(K17:K26)</f>
        <v>0</v>
      </c>
      <c r="L27" s="105" t="str">
        <f>IF($B$2='Paramètres - Admin'!$B$2,TEXT(K27*60*60,"# 0")&amp;" " &amp; 'Paramètres - Admin'!$B$2,IF($B$2='Paramètres - Admin'!$B$3,TEXT(K27*60,"# 0")&amp;" " &amp; 'Paramètres - Admin'!$B$3,IF($B$2='Paramètres - Admin'!$B$4,TEXT(K27,"# 0,00")&amp;" " &amp; 'Paramètres - Admin'!$B$4,IF($B$2='Paramètres - Admin'!$B$5,TEXT(K27/24,"# 0,00")&amp;" " &amp; 'Paramètres - Admin'!$B$5,IF($B$2='Paramètres - Admin'!$B$6,TEXT((K27/24)/30,"# 0,00")&amp;" " &amp; 'Paramètres - Admin'!$B$6,IF(K27/24&gt;=1,INT(K27/24)&amp;" " &amp;  'Paramètres - Admin'!$D$4 &amp; " " &amp; HOUR(K27/24-INT(K27/24))&amp;" " &amp;  'Paramètres - Admin'!$D$3 &amp; " " &amp; MINUTE(K27/24-INT(K27/24))&amp;" " &amp;  'Paramètres - Admin'!$D$2,HOUR(K27/24-INT(K27/24))&amp;" " &amp;  'Paramètres - Admin'!$D$3 &amp; " " &amp; MINUTE(K27/24-INT(K27/24))&amp;" " &amp;  'Paramètres - Admin'!$D$2))))))</f>
        <v>0,00 jours</v>
      </c>
      <c r="M27" s="496" t="s">
        <v>31</v>
      </c>
      <c r="N27" s="102">
        <f>SUM(N25:N26)</f>
        <v>0</v>
      </c>
      <c r="O27" s="103">
        <f>SUM(O25:O26)</f>
        <v>1</v>
      </c>
      <c r="P27" s="104">
        <f>SUM(P25:P26)</f>
        <v>4000</v>
      </c>
      <c r="Q27" s="332">
        <f>SUM(Q25:Q26)</f>
        <v>3</v>
      </c>
      <c r="R27" s="105" t="str">
        <f>IF($B$2='Paramètres - Admin'!$B$2,TEXT(Q27*60*60,"# 0")&amp;" " &amp; 'Paramètres - Admin'!$B$2,IF($B$2='Paramètres - Admin'!$B$3,TEXT(Q27*60,"# 0")&amp;" " &amp; 'Paramètres - Admin'!$B$3,IF($B$2='Paramètres - Admin'!$B$4,TEXT(Q27,"# 0,00")&amp;" " &amp; 'Paramètres - Admin'!$B$4,IF($B$2='Paramètres - Admin'!$B$5,TEXT(Q27/24,"# 0,00")&amp;" " &amp; 'Paramètres - Admin'!$B$5,IF($B$2='Paramètres - Admin'!$B$6,TEXT((Q27/24)/30,"# 0,00")&amp;" " &amp; 'Paramètres - Admin'!$B$6,IF(Q27/24&gt;=1,INT(Q27/24)&amp;" " &amp;  'Paramètres - Admin'!$D$4 &amp; " " &amp; HOUR(Q27/24-INT(Q27/24))&amp;" " &amp;  'Paramètres - Admin'!$D$3 &amp; " " &amp; MINUTE(Q27/24-INT(Q27/24))&amp;" " &amp;  'Paramètres - Admin'!$D$2,HOUR(Q27/24-INT(Q27/24))&amp;" " &amp;  'Paramètres - Admin'!$D$3 &amp; " " &amp; MINUTE(Q27/24-INT(Q27/24))&amp;" " &amp;  'Paramètres - Admin'!$D$2))))))</f>
        <v>0,13 jours</v>
      </c>
      <c r="S27" s="971" t="s">
        <v>31</v>
      </c>
      <c r="T27" s="972">
        <f>SUM(T24:T26)</f>
        <v>0</v>
      </c>
      <c r="U27" s="812">
        <f>SUM(U24:U26)</f>
        <v>0</v>
      </c>
      <c r="V27" s="228">
        <f>SUM(V24:V25)</f>
        <v>0</v>
      </c>
      <c r="W27" s="813">
        <f>SUM(W24:W26)</f>
        <v>0</v>
      </c>
      <c r="X27" s="814" t="str">
        <f>IF($B$2='Paramètres - Admin'!$B$2,TEXT(W27*60*60,"# 0")&amp;" " &amp; 'Paramètres - Admin'!$B$2,IF($B$2='Paramètres - Admin'!$B$3,TEXT(W27*60,"# 0")&amp;" " &amp; 'Paramètres - Admin'!$B$3,IF($B$2='Paramètres - Admin'!$B$4,TEXT(W27,"# 0,00")&amp;" " &amp; 'Paramètres - Admin'!$B$4,IF($B$2='Paramètres - Admin'!$B$5,TEXT(W27/24,"# 0,00")&amp;" " &amp; 'Paramètres - Admin'!$B$5,IF($B$2='Paramètres - Admin'!$B$6,TEXT((W27/24)/30,"# 0,00")&amp;" " &amp; 'Paramètres - Admin'!$B$6,IF(W27/24&gt;=1,INT(W27/24)&amp;" " &amp;  'Paramètres - Admin'!$D$4 &amp; " " &amp; HOUR(W27/24-INT(W27/24))&amp;" " &amp;  'Paramètres - Admin'!$D$3 &amp; " " &amp; MINUTE(W27/24-INT(W27/24))&amp;" " &amp;  'Paramètres - Admin'!$D$2,HOUR(W27/24-INT(W27/24))&amp;" " &amp;  'Paramètres - Admin'!$D$3 &amp; " " &amp; MINUTE(W27/24-INT(W27/24))&amp;" " &amp;  'Paramètres - Admin'!$D$2))))))</f>
        <v>0,00 jours</v>
      </c>
    </row>
    <row r="28" spans="1:29" s="132" customFormat="1" ht="15" customHeight="1" thickBot="1">
      <c r="A28" s="496" t="s">
        <v>31</v>
      </c>
      <c r="B28" s="102">
        <f>SUM(B17:B27)</f>
        <v>28</v>
      </c>
      <c r="C28" s="103" t="e">
        <f>SUM(C17:C27)</f>
        <v>#REF!</v>
      </c>
      <c r="D28" s="720">
        <f>SUM(D17:D27)</f>
        <v>39750</v>
      </c>
      <c r="E28" s="332">
        <f>SUM(E17:E27)</f>
        <v>2.7833333333333332</v>
      </c>
      <c r="F28" s="105" t="str">
        <f>IF($B$2='Paramètres - Admin'!$B$2,TEXT(E28*60*60,"# 0")&amp;" " &amp; 'Paramètres - Admin'!$B$2,IF($B$2='Paramètres - Admin'!$B$3,TEXT(E28*60,"# 0")&amp;" " &amp; 'Paramètres - Admin'!$B$3,IF($B$2='Paramètres - Admin'!$B$4,TEXT(E28,"# 0,00")&amp;" " &amp; 'Paramètres - Admin'!$B$4,IF($B$2='Paramètres - Admin'!$B$5,TEXT(E28/24,"# 0,00")&amp;" " &amp; 'Paramètres - Admin'!$B$5,IF($B$2='Paramètres - Admin'!$B$6,TEXT((E28/24)/30,"# 0,00")&amp;" " &amp; 'Paramètres - Admin'!$B$6,IF(E28/24&gt;=1,INT(E28/24)&amp;" " &amp;  'Paramètres - Admin'!$D$4 &amp; " " &amp; HOUR(E28/24-INT(E28/24))&amp;" " &amp;  'Paramètres - Admin'!$D$3 &amp; " " &amp; MINUTE(E28/24-INT(E28/24))&amp;" " &amp;  'Paramètres - Admin'!$D$2,HOUR(E28/24-INT(E28/24))&amp;" " &amp;  'Paramètres - Admin'!$D$3 &amp; " " &amp; MINUTE(E28/24-INT(E28/24))&amp;" " &amp;  'Paramètres - Admin'!$D$2))))))</f>
        <v>0,12 jours</v>
      </c>
      <c r="U28" s="135"/>
      <c r="V28" s="135"/>
      <c r="W28" s="135"/>
      <c r="X28" s="135"/>
    </row>
    <row r="29" spans="1:29" s="132" customFormat="1" ht="15" customHeight="1">
      <c r="U29" s="135"/>
      <c r="V29" s="135"/>
      <c r="W29" s="135"/>
      <c r="X29" s="135"/>
    </row>
    <row r="30" spans="1:29" s="132" customFormat="1" ht="15" customHeight="1">
      <c r="M30" s="135"/>
      <c r="N30" s="135"/>
      <c r="O30" s="1079"/>
      <c r="P30" s="1079"/>
      <c r="Q30" s="1079"/>
      <c r="R30" s="1079"/>
      <c r="S30" s="135"/>
      <c r="T30" s="135"/>
      <c r="U30" s="135"/>
      <c r="V30" s="135"/>
      <c r="W30" s="135"/>
      <c r="X30" s="135"/>
      <c r="Y30" s="719"/>
      <c r="Z30" s="719"/>
      <c r="AA30" s="719"/>
      <c r="AB30" s="719"/>
      <c r="AC30" s="719"/>
    </row>
    <row r="31" spans="1:29" s="132" customFormat="1" ht="15" customHeight="1">
      <c r="M31" s="135"/>
      <c r="O31" s="654"/>
      <c r="P31" s="654"/>
      <c r="Q31" s="654"/>
      <c r="R31" s="654"/>
      <c r="S31" s="135"/>
      <c r="T31" s="135"/>
      <c r="U31" s="135"/>
      <c r="V31" s="135"/>
      <c r="W31" s="135"/>
      <c r="X31" s="135"/>
      <c r="Y31" s="719"/>
      <c r="Z31" s="719"/>
      <c r="AA31" s="719"/>
      <c r="AB31" s="719"/>
      <c r="AC31" s="719"/>
    </row>
    <row r="32" spans="1:29" s="132" customFormat="1" ht="15" customHeight="1">
      <c r="M32" s="135"/>
      <c r="Y32" s="719"/>
      <c r="Z32" s="719"/>
      <c r="AA32" s="719"/>
      <c r="AB32" s="719"/>
      <c r="AC32" s="719"/>
    </row>
    <row r="33" spans="13:32" s="132" customFormat="1" ht="15" customHeight="1">
      <c r="M33" s="135"/>
      <c r="R33" s="135"/>
      <c r="S33" s="131"/>
      <c r="T33" s="131"/>
      <c r="U33" s="131"/>
      <c r="V33" s="131"/>
      <c r="W33" s="131"/>
      <c r="X33" s="131"/>
      <c r="Y33" s="719"/>
      <c r="Z33" s="719"/>
      <c r="AA33" s="719"/>
      <c r="AB33" s="719"/>
      <c r="AC33" s="719"/>
    </row>
    <row r="34" spans="13:32" s="132" customFormat="1" ht="15" customHeight="1">
      <c r="M34" s="135"/>
      <c r="N34" s="135"/>
      <c r="P34" s="135"/>
      <c r="Q34" s="135"/>
      <c r="R34" s="135"/>
      <c r="S34" s="131"/>
      <c r="T34" s="131"/>
      <c r="U34" s="131"/>
      <c r="V34" s="131"/>
      <c r="W34" s="131"/>
      <c r="X34" s="131"/>
      <c r="Y34" s="719"/>
      <c r="Z34" s="719"/>
      <c r="AA34" s="719"/>
      <c r="AB34" s="719"/>
      <c r="AC34" s="719"/>
    </row>
    <row r="41" spans="13:32" ht="15" customHeight="1">
      <c r="M41" s="138"/>
    </row>
    <row r="42" spans="13:32" ht="15" customHeight="1">
      <c r="M42" s="139"/>
      <c r="V42" s="137"/>
      <c r="W42" s="137"/>
      <c r="X42" s="137"/>
    </row>
    <row r="43" spans="13:32" ht="15" customHeight="1">
      <c r="M43" s="140"/>
      <c r="V43" s="137"/>
      <c r="W43" s="137"/>
      <c r="X43" s="137"/>
    </row>
    <row r="45" spans="13:32" ht="15" customHeight="1">
      <c r="M45" s="138"/>
    </row>
    <row r="47" spans="13:32" ht="15" customHeight="1">
      <c r="M47" s="138"/>
      <c r="Y47" s="715"/>
      <c r="Z47" s="715"/>
      <c r="AA47" s="715"/>
      <c r="AB47" s="715"/>
      <c r="AC47" s="715"/>
      <c r="AD47" s="137"/>
      <c r="AE47" s="137"/>
      <c r="AF47" s="137"/>
    </row>
    <row r="48" spans="13:32" ht="15" customHeight="1">
      <c r="M48" s="139"/>
      <c r="Y48" s="715"/>
      <c r="Z48" s="715"/>
      <c r="AA48" s="715"/>
      <c r="AB48" s="715"/>
      <c r="AC48" s="715"/>
      <c r="AD48" s="137"/>
      <c r="AE48" s="137"/>
      <c r="AF48" s="137"/>
    </row>
    <row r="49" spans="25:32" ht="15" customHeight="1">
      <c r="Y49" s="715"/>
      <c r="Z49" s="715"/>
      <c r="AA49" s="715"/>
      <c r="AB49" s="715"/>
      <c r="AC49" s="715"/>
      <c r="AD49" s="137"/>
      <c r="AE49" s="137"/>
      <c r="AF49" s="137"/>
    </row>
    <row r="50" spans="25:32" ht="15" customHeight="1">
      <c r="Y50" s="715"/>
      <c r="Z50" s="715"/>
      <c r="AA50" s="715"/>
      <c r="AB50" s="715"/>
      <c r="AC50" s="715"/>
      <c r="AD50" s="137"/>
      <c r="AE50" s="137"/>
      <c r="AF50" s="137"/>
    </row>
  </sheetData>
  <sheetProtection selectLockedCells="1"/>
  <mergeCells count="28">
    <mergeCell ref="S15:X15"/>
    <mergeCell ref="W2:X2"/>
    <mergeCell ref="T1:V1"/>
    <mergeCell ref="T2:V2"/>
    <mergeCell ref="Q1:S1"/>
    <mergeCell ref="Q2:S2"/>
    <mergeCell ref="S5:X5"/>
    <mergeCell ref="O30:R30"/>
    <mergeCell ref="O2:P2"/>
    <mergeCell ref="O1:P1"/>
    <mergeCell ref="G15:L15"/>
    <mergeCell ref="H1:J1"/>
    <mergeCell ref="H2:J2"/>
    <mergeCell ref="A3:X4"/>
    <mergeCell ref="S22:X22"/>
    <mergeCell ref="A5:F5"/>
    <mergeCell ref="G5:L5"/>
    <mergeCell ref="A15:F15"/>
    <mergeCell ref="M23:R23"/>
    <mergeCell ref="M2:N2"/>
    <mergeCell ref="M15:R15"/>
    <mergeCell ref="M5:R5"/>
    <mergeCell ref="W1:X1"/>
    <mergeCell ref="B2:C2"/>
    <mergeCell ref="B1:C1"/>
    <mergeCell ref="K1:L1"/>
    <mergeCell ref="K2:L2"/>
    <mergeCell ref="M1:N1"/>
  </mergeCells>
  <dataValidations count="2">
    <dataValidation type="list" allowBlank="1" showInputMessage="1" showErrorMessage="1" sqref="B2">
      <formula1>TimeDisplay</formula1>
    </dataValidation>
    <dataValidation type="list" showErrorMessage="1" sqref="D2:F2">
      <formula1>"Oui,Non"</formula1>
    </dataValidation>
  </dataValidations>
  <pageMargins left="0.70866141732283472" right="0.70866141732283472" top="0.74803149606299213" bottom="0.74803149606299213" header="0.31496062992125984" footer="0.31496062992125984"/>
  <pageSetup paperSize="9" scale="61" fitToHeight="5" orientation="landscape" r:id="rId1"/>
  <drawing r:id="rId2"/>
  <legacyDrawing r:id="rId3"/>
</worksheet>
</file>

<file path=xl/worksheets/sheet3.xml><?xml version="1.0" encoding="utf-8"?>
<worksheet xmlns="http://schemas.openxmlformats.org/spreadsheetml/2006/main" xmlns:r="http://schemas.openxmlformats.org/officeDocument/2006/relationships">
  <sheetPr codeName="Feuil1">
    <tabColor rgb="FF00B0F0"/>
    <pageSetUpPr fitToPage="1"/>
  </sheetPr>
  <dimension ref="A1:CF400"/>
  <sheetViews>
    <sheetView showGridLines="0" zoomScale="85" zoomScaleNormal="85" workbookViewId="0">
      <pane ySplit="2" topLeftCell="A129" activePane="bottomLeft" state="frozen"/>
      <selection activeCell="A3" sqref="A3:H6"/>
      <selection pane="bottomLeft" activeCell="I151" sqref="I151"/>
    </sheetView>
  </sheetViews>
  <sheetFormatPr baseColWidth="10" defaultColWidth="11.42578125" defaultRowHeight="15" customHeight="1"/>
  <cols>
    <col min="1" max="3" width="6.7109375" style="132" customWidth="1"/>
    <col min="4" max="4" width="5.28515625" style="132" bestFit="1" customWidth="1"/>
    <col min="5" max="5" width="6.7109375" style="132" bestFit="1" customWidth="1"/>
    <col min="6" max="6" width="7.5703125" style="132" bestFit="1" customWidth="1"/>
    <col min="7" max="7" width="8.140625" style="131" bestFit="1" customWidth="1"/>
    <col min="8" max="8" width="12.85546875" style="131" bestFit="1" customWidth="1"/>
    <col min="9" max="9" width="13.85546875" style="131" bestFit="1" customWidth="1"/>
    <col min="10" max="11" width="10.7109375" style="131" customWidth="1"/>
    <col min="12" max="12" width="6.7109375" style="131" customWidth="1"/>
    <col min="13" max="13" width="5.28515625" style="131" bestFit="1" customWidth="1"/>
    <col min="14" max="14" width="6.7109375" style="131" bestFit="1" customWidth="1"/>
    <col min="15" max="15" width="7.5703125" style="131" bestFit="1" customWidth="1"/>
    <col min="16" max="16" width="8.140625" style="131" bestFit="1" customWidth="1"/>
    <col min="17" max="17" width="10.7109375" style="131" bestFit="1" customWidth="1"/>
    <col min="18" max="18" width="13.85546875" style="131" bestFit="1" customWidth="1"/>
    <col min="19" max="19" width="8.7109375" style="131" customWidth="1"/>
    <col min="20" max="20" width="8.140625" style="131" bestFit="1" customWidth="1"/>
    <col min="21" max="21" width="7.7109375" style="131" bestFit="1" customWidth="1"/>
    <col min="22" max="22" width="5.28515625" style="131" bestFit="1" customWidth="1"/>
    <col min="23" max="23" width="6.7109375" style="131" bestFit="1" customWidth="1"/>
    <col min="24" max="24" width="5.85546875" style="131" bestFit="1" customWidth="1"/>
    <col min="25" max="25" width="7.42578125" style="131" bestFit="1" customWidth="1"/>
    <col min="26" max="26" width="10.7109375" style="131" bestFit="1" customWidth="1"/>
    <col min="27" max="27" width="13.85546875" style="131" bestFit="1" customWidth="1"/>
    <col min="28" max="16384" width="11.42578125" style="131"/>
  </cols>
  <sheetData>
    <row r="1" spans="1:22" ht="15" customHeight="1">
      <c r="A1" s="1115" t="s">
        <v>291</v>
      </c>
      <c r="B1" s="1116"/>
      <c r="C1" s="1133" t="s">
        <v>237</v>
      </c>
      <c r="D1" s="1134"/>
      <c r="E1" s="1135"/>
      <c r="F1" s="1136" t="s">
        <v>241</v>
      </c>
      <c r="G1" s="1137"/>
      <c r="H1" s="1138"/>
      <c r="I1" s="1142" t="s">
        <v>260</v>
      </c>
      <c r="J1" s="1143"/>
      <c r="K1" s="1139" t="s">
        <v>244</v>
      </c>
      <c r="L1" s="1144"/>
      <c r="M1" s="1145"/>
      <c r="N1" s="1148" t="str">
        <f>'À Faire - Récapitulatif'!Q1</f>
        <v>Bâtiments : 1,18 jours</v>
      </c>
      <c r="O1" s="1149"/>
      <c r="P1" s="1149"/>
      <c r="Q1" s="1150"/>
      <c r="R1" s="1139" t="s">
        <v>357</v>
      </c>
      <c r="S1" s="1140"/>
      <c r="T1" s="1141"/>
      <c r="U1" s="1146" t="s">
        <v>255</v>
      </c>
      <c r="V1" s="1147"/>
    </row>
    <row r="2" spans="1:22" ht="15" customHeight="1" thickBot="1">
      <c r="A2" s="1113">
        <f>Paramètres!$BI$2</f>
        <v>2</v>
      </c>
      <c r="B2" s="1114"/>
      <c r="C2" s="1117" t="str">
        <f>'À Faire - Récapitulatif'!H2</f>
        <v>51 400</v>
      </c>
      <c r="D2" s="1118"/>
      <c r="E2" s="1119"/>
      <c r="F2" s="1120" t="str">
        <f>'À Faire - Récapitulatif'!K2</f>
        <v>27 800</v>
      </c>
      <c r="G2" s="1121"/>
      <c r="H2" s="1122"/>
      <c r="I2" s="1123" t="str">
        <f>'À Faire - Récapitulatif'!M2</f>
        <v>0</v>
      </c>
      <c r="J2" s="1124"/>
      <c r="K2" s="1125" t="str">
        <f>'À Faire - Récapitulatif'!O2</f>
        <v>1,18 jours</v>
      </c>
      <c r="L2" s="1126"/>
      <c r="M2" s="1127"/>
      <c r="N2" s="1151" t="str">
        <f>'À Faire - Récapitulatif'!Q2</f>
        <v>Héros : 0,00 jours</v>
      </c>
      <c r="O2" s="1152"/>
      <c r="P2" s="1152"/>
      <c r="Q2" s="1153"/>
      <c r="R2" s="1128" t="str">
        <f>'À Faire - Récapitulatif'!T2</f>
        <v>0,59 jours</v>
      </c>
      <c r="S2" s="1129"/>
      <c r="T2" s="1130"/>
      <c r="U2" s="1131" t="str">
        <f>'À Faire - Récapitulatif'!W2</f>
        <v>0,00 jours</v>
      </c>
      <c r="V2" s="1132"/>
    </row>
    <row r="3" spans="1:22" s="537" customFormat="1" ht="19.5" customHeight="1" thickBot="1">
      <c r="A3" s="1096" t="s">
        <v>447</v>
      </c>
      <c r="B3" s="1097"/>
      <c r="C3" s="1097"/>
      <c r="D3" s="1097"/>
      <c r="E3" s="1097"/>
      <c r="F3" s="1097"/>
      <c r="G3" s="1097"/>
      <c r="H3" s="1097"/>
      <c r="I3" s="1097"/>
      <c r="J3" s="1097"/>
      <c r="K3" s="1097"/>
      <c r="L3" s="1097"/>
      <c r="M3" s="1097"/>
      <c r="N3" s="1097"/>
      <c r="O3" s="1097"/>
      <c r="P3" s="1097"/>
      <c r="Q3" s="1097"/>
      <c r="R3" s="1097"/>
    </row>
    <row r="4" spans="1:22" ht="15" customHeight="1">
      <c r="A4" s="1104" t="s">
        <v>176</v>
      </c>
      <c r="B4" s="1109"/>
      <c r="C4" s="1110"/>
      <c r="D4" s="80" t="s">
        <v>38</v>
      </c>
      <c r="E4" s="81" t="s">
        <v>39</v>
      </c>
      <c r="F4" s="218"/>
      <c r="G4" s="524" t="s">
        <v>256</v>
      </c>
      <c r="H4" s="526" t="s">
        <v>361</v>
      </c>
      <c r="I4" s="525" t="s">
        <v>257</v>
      </c>
      <c r="J4" s="1104" t="s">
        <v>210</v>
      </c>
      <c r="K4" s="1109"/>
      <c r="L4" s="1110"/>
      <c r="M4" s="80" t="s">
        <v>38</v>
      </c>
      <c r="N4" s="81" t="s">
        <v>39</v>
      </c>
      <c r="O4" s="82"/>
      <c r="P4" s="524" t="s">
        <v>256</v>
      </c>
      <c r="Q4" s="526" t="s">
        <v>361</v>
      </c>
      <c r="R4" s="525" t="s">
        <v>257</v>
      </c>
    </row>
    <row r="5" spans="1:22" ht="15" customHeight="1" thickBot="1">
      <c r="A5" s="1098"/>
      <c r="B5" s="1099"/>
      <c r="C5" s="1100"/>
      <c r="D5" s="530">
        <f>VLOOKUP($A$2,AVAILABLE_Buildings_Resource[#All],MATCH(A4,AVAILABLE_Buildings_Resource[#Headers],0))</f>
        <v>2</v>
      </c>
      <c r="E5" s="412">
        <f>VLOOKUP($A$2,AVAILABLE_Buildings_Resource[#All],MATCH(A4,AVAILABLE_Buildings_Resource[#Headers],0)+1)</f>
        <v>4</v>
      </c>
      <c r="F5" s="219"/>
      <c r="G5" s="96">
        <f>IF(SUM(B7:B18)&gt;D5,"Error",SUM(B7:B18))</f>
        <v>0</v>
      </c>
      <c r="H5" s="97">
        <f>IF(G$5="Error","Error",D5-G5)</f>
        <v>2</v>
      </c>
      <c r="I5" s="206">
        <f>IF(G$5="Error","Error",SUM(D7:D18))</f>
        <v>8</v>
      </c>
      <c r="J5" s="1101"/>
      <c r="K5" s="1102"/>
      <c r="L5" s="1103"/>
      <c r="M5" s="88">
        <f>VLOOKUP($A$2,AVAILABLE_Buildings_Resource[#All],MATCH(J4,AVAILABLE_Buildings_Resource[#Headers],0))</f>
        <v>2</v>
      </c>
      <c r="N5" s="89">
        <f>VLOOKUP($A$2,AVAILABLE_Buildings_Resource[#All],MATCH(J4,AVAILABLE_Buildings_Resource[#Headers],0)+1)</f>
        <v>4</v>
      </c>
      <c r="O5" s="205"/>
      <c r="P5" s="96">
        <f>IF(SUM(K7:K18)&gt;M5,"Error",SUM(K7:K18))</f>
        <v>0</v>
      </c>
      <c r="Q5" s="97">
        <f>IF(P$5="Error","Error",M5-P5)</f>
        <v>2</v>
      </c>
      <c r="R5" s="206">
        <f>IF(P$5="Error","Error",SUM(M7:M18))</f>
        <v>8</v>
      </c>
    </row>
    <row r="6" spans="1:22" ht="15" customHeight="1" thickBot="1">
      <c r="A6" s="1000" t="s">
        <v>30</v>
      </c>
      <c r="B6" s="349" t="s">
        <v>29</v>
      </c>
      <c r="C6" s="593"/>
      <c r="D6" s="468" t="s">
        <v>29</v>
      </c>
      <c r="E6" s="468" t="s">
        <v>30</v>
      </c>
      <c r="F6" s="230" t="s">
        <v>258</v>
      </c>
      <c r="G6" s="230" t="s">
        <v>259</v>
      </c>
      <c r="H6" s="230" t="s">
        <v>232</v>
      </c>
      <c r="I6" s="231" t="s">
        <v>233</v>
      </c>
      <c r="J6" s="208" t="s">
        <v>30</v>
      </c>
      <c r="K6" s="349" t="s">
        <v>29</v>
      </c>
      <c r="L6" s="472"/>
      <c r="M6" s="542" t="s">
        <v>29</v>
      </c>
      <c r="N6" s="543" t="s">
        <v>30</v>
      </c>
      <c r="O6" s="544" t="s">
        <v>258</v>
      </c>
      <c r="P6" s="544" t="s">
        <v>259</v>
      </c>
      <c r="Q6" s="544" t="s">
        <v>232</v>
      </c>
      <c r="R6" s="545" t="s">
        <v>233</v>
      </c>
    </row>
    <row r="7" spans="1:22" ht="15" customHeight="1">
      <c r="A7" s="524">
        <v>1</v>
      </c>
      <c r="B7" s="995" t="str">
        <f>IF(Paramètres!B6=0,"",Paramètres!B6)</f>
        <v/>
      </c>
      <c r="C7" s="598">
        <f>IF(C6&lt;&gt;0,C6+IF(AND(B6&lt;&gt;"",A6&lt;E$5),B6,0),IF(AND(B6&lt;&gt;"",A6&lt;E$5),B6,0))</f>
        <v>0</v>
      </c>
      <c r="D7" s="585">
        <f t="shared" ref="D7:D18" si="0">IF(E7&lt;&gt;"/",IF(G$5="Error","Error",$H$5+C7),"/")</f>
        <v>2</v>
      </c>
      <c r="E7" s="469">
        <f>IF(G$5="Error","Error",IF(AND($E$5&lt;&gt;"/",$E$5&gt;'Paramètres - Admin'!$A2),'Paramètres - Admin'!$A3,"/"))</f>
        <v>1</v>
      </c>
      <c r="F7" s="389">
        <f>IF(E7&lt;&gt;"/",VLOOKUP(E7,COSTS_Gold_Mine[#All],2),"/")</f>
        <v>150</v>
      </c>
      <c r="G7" s="470">
        <f>IF(E7&lt;&gt;"/",VLOOKUP(E7,COSTS_Gold_Mine[#All],3),"/")</f>
        <v>1.6666666666666666E-2</v>
      </c>
      <c r="H7" s="389">
        <f t="shared" ref="H7:H18" si="1">IF(G$5="Error","Error",IF(F7&lt;&gt;"/",D7*F7,0))</f>
        <v>300</v>
      </c>
      <c r="I7" s="471">
        <f t="shared" ref="I7:I18" si="2">IF(G$5="Error","Error",IF(G7&lt;&gt;"/",D7*G7,0))</f>
        <v>3.3333333333333333E-2</v>
      </c>
      <c r="J7" s="524">
        <v>1</v>
      </c>
      <c r="K7" s="995" t="str">
        <f>IF(Paramètres!C6=0,"",Paramètres!C6)</f>
        <v/>
      </c>
      <c r="L7" s="598">
        <f>IF(L6&lt;&gt;0,L6+IF(AND(K6&lt;&gt;"",J6&lt;N$5),K6,0),IF(AND(K6&lt;&gt;"",J6&lt;N$5),K6,0))</f>
        <v>0</v>
      </c>
      <c r="M7" s="585">
        <f t="shared" ref="M7:M18" si="3">IF(N7&lt;&gt;"/",IF(P$5="Error","Error",$Q$5+L7),"/")</f>
        <v>2</v>
      </c>
      <c r="N7" s="469">
        <f>IF(P$5="Error","Error",IF(AND($N$5&lt;&gt;"/",$N$5&gt;'Paramètres - Admin'!$A2),'Paramètres - Admin'!$A3,"/"))</f>
        <v>1</v>
      </c>
      <c r="O7" s="86">
        <f>IF(N7&lt;&gt;"/",VLOOKUP(N7,COSTS_Elixir_Collector[#All],2),"/")</f>
        <v>150</v>
      </c>
      <c r="P7" s="470">
        <f>IF(N7&lt;&gt;"/",VLOOKUP(N7,COSTS_Elixir_Collector[#All],3),"/")</f>
        <v>1.6666666666666666E-2</v>
      </c>
      <c r="Q7" s="86">
        <f t="shared" ref="Q7:Q18" si="4">IF(P$5="Error","Error",IF(O7&lt;&gt;"/",M7*O7,0))</f>
        <v>300</v>
      </c>
      <c r="R7" s="471">
        <f t="shared" ref="R7:R18" si="5">IF(P$5="Error","Error",IF(P7&lt;&gt;"/",M7*P7,0))</f>
        <v>3.3333333333333333E-2</v>
      </c>
    </row>
    <row r="8" spans="1:22" ht="15" customHeight="1">
      <c r="A8" s="996">
        <v>2</v>
      </c>
      <c r="B8" s="997" t="str">
        <f>IF(Paramètres!B7=0,"",Paramètres!B7)</f>
        <v/>
      </c>
      <c r="C8" s="810">
        <f t="shared" ref="C8:C17" si="6">IF(C7&lt;&gt;0,C7+IF(AND(B7&lt;&gt;"",A7&lt;E$5),B7,0),IF(AND(B7&lt;&gt;"",A7&lt;E$5),B7,0))</f>
        <v>0</v>
      </c>
      <c r="D8" s="586">
        <f t="shared" si="0"/>
        <v>2</v>
      </c>
      <c r="E8" s="108">
        <f>IF(G$5="Error","Error",IF(AND($E$5&lt;&gt;"/",$E$5&gt;'Paramètres - Admin'!$A3),'Paramètres - Admin'!$A4,"/"))</f>
        <v>2</v>
      </c>
      <c r="F8" s="390">
        <f>IF(E8&lt;&gt;"/",VLOOKUP(E8,COSTS_Gold_Mine[#All],2),"/")</f>
        <v>300</v>
      </c>
      <c r="G8" s="94">
        <f>IF(E8&lt;&gt;"/",VLOOKUP(E8,COSTS_Gold_Mine[#All],3),"/")</f>
        <v>8.3333333333333329E-2</v>
      </c>
      <c r="H8" s="390">
        <f t="shared" si="1"/>
        <v>600</v>
      </c>
      <c r="I8" s="534">
        <f t="shared" si="2"/>
        <v>0.16666666666666666</v>
      </c>
      <c r="J8" s="996">
        <v>2</v>
      </c>
      <c r="K8" s="997" t="str">
        <f>IF(Paramètres!C7=0,"",Paramètres!C7)</f>
        <v/>
      </c>
      <c r="L8" s="810">
        <f t="shared" ref="L8:L16" si="7">IF(L7&lt;&gt;0,L7+IF(AND(K7&lt;&gt;"",J7&lt;N$5),K7,0),IF(AND(K7&lt;&gt;"",J7&lt;N$5),K7,0))</f>
        <v>0</v>
      </c>
      <c r="M8" s="586">
        <f t="shared" si="3"/>
        <v>2</v>
      </c>
      <c r="N8" s="108">
        <f>IF(P$5="Error","Error",IF(AND($N$5&lt;&gt;"/",$N$5&gt;'Paramètres - Admin'!$A3),'Paramètres - Admin'!$A4,"/"))</f>
        <v>2</v>
      </c>
      <c r="O8" s="529">
        <f>IF(N8&lt;&gt;"/",VLOOKUP(N8,COSTS_Elixir_Collector[#All],2),"/")</f>
        <v>300</v>
      </c>
      <c r="P8" s="94">
        <f>IF(N8&lt;&gt;"/",VLOOKUP(N8,COSTS_Elixir_Collector[#All],3),"/")</f>
        <v>8.3333333333333329E-2</v>
      </c>
      <c r="Q8" s="529">
        <f t="shared" si="4"/>
        <v>600</v>
      </c>
      <c r="R8" s="534">
        <f t="shared" si="5"/>
        <v>0.16666666666666666</v>
      </c>
    </row>
    <row r="9" spans="1:22" ht="15" customHeight="1">
      <c r="A9" s="996">
        <v>3</v>
      </c>
      <c r="B9" s="997" t="str">
        <f>IF(Paramètres!B8=0,"",Paramètres!B8)</f>
        <v/>
      </c>
      <c r="C9" s="810">
        <f t="shared" si="6"/>
        <v>0</v>
      </c>
      <c r="D9" s="586">
        <f t="shared" si="0"/>
        <v>2</v>
      </c>
      <c r="E9" s="108">
        <f>IF(G$5="Error","Error",IF(AND($E$5&lt;&gt;"/",$E$5&gt;'Paramètres - Admin'!$A4),'Paramètres - Admin'!$A5,"/"))</f>
        <v>3</v>
      </c>
      <c r="F9" s="390">
        <f>IF(E9&lt;&gt;"/",VLOOKUP(E9,COSTS_Gold_Mine[#All],2),"/")</f>
        <v>700</v>
      </c>
      <c r="G9" s="94">
        <f>IF(E9&lt;&gt;"/",VLOOKUP(E9,COSTS_Gold_Mine[#All],3),"/")</f>
        <v>0.25</v>
      </c>
      <c r="H9" s="390">
        <f t="shared" si="1"/>
        <v>1400</v>
      </c>
      <c r="I9" s="534">
        <f t="shared" si="2"/>
        <v>0.5</v>
      </c>
      <c r="J9" s="996">
        <v>3</v>
      </c>
      <c r="K9" s="997" t="str">
        <f>IF(Paramètres!C8=0,"",Paramètres!C8)</f>
        <v/>
      </c>
      <c r="L9" s="810">
        <f t="shared" si="7"/>
        <v>0</v>
      </c>
      <c r="M9" s="586">
        <f t="shared" si="3"/>
        <v>2</v>
      </c>
      <c r="N9" s="108">
        <f>IF(P$5="Error","Error",IF(AND($N$5&lt;&gt;"/",$N$5&gt;'Paramètres - Admin'!$A4),'Paramètres - Admin'!$A5,"/"))</f>
        <v>3</v>
      </c>
      <c r="O9" s="529">
        <f>IF(N9&lt;&gt;"/",VLOOKUP(N9,COSTS_Elixir_Collector[#All],2),"/")</f>
        <v>700</v>
      </c>
      <c r="P9" s="94">
        <f>IF(N9&lt;&gt;"/",VLOOKUP(N9,COSTS_Elixir_Collector[#All],3),"/")</f>
        <v>0.25</v>
      </c>
      <c r="Q9" s="529">
        <f t="shared" si="4"/>
        <v>1400</v>
      </c>
      <c r="R9" s="534">
        <f t="shared" si="5"/>
        <v>0.5</v>
      </c>
    </row>
    <row r="10" spans="1:22" ht="15" customHeight="1">
      <c r="A10" s="996">
        <v>4</v>
      </c>
      <c r="B10" s="997" t="str">
        <f>IF(Paramètres!B9=0,"",Paramètres!B9)</f>
        <v/>
      </c>
      <c r="C10" s="810">
        <f t="shared" si="6"/>
        <v>0</v>
      </c>
      <c r="D10" s="586">
        <f t="shared" si="0"/>
        <v>2</v>
      </c>
      <c r="E10" s="108">
        <f>IF(G$5="Error","Error",IF(AND($E$5&lt;&gt;"/",$E$5&gt;'Paramètres - Admin'!$A5),'Paramètres - Admin'!$A6,"/"))</f>
        <v>4</v>
      </c>
      <c r="F10" s="390">
        <f>IF(E10&lt;&gt;"/",VLOOKUP(E10,COSTS_Gold_Mine[#All],2),"/")</f>
        <v>1400</v>
      </c>
      <c r="G10" s="94">
        <f>IF(E10&lt;&gt;"/",VLOOKUP(E10,COSTS_Gold_Mine[#All],3),"/")</f>
        <v>1</v>
      </c>
      <c r="H10" s="390">
        <f t="shared" si="1"/>
        <v>2800</v>
      </c>
      <c r="I10" s="534">
        <f t="shared" si="2"/>
        <v>2</v>
      </c>
      <c r="J10" s="996">
        <v>4</v>
      </c>
      <c r="K10" s="997" t="str">
        <f>IF(Paramètres!C9=0,"",Paramètres!C9)</f>
        <v/>
      </c>
      <c r="L10" s="810">
        <f t="shared" si="7"/>
        <v>0</v>
      </c>
      <c r="M10" s="586">
        <f t="shared" si="3"/>
        <v>2</v>
      </c>
      <c r="N10" s="108">
        <f>IF(P$5="Error","Error",IF(AND($N$5&lt;&gt;"/",$N$5&gt;'Paramètres - Admin'!$A5),'Paramètres - Admin'!$A6,"/"))</f>
        <v>4</v>
      </c>
      <c r="O10" s="529">
        <f>IF(N10&lt;&gt;"/",VLOOKUP(N10,COSTS_Elixir_Collector[#All],2),"/")</f>
        <v>1400</v>
      </c>
      <c r="P10" s="94">
        <f>IF(N10&lt;&gt;"/",VLOOKUP(N10,COSTS_Elixir_Collector[#All],3),"/")</f>
        <v>1</v>
      </c>
      <c r="Q10" s="529">
        <f t="shared" si="4"/>
        <v>2800</v>
      </c>
      <c r="R10" s="534">
        <f t="shared" si="5"/>
        <v>2</v>
      </c>
    </row>
    <row r="11" spans="1:22" ht="15" customHeight="1">
      <c r="A11" s="996">
        <v>5</v>
      </c>
      <c r="B11" s="997" t="str">
        <f>IF(Paramètres!B10=0,"",Paramètres!B10)</f>
        <v/>
      </c>
      <c r="C11" s="810">
        <f t="shared" si="6"/>
        <v>0</v>
      </c>
      <c r="D11" s="586" t="str">
        <f t="shared" si="0"/>
        <v>/</v>
      </c>
      <c r="E11" s="108" t="str">
        <f>IF(G$5="Error","Error",IF(AND($E$5&lt;&gt;"/",$E$5&gt;'Paramètres - Admin'!$A6),'Paramètres - Admin'!$A7,"/"))</f>
        <v>/</v>
      </c>
      <c r="F11" s="390" t="str">
        <f>IF(E11&lt;&gt;"/",VLOOKUP(E11,COSTS_Gold_Mine[#All],2),"/")</f>
        <v>/</v>
      </c>
      <c r="G11" s="94" t="str">
        <f>IF(E11&lt;&gt;"/",VLOOKUP(E11,COSTS_Gold_Mine[#All],3),"/")</f>
        <v>/</v>
      </c>
      <c r="H11" s="390">
        <f t="shared" si="1"/>
        <v>0</v>
      </c>
      <c r="I11" s="534">
        <f t="shared" si="2"/>
        <v>0</v>
      </c>
      <c r="J11" s="996">
        <v>5</v>
      </c>
      <c r="K11" s="997" t="str">
        <f>IF(Paramètres!C10=0,"",Paramètres!C10)</f>
        <v/>
      </c>
      <c r="L11" s="810">
        <f t="shared" si="7"/>
        <v>0</v>
      </c>
      <c r="M11" s="586" t="str">
        <f t="shared" si="3"/>
        <v>/</v>
      </c>
      <c r="N11" s="108" t="str">
        <f>IF(P$5="Error","Error",IF(AND($N$5&lt;&gt;"/",$N$5&gt;'Paramètres - Admin'!$A6),'Paramètres - Admin'!$A7,"/"))</f>
        <v>/</v>
      </c>
      <c r="O11" s="529" t="str">
        <f>IF(N11&lt;&gt;"/",VLOOKUP(N11,COSTS_Elixir_Collector[#All],2),"/")</f>
        <v>/</v>
      </c>
      <c r="P11" s="94" t="str">
        <f>IF(N11&lt;&gt;"/",VLOOKUP(N11,COSTS_Elixir_Collector[#All],3),"/")</f>
        <v>/</v>
      </c>
      <c r="Q11" s="529">
        <f t="shared" si="4"/>
        <v>0</v>
      </c>
      <c r="R11" s="534">
        <f t="shared" si="5"/>
        <v>0</v>
      </c>
    </row>
    <row r="12" spans="1:22" ht="15" customHeight="1">
      <c r="A12" s="996">
        <v>6</v>
      </c>
      <c r="B12" s="997" t="str">
        <f>IF(Paramètres!B11=0,"",Paramètres!B11)</f>
        <v/>
      </c>
      <c r="C12" s="810">
        <f t="shared" si="6"/>
        <v>0</v>
      </c>
      <c r="D12" s="586" t="str">
        <f t="shared" si="0"/>
        <v>/</v>
      </c>
      <c r="E12" s="108" t="str">
        <f>IF(G$5="Error","Error",IF(AND($E$5&lt;&gt;"/",$E$5&gt;'Paramètres - Admin'!$A7),'Paramètres - Admin'!$A8,"/"))</f>
        <v>/</v>
      </c>
      <c r="F12" s="390" t="str">
        <f>IF(E12&lt;&gt;"/",VLOOKUP(E12,COSTS_Gold_Mine[#All],2),"/")</f>
        <v>/</v>
      </c>
      <c r="G12" s="94" t="str">
        <f>IF(E12&lt;&gt;"/",VLOOKUP(E12,COSTS_Gold_Mine[#All],3),"/")</f>
        <v>/</v>
      </c>
      <c r="H12" s="390">
        <f t="shared" si="1"/>
        <v>0</v>
      </c>
      <c r="I12" s="534">
        <f t="shared" si="2"/>
        <v>0</v>
      </c>
      <c r="J12" s="996">
        <v>6</v>
      </c>
      <c r="K12" s="997" t="str">
        <f>IF(Paramètres!C11=0,"",Paramètres!C11)</f>
        <v/>
      </c>
      <c r="L12" s="810">
        <f t="shared" si="7"/>
        <v>0</v>
      </c>
      <c r="M12" s="586" t="str">
        <f t="shared" si="3"/>
        <v>/</v>
      </c>
      <c r="N12" s="108" t="str">
        <f>IF(P$5="Error","Error",IF(AND($N$5&lt;&gt;"/",$N$5&gt;'Paramètres - Admin'!$A7),'Paramètres - Admin'!$A8,"/"))</f>
        <v>/</v>
      </c>
      <c r="O12" s="529" t="str">
        <f>IF(N12&lt;&gt;"/",VLOOKUP(N12,COSTS_Elixir_Collector[#All],2),"/")</f>
        <v>/</v>
      </c>
      <c r="P12" s="94" t="str">
        <f>IF(N12&lt;&gt;"/",VLOOKUP(N12,COSTS_Elixir_Collector[#All],3),"/")</f>
        <v>/</v>
      </c>
      <c r="Q12" s="529">
        <f t="shared" si="4"/>
        <v>0</v>
      </c>
      <c r="R12" s="534">
        <f t="shared" si="5"/>
        <v>0</v>
      </c>
    </row>
    <row r="13" spans="1:22" ht="15" customHeight="1">
      <c r="A13" s="996">
        <v>7</v>
      </c>
      <c r="B13" s="997" t="str">
        <f>IF(Paramètres!B12=0,"",Paramètres!B12)</f>
        <v/>
      </c>
      <c r="C13" s="810">
        <f t="shared" si="6"/>
        <v>0</v>
      </c>
      <c r="D13" s="586" t="str">
        <f t="shared" si="0"/>
        <v>/</v>
      </c>
      <c r="E13" s="108" t="str">
        <f>IF(G$5="Error","Error",IF(AND($E$5&lt;&gt;"/",$E$5&gt;'Paramètres - Admin'!$A8),'Paramètres - Admin'!$A9,"/"))</f>
        <v>/</v>
      </c>
      <c r="F13" s="390" t="str">
        <f>IF(E13&lt;&gt;"/",VLOOKUP(E13,COSTS_Gold_Mine[#All],2),"/")</f>
        <v>/</v>
      </c>
      <c r="G13" s="94" t="str">
        <f>IF(E13&lt;&gt;"/",VLOOKUP(E13,COSTS_Gold_Mine[#All],3),"/")</f>
        <v>/</v>
      </c>
      <c r="H13" s="390">
        <f t="shared" si="1"/>
        <v>0</v>
      </c>
      <c r="I13" s="534">
        <f t="shared" si="2"/>
        <v>0</v>
      </c>
      <c r="J13" s="996">
        <v>7</v>
      </c>
      <c r="K13" s="997" t="str">
        <f>IF(Paramètres!C12=0,"",Paramètres!C12)</f>
        <v/>
      </c>
      <c r="L13" s="810">
        <f t="shared" si="7"/>
        <v>0</v>
      </c>
      <c r="M13" s="586" t="str">
        <f t="shared" si="3"/>
        <v>/</v>
      </c>
      <c r="N13" s="108" t="str">
        <f>IF(P$5="Error","Error",IF(AND($N$5&lt;&gt;"/",$N$5&gt;'Paramètres - Admin'!$A8),'Paramètres - Admin'!$A9,"/"))</f>
        <v>/</v>
      </c>
      <c r="O13" s="529" t="str">
        <f>IF(N13&lt;&gt;"/",VLOOKUP(N13,COSTS_Elixir_Collector[#All],2),"/")</f>
        <v>/</v>
      </c>
      <c r="P13" s="94" t="str">
        <f>IF(N13&lt;&gt;"/",VLOOKUP(N13,COSTS_Elixir_Collector[#All],3),"/")</f>
        <v>/</v>
      </c>
      <c r="Q13" s="529">
        <f t="shared" si="4"/>
        <v>0</v>
      </c>
      <c r="R13" s="534">
        <f t="shared" si="5"/>
        <v>0</v>
      </c>
    </row>
    <row r="14" spans="1:22" ht="15" customHeight="1">
      <c r="A14" s="996">
        <v>8</v>
      </c>
      <c r="B14" s="997" t="str">
        <f>IF(Paramètres!B13=0,"",Paramètres!B13)</f>
        <v/>
      </c>
      <c r="C14" s="810">
        <f t="shared" si="6"/>
        <v>0</v>
      </c>
      <c r="D14" s="586" t="str">
        <f t="shared" si="0"/>
        <v>/</v>
      </c>
      <c r="E14" s="108" t="str">
        <f>IF(G$5="Error","Error",IF(AND($E$5&lt;&gt;"/",$E$5&gt;'Paramètres - Admin'!$A9),'Paramètres - Admin'!$A10,"/"))</f>
        <v>/</v>
      </c>
      <c r="F14" s="390" t="str">
        <f>IF(E14&lt;&gt;"/",VLOOKUP(E14,COSTS_Gold_Mine[#All],2),"/")</f>
        <v>/</v>
      </c>
      <c r="G14" s="94" t="str">
        <f>IF(E14&lt;&gt;"/",VLOOKUP(E14,COSTS_Gold_Mine[#All],3),"/")</f>
        <v>/</v>
      </c>
      <c r="H14" s="390">
        <f t="shared" si="1"/>
        <v>0</v>
      </c>
      <c r="I14" s="534">
        <f t="shared" si="2"/>
        <v>0</v>
      </c>
      <c r="J14" s="996">
        <v>8</v>
      </c>
      <c r="K14" s="997" t="str">
        <f>IF(Paramètres!C13=0,"",Paramètres!C13)</f>
        <v/>
      </c>
      <c r="L14" s="810">
        <f t="shared" si="7"/>
        <v>0</v>
      </c>
      <c r="M14" s="586" t="str">
        <f t="shared" si="3"/>
        <v>/</v>
      </c>
      <c r="N14" s="108" t="str">
        <f>IF(P$5="Error","Error",IF(AND($N$5&lt;&gt;"/",$N$5&gt;'Paramètres - Admin'!$A9),'Paramètres - Admin'!$A10,"/"))</f>
        <v>/</v>
      </c>
      <c r="O14" s="529" t="str">
        <f>IF(N14&lt;&gt;"/",VLOOKUP(N14,COSTS_Elixir_Collector[#All],2),"/")</f>
        <v>/</v>
      </c>
      <c r="P14" s="94" t="str">
        <f>IF(N14&lt;&gt;"/",VLOOKUP(N14,COSTS_Elixir_Collector[#All],3),"/")</f>
        <v>/</v>
      </c>
      <c r="Q14" s="529">
        <f t="shared" si="4"/>
        <v>0</v>
      </c>
      <c r="R14" s="534">
        <f t="shared" si="5"/>
        <v>0</v>
      </c>
    </row>
    <row r="15" spans="1:22" ht="15" customHeight="1">
      <c r="A15" s="996">
        <v>9</v>
      </c>
      <c r="B15" s="997" t="str">
        <f>IF(Paramètres!B14=0,"",Paramètres!B14)</f>
        <v/>
      </c>
      <c r="C15" s="810">
        <f t="shared" si="6"/>
        <v>0</v>
      </c>
      <c r="D15" s="586" t="str">
        <f t="shared" si="0"/>
        <v>/</v>
      </c>
      <c r="E15" s="108" t="str">
        <f>IF(G$5="Error","Error",IF(AND($E$5&lt;&gt;"/",$E$5&gt;'Paramètres - Admin'!$A10),'Paramètres - Admin'!$A11,"/"))</f>
        <v>/</v>
      </c>
      <c r="F15" s="390" t="str">
        <f>IF(E15&lt;&gt;"/",VLOOKUP(E15,COSTS_Gold_Mine[#All],2),"/")</f>
        <v>/</v>
      </c>
      <c r="G15" s="94" t="str">
        <f>IF(E15&lt;&gt;"/",VLOOKUP(E15,COSTS_Gold_Mine[#All],3),"/")</f>
        <v>/</v>
      </c>
      <c r="H15" s="390">
        <f t="shared" si="1"/>
        <v>0</v>
      </c>
      <c r="I15" s="534">
        <f t="shared" si="2"/>
        <v>0</v>
      </c>
      <c r="J15" s="996">
        <v>9</v>
      </c>
      <c r="K15" s="997" t="str">
        <f>IF(Paramètres!C14=0,"",Paramètres!C14)</f>
        <v/>
      </c>
      <c r="L15" s="810">
        <f t="shared" si="7"/>
        <v>0</v>
      </c>
      <c r="M15" s="586" t="str">
        <f t="shared" si="3"/>
        <v>/</v>
      </c>
      <c r="N15" s="108" t="str">
        <f>IF(P$5="Error","Error",IF(AND($N$5&lt;&gt;"/",$N$5&gt;'Paramètres - Admin'!$A10),'Paramètres - Admin'!$A11,"/"))</f>
        <v>/</v>
      </c>
      <c r="O15" s="529" t="str">
        <f>IF(N15&lt;&gt;"/",VLOOKUP(N15,COSTS_Elixir_Collector[#All],2),"/")</f>
        <v>/</v>
      </c>
      <c r="P15" s="94" t="str">
        <f>IF(N15&lt;&gt;"/",VLOOKUP(N15,COSTS_Elixir_Collector[#All],3),"/")</f>
        <v>/</v>
      </c>
      <c r="Q15" s="529">
        <f t="shared" si="4"/>
        <v>0</v>
      </c>
      <c r="R15" s="534">
        <f t="shared" si="5"/>
        <v>0</v>
      </c>
    </row>
    <row r="16" spans="1:22" ht="15" customHeight="1">
      <c r="A16" s="996">
        <v>10</v>
      </c>
      <c r="B16" s="997" t="str">
        <f>IF(Paramètres!B15=0,"",Paramètres!B15)</f>
        <v/>
      </c>
      <c r="C16" s="810">
        <f t="shared" si="6"/>
        <v>0</v>
      </c>
      <c r="D16" s="586" t="str">
        <f t="shared" si="0"/>
        <v>/</v>
      </c>
      <c r="E16" s="108" t="str">
        <f>IF(G$5="Error","Error",IF(AND($E$5&lt;&gt;"/",$E$5&gt;'Paramètres - Admin'!$A11),'Paramètres - Admin'!$A12,"/"))</f>
        <v>/</v>
      </c>
      <c r="F16" s="390" t="str">
        <f>IF(E16&lt;&gt;"/",VLOOKUP(E16,COSTS_Gold_Mine[#All],2),"/")</f>
        <v>/</v>
      </c>
      <c r="G16" s="94" t="str">
        <f>IF(E16&lt;&gt;"/",VLOOKUP(E16,COSTS_Gold_Mine[#All],3),"/")</f>
        <v>/</v>
      </c>
      <c r="H16" s="390">
        <f t="shared" si="1"/>
        <v>0</v>
      </c>
      <c r="I16" s="534">
        <f t="shared" si="2"/>
        <v>0</v>
      </c>
      <c r="J16" s="996">
        <v>10</v>
      </c>
      <c r="K16" s="997" t="str">
        <f>IF(Paramètres!C15=0,"",Paramètres!C15)</f>
        <v/>
      </c>
      <c r="L16" s="810">
        <f t="shared" si="7"/>
        <v>0</v>
      </c>
      <c r="M16" s="586" t="str">
        <f t="shared" si="3"/>
        <v>/</v>
      </c>
      <c r="N16" s="108" t="str">
        <f>IF(P$5="Error","Error",IF(AND($N$5&lt;&gt;"/",$N$5&gt;'Paramètres - Admin'!$A11),'Paramètres - Admin'!$A12,"/"))</f>
        <v>/</v>
      </c>
      <c r="O16" s="529" t="str">
        <f>IF(N16&lt;&gt;"/",VLOOKUP(N16,COSTS_Elixir_Collector[#All],2),"/")</f>
        <v>/</v>
      </c>
      <c r="P16" s="94" t="str">
        <f>IF(N16&lt;&gt;"/",VLOOKUP(N16,COSTS_Elixir_Collector[#All],3),"/")</f>
        <v>/</v>
      </c>
      <c r="Q16" s="529">
        <f t="shared" si="4"/>
        <v>0</v>
      </c>
      <c r="R16" s="534">
        <f t="shared" si="5"/>
        <v>0</v>
      </c>
    </row>
    <row r="17" spans="1:19" ht="15" customHeight="1">
      <c r="A17" s="996">
        <v>11</v>
      </c>
      <c r="B17" s="997" t="str">
        <f>IF(Paramètres!B16=0,"",Paramètres!B16)</f>
        <v/>
      </c>
      <c r="C17" s="810">
        <f t="shared" si="6"/>
        <v>0</v>
      </c>
      <c r="D17" s="586" t="str">
        <f t="shared" si="0"/>
        <v>/</v>
      </c>
      <c r="E17" s="108" t="str">
        <f>IF(G$5="Error","Error",IF(AND($E$5&lt;&gt;"/",$E$5&gt;'Paramètres - Admin'!$A12),'Paramètres - Admin'!$A13,"/"))</f>
        <v>/</v>
      </c>
      <c r="F17" s="390" t="str">
        <f>IF(E17&lt;&gt;"/",VLOOKUP(E17,COSTS_Gold_Mine[#All],2),"/")</f>
        <v>/</v>
      </c>
      <c r="G17" s="94" t="str">
        <f>IF(E17&lt;&gt;"/",VLOOKUP(E17,COSTS_Gold_Mine[#All],3),"/")</f>
        <v>/</v>
      </c>
      <c r="H17" s="390">
        <f t="shared" si="1"/>
        <v>0</v>
      </c>
      <c r="I17" s="534">
        <f t="shared" si="2"/>
        <v>0</v>
      </c>
      <c r="J17" s="996">
        <v>11</v>
      </c>
      <c r="K17" s="997" t="str">
        <f>IF(Paramètres!C16=0,"",Paramètres!C16)</f>
        <v/>
      </c>
      <c r="L17" s="810">
        <f>IF(L16&lt;&gt;0,L16+IF(AND(K16&lt;&gt;"",J16&lt;N$5),K16,0),IF(AND(K16&lt;&gt;"",J16&lt;N$5),K16,0))</f>
        <v>0</v>
      </c>
      <c r="M17" s="586" t="str">
        <f t="shared" si="3"/>
        <v>/</v>
      </c>
      <c r="N17" s="108" t="str">
        <f>IF(P$5="Error","Error",IF(AND($N$5&lt;&gt;"/",$N$5&gt;'Paramètres - Admin'!$A12),'Paramètres - Admin'!$A13,"/"))</f>
        <v>/</v>
      </c>
      <c r="O17" s="529" t="str">
        <f>IF(N17&lt;&gt;"/",VLOOKUP(N17,COSTS_Elixir_Collector[#All],2),"/")</f>
        <v>/</v>
      </c>
      <c r="P17" s="94" t="str">
        <f>IF(N17&lt;&gt;"/",VLOOKUP(N17,COSTS_Elixir_Collector[#All],3),"/")</f>
        <v>/</v>
      </c>
      <c r="Q17" s="529">
        <f t="shared" si="4"/>
        <v>0</v>
      </c>
      <c r="R17" s="534">
        <f t="shared" si="5"/>
        <v>0</v>
      </c>
    </row>
    <row r="18" spans="1:19" ht="15" customHeight="1" thickBot="1">
      <c r="A18" s="998">
        <v>12</v>
      </c>
      <c r="B18" s="999" t="str">
        <f>IF(Paramètres!B17=0,"",Paramètres!B17)</f>
        <v/>
      </c>
      <c r="C18" s="811">
        <f>IF(C17&lt;&gt;0,C17+IF(AND(B17&lt;&gt;"",A17&lt;E$5),B17,0),IF(AND(B17&lt;&gt;"",A17&lt;E$5),B17,0))</f>
        <v>0</v>
      </c>
      <c r="D18" s="587" t="str">
        <f t="shared" si="0"/>
        <v>/</v>
      </c>
      <c r="E18" s="116" t="str">
        <f>IF(G$5="Error","Error",IF(AND($E$5&lt;&gt;"/",$E$5&gt;'Paramètres - Admin'!$A13),'Paramètres - Admin'!$A14,"/"))</f>
        <v>/</v>
      </c>
      <c r="F18" s="391" t="str">
        <f>IF(E18&lt;&gt;"/",VLOOKUP(E18,COSTS_Gold_Mine[#All],2),"/")</f>
        <v>/</v>
      </c>
      <c r="G18" s="114" t="str">
        <f>IF(E18&lt;&gt;"/",VLOOKUP(E18,COSTS_Gold_Mine[#All],3),"/")</f>
        <v>/</v>
      </c>
      <c r="H18" s="391">
        <f t="shared" si="1"/>
        <v>0</v>
      </c>
      <c r="I18" s="117">
        <f t="shared" si="2"/>
        <v>0</v>
      </c>
      <c r="J18" s="998">
        <v>12</v>
      </c>
      <c r="K18" s="999" t="str">
        <f>IF(Paramètres!C17=0,"",Paramètres!C17)</f>
        <v/>
      </c>
      <c r="L18" s="811">
        <f>IF(L17&lt;&gt;0,L17+IF(AND(K17&lt;&gt;"",J17&lt;N$5),K17,0),IF(AND(K17&lt;&gt;"",J17&lt;N$5),K17,0))</f>
        <v>0</v>
      </c>
      <c r="M18" s="587" t="str">
        <f t="shared" si="3"/>
        <v>/</v>
      </c>
      <c r="N18" s="116" t="str">
        <f>IF(P$5="Error","Error",IF(AND($N$5&lt;&gt;"/",$N$5&gt;'Paramètres - Admin'!$A13),'Paramètres - Admin'!$A14,"/"))</f>
        <v>/</v>
      </c>
      <c r="O18" s="118" t="str">
        <f>IF(N18&lt;&gt;"/",VLOOKUP(N18,COSTS_Elixir_Collector[#All],2),"/")</f>
        <v>/</v>
      </c>
      <c r="P18" s="114" t="str">
        <f>IF(N18&lt;&gt;"/",VLOOKUP(N18,COSTS_Elixir_Collector[#All],3),"/")</f>
        <v>/</v>
      </c>
      <c r="Q18" s="118">
        <f t="shared" si="4"/>
        <v>0</v>
      </c>
      <c r="R18" s="117">
        <f t="shared" si="5"/>
        <v>0</v>
      </c>
    </row>
    <row r="19" spans="1:19" ht="15" customHeight="1" thickBot="1">
      <c r="A19" s="964"/>
      <c r="B19" s="965"/>
      <c r="C19" s="965"/>
      <c r="D19" s="965"/>
      <c r="E19" s="965"/>
      <c r="F19" s="965"/>
      <c r="G19" s="523" t="s">
        <v>31</v>
      </c>
      <c r="H19" s="392">
        <f>IF(G$5="Error","Error",SUM(H7:H18))</f>
        <v>5100</v>
      </c>
      <c r="I19" s="546">
        <f>IF(G$5="Error","Error",SUM(I7:I18))</f>
        <v>2.7</v>
      </c>
      <c r="J19" s="965"/>
      <c r="K19" s="965"/>
      <c r="L19" s="965"/>
      <c r="M19" s="965"/>
      <c r="P19" s="523" t="s">
        <v>31</v>
      </c>
      <c r="Q19" s="227">
        <f>IF(P$5="Error","Error",SUM(Q7:Q18))</f>
        <v>5100</v>
      </c>
      <c r="R19" s="546">
        <f>IF(P$5="Error","Error",SUM(R7:R18))</f>
        <v>2.7</v>
      </c>
      <c r="S19" s="137"/>
    </row>
    <row r="20" spans="1:19" ht="15" customHeight="1">
      <c r="A20" s="1104" t="s">
        <v>212</v>
      </c>
      <c r="B20" s="1109"/>
      <c r="C20" s="1110"/>
      <c r="D20" s="80" t="s">
        <v>38</v>
      </c>
      <c r="E20" s="81" t="s">
        <v>39</v>
      </c>
      <c r="F20" s="218"/>
      <c r="G20" s="524" t="s">
        <v>256</v>
      </c>
      <c r="H20" s="526" t="s">
        <v>361</v>
      </c>
      <c r="I20" s="525" t="s">
        <v>257</v>
      </c>
      <c r="J20" s="1104" t="s">
        <v>452</v>
      </c>
      <c r="K20" s="1109"/>
      <c r="L20" s="1110"/>
      <c r="M20" s="80" t="s">
        <v>38</v>
      </c>
      <c r="N20" s="81" t="s">
        <v>39</v>
      </c>
      <c r="O20" s="218"/>
      <c r="P20" s="524" t="s">
        <v>256</v>
      </c>
      <c r="Q20" s="526" t="s">
        <v>361</v>
      </c>
      <c r="R20" s="525" t="s">
        <v>257</v>
      </c>
    </row>
    <row r="21" spans="1:19" ht="15" customHeight="1" thickBot="1">
      <c r="A21" s="1101"/>
      <c r="B21" s="1102"/>
      <c r="C21" s="1103"/>
      <c r="D21" s="88">
        <f>VLOOKUP($A$2,AVAILABLE_Buildings_Resource[#All],MATCH(A20,AVAILABLE_Buildings_Resource[#Headers],0))</f>
        <v>1</v>
      </c>
      <c r="E21" s="89">
        <f>VLOOKUP($A$2,AVAILABLE_Buildings_Resource[#All],MATCH(A20,AVAILABLE_Buildings_Resource[#Headers],0)+1)</f>
        <v>3</v>
      </c>
      <c r="F21" s="219"/>
      <c r="G21" s="96">
        <f>IF(SUM(B23:B33)&gt;D21,"Error",SUM(B23:B33))</f>
        <v>0</v>
      </c>
      <c r="H21" s="97">
        <f>IF(G$21="Error","Error",D21-G21)</f>
        <v>1</v>
      </c>
      <c r="I21" s="206">
        <f>IF(G$21="Error","Error",SUM(D23:D33))</f>
        <v>3</v>
      </c>
      <c r="J21" s="1101"/>
      <c r="K21" s="1102"/>
      <c r="L21" s="1103"/>
      <c r="M21" s="88">
        <f>VLOOKUP($A$2,AVAILABLE_Buildings_Resource[#All],MATCH(J20,AVAILABLE_Buildings_Resource[#Headers],0))</f>
        <v>1</v>
      </c>
      <c r="N21" s="89">
        <f>VLOOKUP($A$2,AVAILABLE_Buildings_Resource[#All],MATCH(J20,AVAILABLE_Buildings_Resource[#Headers],0)+1)</f>
        <v>3</v>
      </c>
      <c r="O21" s="219"/>
      <c r="P21" s="88">
        <f>IF(SUM(K23:K33)&gt;M21,"Error",SUM(K23:K33))</f>
        <v>0</v>
      </c>
      <c r="Q21" s="222">
        <f>IF(P$21="Error","Error",M21-P21)</f>
        <v>1</v>
      </c>
      <c r="R21" s="223">
        <f>IF(P$21="Error","Error",SUM(M23:M33))</f>
        <v>3</v>
      </c>
    </row>
    <row r="22" spans="1:19" ht="15" customHeight="1" thickBot="1">
      <c r="A22" s="532" t="s">
        <v>30</v>
      </c>
      <c r="B22" s="343" t="s">
        <v>29</v>
      </c>
      <c r="C22" s="472"/>
      <c r="D22" s="220" t="s">
        <v>29</v>
      </c>
      <c r="E22" s="221" t="s">
        <v>30</v>
      </c>
      <c r="F22" s="544" t="s">
        <v>258</v>
      </c>
      <c r="G22" s="544" t="s">
        <v>259</v>
      </c>
      <c r="H22" s="544" t="s">
        <v>232</v>
      </c>
      <c r="I22" s="545" t="s">
        <v>233</v>
      </c>
      <c r="J22" s="532" t="s">
        <v>30</v>
      </c>
      <c r="K22" s="343" t="s">
        <v>29</v>
      </c>
      <c r="L22" s="472"/>
      <c r="M22" s="220" t="s">
        <v>29</v>
      </c>
      <c r="N22" s="221" t="s">
        <v>30</v>
      </c>
      <c r="O22" s="544" t="s">
        <v>258</v>
      </c>
      <c r="P22" s="544" t="s">
        <v>259</v>
      </c>
      <c r="Q22" s="544" t="s">
        <v>232</v>
      </c>
      <c r="R22" s="545" t="s">
        <v>233</v>
      </c>
    </row>
    <row r="23" spans="1:19" ht="15" customHeight="1">
      <c r="A23" s="524">
        <v>1</v>
      </c>
      <c r="B23" s="995" t="str">
        <f>IF(Paramètres!E6=0,"",Paramètres!E6)</f>
        <v/>
      </c>
      <c r="C23" s="598">
        <f t="shared" ref="C23:C34" si="8">IF(C22&lt;&gt;0,C22+IF(AND(B22&lt;&gt;"",A22&lt;E$21),B22,0),IF(AND(B22&lt;&gt;"",A22&lt;E$21),B22,0))</f>
        <v>0</v>
      </c>
      <c r="D23" s="585">
        <f t="shared" ref="D23:D34" si="9">IF(E23&lt;&gt;"/",IF(G$21="Error","Error",$H$21+C23),"/")</f>
        <v>1</v>
      </c>
      <c r="E23" s="469">
        <f>IF(G$21="Error","Error",IF(AND($E$21&lt;&gt;"/",$E$21&gt;'Paramètres - Admin'!$A2),'Paramètres - Admin'!$A3,"/"))</f>
        <v>1</v>
      </c>
      <c r="F23" s="389">
        <f>IF(E23&lt;&gt;"/",VLOOKUP(E23,COSTS_Gold_Storage[#All],2),"/")</f>
        <v>300</v>
      </c>
      <c r="G23" s="470">
        <f>IF(E23&lt;&gt;"/",VLOOKUP(E23,COSTS_Gold_Storage[#All],3),"/")</f>
        <v>0.25</v>
      </c>
      <c r="H23" s="389">
        <f t="shared" ref="H23:H34" si="10">IF(G$21="Error","Error",IF(F23&lt;&gt;"/",D23*F23,0))</f>
        <v>300</v>
      </c>
      <c r="I23" s="471">
        <f t="shared" ref="I23:I34" si="11">IF(G$21="Error","Error",IF(G23&lt;&gt;"/",D23*G23,0))</f>
        <v>0.25</v>
      </c>
      <c r="J23" s="524">
        <v>1</v>
      </c>
      <c r="K23" s="995" t="str">
        <f>IF(Paramètres!F6=0,"",Paramètres!F6)</f>
        <v/>
      </c>
      <c r="L23" s="598">
        <f>IF(L22&lt;&gt;0,L22+IF(AND(K22&lt;&gt;"",J22&lt;N$21),K22,0),IF(AND(K22&lt;&gt;"",J22&lt;N$21),K22,0))</f>
        <v>0</v>
      </c>
      <c r="M23" s="585">
        <f t="shared" ref="M23:M34" si="12">IF(N23&lt;&gt;"/",IF(P$21="Error","Error",$Q$21+L23),"/")</f>
        <v>1</v>
      </c>
      <c r="N23" s="469">
        <f>IF(P$21="Error","Error",IF(AND($N$21&lt;&gt;"/",$N$21&gt;'Paramètres - Admin'!$A2),'Paramètres - Admin'!$A3,"/"))</f>
        <v>1</v>
      </c>
      <c r="O23" s="86">
        <f>IF(N23&lt;&gt;"/",VLOOKUP(N23,COSTS_Elixir_Storage[#All],2),"/")</f>
        <v>300</v>
      </c>
      <c r="P23" s="470">
        <f>IF(N23&lt;&gt;"/",VLOOKUP(N23,COSTS_Elixir_Storage[#All],3),"/")</f>
        <v>0.25</v>
      </c>
      <c r="Q23" s="86">
        <f t="shared" ref="Q23:Q34" si="13">IF(P$21="Error","Error",IF(O23&lt;&gt;"/",M23*O23,0))</f>
        <v>300</v>
      </c>
      <c r="R23" s="471">
        <f t="shared" ref="R23:R34" si="14">IF(P$21="Error","Error",IF(P23&lt;&gt;"/",M23*P23,0))</f>
        <v>0.25</v>
      </c>
    </row>
    <row r="24" spans="1:19" ht="15" customHeight="1">
      <c r="A24" s="996">
        <v>2</v>
      </c>
      <c r="B24" s="997" t="str">
        <f>IF(Paramètres!E7=0,"",Paramètres!E7)</f>
        <v/>
      </c>
      <c r="C24" s="810">
        <f t="shared" si="8"/>
        <v>0</v>
      </c>
      <c r="D24" s="586">
        <f t="shared" si="9"/>
        <v>1</v>
      </c>
      <c r="E24" s="108">
        <f>IF(G$21="Error","Error",IF(AND($E$21&lt;&gt;"/",$E$21&gt;'Paramètres - Admin'!$A3),'Paramètres - Admin'!$A4,"/"))</f>
        <v>2</v>
      </c>
      <c r="F24" s="390">
        <f>IF(E24&lt;&gt;"/",VLOOKUP(E24,COSTS_Gold_Storage[#All],2),"/")</f>
        <v>750</v>
      </c>
      <c r="G24" s="94">
        <f>IF(E24&lt;&gt;"/",VLOOKUP(E24,COSTS_Gold_Storage[#All],3),"/")</f>
        <v>0.5</v>
      </c>
      <c r="H24" s="390">
        <f t="shared" si="10"/>
        <v>750</v>
      </c>
      <c r="I24" s="534">
        <f t="shared" si="11"/>
        <v>0.5</v>
      </c>
      <c r="J24" s="996">
        <v>2</v>
      </c>
      <c r="K24" s="997" t="str">
        <f>IF(Paramètres!F7=0,"",Paramètres!F7)</f>
        <v/>
      </c>
      <c r="L24" s="810">
        <f t="shared" ref="L24:L33" si="15">IF(L23&lt;&gt;0,L23+IF(AND(K23&lt;&gt;"",J23&lt;N$21),K23,0),IF(AND(K23&lt;&gt;"",J23&lt;N$21),K23,0))</f>
        <v>0</v>
      </c>
      <c r="M24" s="586">
        <f t="shared" si="12"/>
        <v>1</v>
      </c>
      <c r="N24" s="108">
        <f>IF(P$21="Error","Error",IF(AND($N$21&lt;&gt;"/",$N$21&gt;'Paramètres - Admin'!$A3),'Paramètres - Admin'!$A4,"/"))</f>
        <v>2</v>
      </c>
      <c r="O24" s="529">
        <f>IF(N24&lt;&gt;"/",VLOOKUP(N24,COSTS_Elixir_Storage[#All],2),"/")</f>
        <v>750</v>
      </c>
      <c r="P24" s="94">
        <f>IF(N24&lt;&gt;"/",VLOOKUP(N24,COSTS_Elixir_Storage[#All],3),"/")</f>
        <v>0.5</v>
      </c>
      <c r="Q24" s="529">
        <f t="shared" si="13"/>
        <v>750</v>
      </c>
      <c r="R24" s="534">
        <f t="shared" si="14"/>
        <v>0.5</v>
      </c>
    </row>
    <row r="25" spans="1:19" ht="15" customHeight="1">
      <c r="A25" s="996">
        <v>3</v>
      </c>
      <c r="B25" s="997" t="str">
        <f>IF(Paramètres!E8=0,"",Paramètres!E8)</f>
        <v/>
      </c>
      <c r="C25" s="810">
        <f t="shared" si="8"/>
        <v>0</v>
      </c>
      <c r="D25" s="586">
        <f t="shared" si="9"/>
        <v>1</v>
      </c>
      <c r="E25" s="108">
        <f>IF(G$21="Error","Error",IF(AND($E$21&lt;&gt;"/",$E$21&gt;'Paramètres - Admin'!$A4),'Paramètres - Admin'!$A5,"/"))</f>
        <v>3</v>
      </c>
      <c r="F25" s="390">
        <f>IF(E25&lt;&gt;"/",VLOOKUP(E25,COSTS_Gold_Storage[#All],2),"/")</f>
        <v>1500</v>
      </c>
      <c r="G25" s="94">
        <f>IF(E25&lt;&gt;"/",VLOOKUP(E25,COSTS_Gold_Storage[#All],3),"/")</f>
        <v>1</v>
      </c>
      <c r="H25" s="390">
        <f t="shared" si="10"/>
        <v>1500</v>
      </c>
      <c r="I25" s="534">
        <f t="shared" si="11"/>
        <v>1</v>
      </c>
      <c r="J25" s="996">
        <v>3</v>
      </c>
      <c r="K25" s="997" t="str">
        <f>IF(Paramètres!F8=0,"",Paramètres!F8)</f>
        <v/>
      </c>
      <c r="L25" s="810">
        <f t="shared" si="15"/>
        <v>0</v>
      </c>
      <c r="M25" s="586">
        <f t="shared" si="12"/>
        <v>1</v>
      </c>
      <c r="N25" s="108">
        <f>IF(P$21="Error","Error",IF(AND($N$21&lt;&gt;"/",$N$21&gt;'Paramètres - Admin'!$A4),'Paramètres - Admin'!$A5,"/"))</f>
        <v>3</v>
      </c>
      <c r="O25" s="529">
        <f>IF(N25&lt;&gt;"/",VLOOKUP(N25,COSTS_Elixir_Storage[#All],2),"/")</f>
        <v>1500</v>
      </c>
      <c r="P25" s="94">
        <f>IF(N25&lt;&gt;"/",VLOOKUP(N25,COSTS_Elixir_Storage[#All],3),"/")</f>
        <v>1</v>
      </c>
      <c r="Q25" s="529">
        <f t="shared" si="13"/>
        <v>1500</v>
      </c>
      <c r="R25" s="534">
        <f t="shared" si="14"/>
        <v>1</v>
      </c>
    </row>
    <row r="26" spans="1:19" ht="15" customHeight="1">
      <c r="A26" s="996">
        <v>4</v>
      </c>
      <c r="B26" s="997" t="str">
        <f>IF(Paramètres!E9=0,"",Paramètres!E9)</f>
        <v/>
      </c>
      <c r="C26" s="810">
        <f t="shared" si="8"/>
        <v>0</v>
      </c>
      <c r="D26" s="586" t="str">
        <f t="shared" si="9"/>
        <v>/</v>
      </c>
      <c r="E26" s="108" t="str">
        <f>IF(G$21="Error","Error",IF(AND($E$21&lt;&gt;"/",$E$21&gt;'Paramètres - Admin'!$A5),'Paramètres - Admin'!$A6,"/"))</f>
        <v>/</v>
      </c>
      <c r="F26" s="390" t="str">
        <f>IF(E26&lt;&gt;"/",VLOOKUP(E26,COSTS_Gold_Storage[#All],2),"/")</f>
        <v>/</v>
      </c>
      <c r="G26" s="94" t="str">
        <f>IF(E26&lt;&gt;"/",VLOOKUP(E26,COSTS_Gold_Storage[#All],3),"/")</f>
        <v>/</v>
      </c>
      <c r="H26" s="390">
        <f t="shared" si="10"/>
        <v>0</v>
      </c>
      <c r="I26" s="534">
        <f t="shared" si="11"/>
        <v>0</v>
      </c>
      <c r="J26" s="996">
        <v>4</v>
      </c>
      <c r="K26" s="997" t="str">
        <f>IF(Paramètres!F9=0,"",Paramètres!F9)</f>
        <v/>
      </c>
      <c r="L26" s="810">
        <f t="shared" si="15"/>
        <v>0</v>
      </c>
      <c r="M26" s="586" t="str">
        <f t="shared" si="12"/>
        <v>/</v>
      </c>
      <c r="N26" s="108" t="str">
        <f>IF(P$21="Error","Error",IF(AND($N$21&lt;&gt;"/",$N$21&gt;'Paramètres - Admin'!$A5),'Paramètres - Admin'!$A6,"/"))</f>
        <v>/</v>
      </c>
      <c r="O26" s="529" t="str">
        <f>IF(N26&lt;&gt;"/",VLOOKUP(N26,COSTS_Elixir_Storage[#All],2),"/")</f>
        <v>/</v>
      </c>
      <c r="P26" s="94" t="str">
        <f>IF(N26&lt;&gt;"/",VLOOKUP(N26,COSTS_Elixir_Storage[#All],3),"/")</f>
        <v>/</v>
      </c>
      <c r="Q26" s="529">
        <f t="shared" si="13"/>
        <v>0</v>
      </c>
      <c r="R26" s="534">
        <f t="shared" si="14"/>
        <v>0</v>
      </c>
    </row>
    <row r="27" spans="1:19" ht="15" customHeight="1">
      <c r="A27" s="996">
        <v>5</v>
      </c>
      <c r="B27" s="997" t="str">
        <f>IF(Paramètres!E10=0,"",Paramètres!E10)</f>
        <v/>
      </c>
      <c r="C27" s="810">
        <f t="shared" si="8"/>
        <v>0</v>
      </c>
      <c r="D27" s="586" t="str">
        <f t="shared" si="9"/>
        <v>/</v>
      </c>
      <c r="E27" s="108" t="str">
        <f>IF(G$21="Error","Error",IF(AND($E$21&lt;&gt;"/",$E$21&gt;'Paramètres - Admin'!$A6),'Paramètres - Admin'!$A7,"/"))</f>
        <v>/</v>
      </c>
      <c r="F27" s="390" t="str">
        <f>IF(E27&lt;&gt;"/",VLOOKUP(E27,COSTS_Gold_Storage[#All],2),"/")</f>
        <v>/</v>
      </c>
      <c r="G27" s="94" t="str">
        <f>IF(E27&lt;&gt;"/",VLOOKUP(E27,COSTS_Gold_Storage[#All],3),"/")</f>
        <v>/</v>
      </c>
      <c r="H27" s="390">
        <f t="shared" si="10"/>
        <v>0</v>
      </c>
      <c r="I27" s="534">
        <f t="shared" si="11"/>
        <v>0</v>
      </c>
      <c r="J27" s="996">
        <v>5</v>
      </c>
      <c r="K27" s="997" t="str">
        <f>IF(Paramètres!F10=0,"",Paramètres!F10)</f>
        <v/>
      </c>
      <c r="L27" s="810">
        <f t="shared" si="15"/>
        <v>0</v>
      </c>
      <c r="M27" s="586" t="str">
        <f t="shared" si="12"/>
        <v>/</v>
      </c>
      <c r="N27" s="108" t="str">
        <f>IF(P$21="Error","Error",IF(AND($N$21&lt;&gt;"/",$N$21&gt;'Paramètres - Admin'!$A6),'Paramètres - Admin'!$A7,"/"))</f>
        <v>/</v>
      </c>
      <c r="O27" s="529" t="str">
        <f>IF(N27&lt;&gt;"/",VLOOKUP(N27,COSTS_Elixir_Storage[#All],2),"/")</f>
        <v>/</v>
      </c>
      <c r="P27" s="94" t="str">
        <f>IF(N27&lt;&gt;"/",VLOOKUP(N27,COSTS_Elixir_Storage[#All],3),"/")</f>
        <v>/</v>
      </c>
      <c r="Q27" s="529">
        <f t="shared" si="13"/>
        <v>0</v>
      </c>
      <c r="R27" s="534">
        <f t="shared" si="14"/>
        <v>0</v>
      </c>
    </row>
    <row r="28" spans="1:19" ht="15" customHeight="1">
      <c r="A28" s="996">
        <v>6</v>
      </c>
      <c r="B28" s="997" t="str">
        <f>IF(Paramètres!E11=0,"",Paramètres!E11)</f>
        <v/>
      </c>
      <c r="C28" s="810">
        <f t="shared" si="8"/>
        <v>0</v>
      </c>
      <c r="D28" s="586" t="str">
        <f t="shared" si="9"/>
        <v>/</v>
      </c>
      <c r="E28" s="108" t="str">
        <f>IF(G$21="Error","Error",IF(AND($E$21&lt;&gt;"/",$E$21&gt;'Paramètres - Admin'!$A7),'Paramètres - Admin'!$A8,"/"))</f>
        <v>/</v>
      </c>
      <c r="F28" s="390" t="str">
        <f>IF(E28&lt;&gt;"/",VLOOKUP(E28,COSTS_Gold_Storage[#All],2),"/")</f>
        <v>/</v>
      </c>
      <c r="G28" s="94" t="str">
        <f>IF(E28&lt;&gt;"/",VLOOKUP(E28,COSTS_Gold_Storage[#All],3),"/")</f>
        <v>/</v>
      </c>
      <c r="H28" s="390">
        <f t="shared" si="10"/>
        <v>0</v>
      </c>
      <c r="I28" s="534">
        <f t="shared" si="11"/>
        <v>0</v>
      </c>
      <c r="J28" s="996">
        <v>6</v>
      </c>
      <c r="K28" s="997" t="str">
        <f>IF(Paramètres!F11=0,"",Paramètres!F11)</f>
        <v/>
      </c>
      <c r="L28" s="810">
        <f t="shared" si="15"/>
        <v>0</v>
      </c>
      <c r="M28" s="586" t="str">
        <f t="shared" si="12"/>
        <v>/</v>
      </c>
      <c r="N28" s="108" t="str">
        <f>IF(P$21="Error","Error",IF(AND($N$21&lt;&gt;"/",$N$21&gt;'Paramètres - Admin'!$A7),'Paramètres - Admin'!$A8,"/"))</f>
        <v>/</v>
      </c>
      <c r="O28" s="529" t="str">
        <f>IF(N28&lt;&gt;"/",VLOOKUP(N28,COSTS_Elixir_Storage[#All],2),"/")</f>
        <v>/</v>
      </c>
      <c r="P28" s="94" t="str">
        <f>IF(N28&lt;&gt;"/",VLOOKUP(N28,COSTS_Elixir_Storage[#All],3),"/")</f>
        <v>/</v>
      </c>
      <c r="Q28" s="529">
        <f t="shared" si="13"/>
        <v>0</v>
      </c>
      <c r="R28" s="534">
        <f t="shared" si="14"/>
        <v>0</v>
      </c>
    </row>
    <row r="29" spans="1:19" ht="15" customHeight="1">
      <c r="A29" s="996">
        <v>7</v>
      </c>
      <c r="B29" s="997" t="str">
        <f>IF(Paramètres!E12=0,"",Paramètres!E12)</f>
        <v/>
      </c>
      <c r="C29" s="810">
        <f t="shared" si="8"/>
        <v>0</v>
      </c>
      <c r="D29" s="586" t="str">
        <f t="shared" si="9"/>
        <v>/</v>
      </c>
      <c r="E29" s="108" t="str">
        <f>IF(G$21="Error","Error",IF(AND($E$21&lt;&gt;"/",$E$21&gt;'Paramètres - Admin'!$A8),'Paramètres - Admin'!$A9,"/"))</f>
        <v>/</v>
      </c>
      <c r="F29" s="390" t="str">
        <f>IF(E29&lt;&gt;"/",VLOOKUP(E29,COSTS_Gold_Storage[#All],2),"/")</f>
        <v>/</v>
      </c>
      <c r="G29" s="94" t="str">
        <f>IF(E29&lt;&gt;"/",VLOOKUP(E29,COSTS_Gold_Storage[#All],3),"/")</f>
        <v>/</v>
      </c>
      <c r="H29" s="390">
        <f t="shared" si="10"/>
        <v>0</v>
      </c>
      <c r="I29" s="534">
        <f t="shared" si="11"/>
        <v>0</v>
      </c>
      <c r="J29" s="996">
        <v>7</v>
      </c>
      <c r="K29" s="997" t="str">
        <f>IF(Paramètres!F12=0,"",Paramètres!F12)</f>
        <v/>
      </c>
      <c r="L29" s="810">
        <f t="shared" si="15"/>
        <v>0</v>
      </c>
      <c r="M29" s="586" t="str">
        <f t="shared" si="12"/>
        <v>/</v>
      </c>
      <c r="N29" s="108" t="str">
        <f>IF(P$21="Error","Error",IF(AND($N$21&lt;&gt;"/",$N$21&gt;'Paramètres - Admin'!$A8),'Paramètres - Admin'!$A9,"/"))</f>
        <v>/</v>
      </c>
      <c r="O29" s="529" t="str">
        <f>IF(N29&lt;&gt;"/",VLOOKUP(N29,COSTS_Elixir_Storage[#All],2),"/")</f>
        <v>/</v>
      </c>
      <c r="P29" s="94" t="str">
        <f>IF(N29&lt;&gt;"/",VLOOKUP(N29,COSTS_Elixir_Storage[#All],3),"/")</f>
        <v>/</v>
      </c>
      <c r="Q29" s="529">
        <f t="shared" si="13"/>
        <v>0</v>
      </c>
      <c r="R29" s="534">
        <f t="shared" si="14"/>
        <v>0</v>
      </c>
    </row>
    <row r="30" spans="1:19" ht="15" customHeight="1">
      <c r="A30" s="996">
        <v>8</v>
      </c>
      <c r="B30" s="997" t="str">
        <f>IF(Paramètres!E13=0,"",Paramètres!E13)</f>
        <v/>
      </c>
      <c r="C30" s="810">
        <f t="shared" si="8"/>
        <v>0</v>
      </c>
      <c r="D30" s="586" t="str">
        <f t="shared" si="9"/>
        <v>/</v>
      </c>
      <c r="E30" s="108" t="str">
        <f>IF(G$21="Error","Error",IF(AND($E$21&lt;&gt;"/",$E$21&gt;'Paramètres - Admin'!$A9),'Paramètres - Admin'!$A10,"/"))</f>
        <v>/</v>
      </c>
      <c r="F30" s="390" t="str">
        <f>IF(E30&lt;&gt;"/",VLOOKUP(E30,COSTS_Gold_Storage[#All],2),"/")</f>
        <v>/</v>
      </c>
      <c r="G30" s="94" t="str">
        <f>IF(E30&lt;&gt;"/",VLOOKUP(E30,COSTS_Gold_Storage[#All],3),"/")</f>
        <v>/</v>
      </c>
      <c r="H30" s="390">
        <f t="shared" si="10"/>
        <v>0</v>
      </c>
      <c r="I30" s="534">
        <f t="shared" si="11"/>
        <v>0</v>
      </c>
      <c r="J30" s="996">
        <v>8</v>
      </c>
      <c r="K30" s="997" t="str">
        <f>IF(Paramètres!F13=0,"",Paramètres!F13)</f>
        <v/>
      </c>
      <c r="L30" s="810">
        <f t="shared" si="15"/>
        <v>0</v>
      </c>
      <c r="M30" s="586" t="str">
        <f t="shared" si="12"/>
        <v>/</v>
      </c>
      <c r="N30" s="108" t="str">
        <f>IF(P$21="Error","Error",IF(AND($N$21&lt;&gt;"/",$N$21&gt;'Paramètres - Admin'!$A9),'Paramètres - Admin'!$A10,"/"))</f>
        <v>/</v>
      </c>
      <c r="O30" s="529" t="str">
        <f>IF(N30&lt;&gt;"/",VLOOKUP(N30,COSTS_Elixir_Storage[#All],2),"/")</f>
        <v>/</v>
      </c>
      <c r="P30" s="94" t="str">
        <f>IF(N30&lt;&gt;"/",VLOOKUP(N30,COSTS_Elixir_Storage[#All],3),"/")</f>
        <v>/</v>
      </c>
      <c r="Q30" s="529">
        <f t="shared" si="13"/>
        <v>0</v>
      </c>
      <c r="R30" s="534">
        <f t="shared" si="14"/>
        <v>0</v>
      </c>
    </row>
    <row r="31" spans="1:19" ht="15" customHeight="1">
      <c r="A31" s="996">
        <v>9</v>
      </c>
      <c r="B31" s="997" t="str">
        <f>IF(Paramètres!E14=0,"",Paramètres!E14)</f>
        <v/>
      </c>
      <c r="C31" s="810">
        <f t="shared" si="8"/>
        <v>0</v>
      </c>
      <c r="D31" s="586" t="str">
        <f t="shared" si="9"/>
        <v>/</v>
      </c>
      <c r="E31" s="108" t="str">
        <f>IF(G$21="Error","Error",IF(AND($E$21&lt;&gt;"/",$E$21&gt;'Paramètres - Admin'!$A10),'Paramètres - Admin'!$A11,"/"))</f>
        <v>/</v>
      </c>
      <c r="F31" s="390" t="str">
        <f>IF(E31&lt;&gt;"/",VLOOKUP(E31,COSTS_Gold_Storage[#All],2),"/")</f>
        <v>/</v>
      </c>
      <c r="G31" s="94" t="str">
        <f>IF(E31&lt;&gt;"/",VLOOKUP(E31,COSTS_Gold_Storage[#All],3),"/")</f>
        <v>/</v>
      </c>
      <c r="H31" s="390">
        <f t="shared" si="10"/>
        <v>0</v>
      </c>
      <c r="I31" s="534">
        <f t="shared" si="11"/>
        <v>0</v>
      </c>
      <c r="J31" s="996">
        <v>9</v>
      </c>
      <c r="K31" s="997" t="str">
        <f>IF(Paramètres!F14=0,"",Paramètres!F14)</f>
        <v/>
      </c>
      <c r="L31" s="810">
        <f t="shared" si="15"/>
        <v>0</v>
      </c>
      <c r="M31" s="586" t="str">
        <f t="shared" si="12"/>
        <v>/</v>
      </c>
      <c r="N31" s="108" t="str">
        <f>IF(P$21="Error","Error",IF(AND($N$21&lt;&gt;"/",$N$21&gt;'Paramètres - Admin'!$A10),'Paramètres - Admin'!$A11,"/"))</f>
        <v>/</v>
      </c>
      <c r="O31" s="529" t="str">
        <f>IF(N31&lt;&gt;"/",VLOOKUP(N31,COSTS_Elixir_Storage[#All],2),"/")</f>
        <v>/</v>
      </c>
      <c r="P31" s="94" t="str">
        <f>IF(N31&lt;&gt;"/",VLOOKUP(N31,COSTS_Elixir_Storage[#All],3),"/")</f>
        <v>/</v>
      </c>
      <c r="Q31" s="529">
        <f t="shared" si="13"/>
        <v>0</v>
      </c>
      <c r="R31" s="534">
        <f t="shared" si="14"/>
        <v>0</v>
      </c>
    </row>
    <row r="32" spans="1:19" ht="15" customHeight="1">
      <c r="A32" s="996">
        <v>10</v>
      </c>
      <c r="B32" s="997" t="str">
        <f>IF(Paramètres!E15=0,"",Paramètres!E15)</f>
        <v/>
      </c>
      <c r="C32" s="810">
        <f t="shared" si="8"/>
        <v>0</v>
      </c>
      <c r="D32" s="586" t="str">
        <f t="shared" si="9"/>
        <v>/</v>
      </c>
      <c r="E32" s="108" t="str">
        <f>IF(G$21="Error","Error",IF(AND($E$21&lt;&gt;"/",$E$21&gt;'Paramètres - Admin'!$A11),'Paramètres - Admin'!$A12,"/"))</f>
        <v>/</v>
      </c>
      <c r="F32" s="390" t="str">
        <f>IF(E32&lt;&gt;"/",VLOOKUP(E32,COSTS_Gold_Storage[#All],2),"/")</f>
        <v>/</v>
      </c>
      <c r="G32" s="94" t="str">
        <f>IF(E32&lt;&gt;"/",VLOOKUP(E32,COSTS_Gold_Storage[#All],3),"/")</f>
        <v>/</v>
      </c>
      <c r="H32" s="390">
        <f t="shared" si="10"/>
        <v>0</v>
      </c>
      <c r="I32" s="534">
        <f t="shared" si="11"/>
        <v>0</v>
      </c>
      <c r="J32" s="996">
        <v>10</v>
      </c>
      <c r="K32" s="997" t="str">
        <f>IF(Paramètres!F15=0,"",Paramètres!F15)</f>
        <v/>
      </c>
      <c r="L32" s="810">
        <f t="shared" si="15"/>
        <v>0</v>
      </c>
      <c r="M32" s="586" t="str">
        <f t="shared" si="12"/>
        <v>/</v>
      </c>
      <c r="N32" s="108" t="str">
        <f>IF(P$21="Error","Error",IF(AND($N$21&lt;&gt;"/",$N$21&gt;'Paramètres - Admin'!$A11),'Paramètres - Admin'!$A12,"/"))</f>
        <v>/</v>
      </c>
      <c r="O32" s="529" t="str">
        <f>IF(N32&lt;&gt;"/",VLOOKUP(N32,COSTS_Elixir_Storage[#All],2),"/")</f>
        <v>/</v>
      </c>
      <c r="P32" s="94" t="str">
        <f>IF(N32&lt;&gt;"/",VLOOKUP(N32,COSTS_Elixir_Storage[#All],3),"/")</f>
        <v>/</v>
      </c>
      <c r="Q32" s="529">
        <f t="shared" si="13"/>
        <v>0</v>
      </c>
      <c r="R32" s="534">
        <f t="shared" si="14"/>
        <v>0</v>
      </c>
    </row>
    <row r="33" spans="1:18" ht="15" customHeight="1">
      <c r="A33" s="996">
        <v>11</v>
      </c>
      <c r="B33" s="997" t="str">
        <f>IF(Paramètres!E16=0,"",Paramètres!E16)</f>
        <v/>
      </c>
      <c r="C33" s="810">
        <f t="shared" si="8"/>
        <v>0</v>
      </c>
      <c r="D33" s="586" t="str">
        <f t="shared" si="9"/>
        <v>/</v>
      </c>
      <c r="E33" s="108" t="str">
        <f>IF(G$21="Error","Error",IF(AND($E$21&lt;&gt;"/",$E$21&gt;'Paramètres - Admin'!$A12),'Paramètres - Admin'!$A13,"/"))</f>
        <v>/</v>
      </c>
      <c r="F33" s="390" t="str">
        <f>IF(E33&lt;&gt;"/",VLOOKUP(E33,COSTS_Gold_Storage[#All],2),"/")</f>
        <v>/</v>
      </c>
      <c r="G33" s="94" t="str">
        <f>IF(E33&lt;&gt;"/",VLOOKUP(E33,COSTS_Gold_Storage[#All],3),"/")</f>
        <v>/</v>
      </c>
      <c r="H33" s="390">
        <f t="shared" si="10"/>
        <v>0</v>
      </c>
      <c r="I33" s="534">
        <f t="shared" si="11"/>
        <v>0</v>
      </c>
      <c r="J33" s="996">
        <v>11</v>
      </c>
      <c r="K33" s="997" t="str">
        <f>IF(Paramètres!F16=0,"",Paramètres!F16)</f>
        <v/>
      </c>
      <c r="L33" s="810">
        <f t="shared" si="15"/>
        <v>0</v>
      </c>
      <c r="M33" s="586" t="str">
        <f t="shared" si="12"/>
        <v>/</v>
      </c>
      <c r="N33" s="108" t="str">
        <f>IF(P$21="Error","Error",IF(AND($N$21&lt;&gt;"/",$N$21&gt;'Paramètres - Admin'!$A12),'Paramètres - Admin'!$A13,"/"))</f>
        <v>/</v>
      </c>
      <c r="O33" s="529" t="str">
        <f>IF(N33&lt;&gt;"/",VLOOKUP(N33,COSTS_Elixir_Storage[#All],2),"/")</f>
        <v>/</v>
      </c>
      <c r="P33" s="94" t="str">
        <f>IF(N33&lt;&gt;"/",VLOOKUP(N33,COSTS_Elixir_Storage[#All],3),"/")</f>
        <v>/</v>
      </c>
      <c r="Q33" s="529">
        <f t="shared" si="13"/>
        <v>0</v>
      </c>
      <c r="R33" s="534">
        <f t="shared" si="14"/>
        <v>0</v>
      </c>
    </row>
    <row r="34" spans="1:18" s="537" customFormat="1" ht="15" customHeight="1" thickBot="1">
      <c r="A34" s="998">
        <v>12</v>
      </c>
      <c r="B34" s="999" t="str">
        <f>IF(Paramètres!E17=0,"",Paramètres!E17)</f>
        <v/>
      </c>
      <c r="C34" s="811">
        <f t="shared" si="8"/>
        <v>0</v>
      </c>
      <c r="D34" s="587" t="str">
        <f t="shared" si="9"/>
        <v>/</v>
      </c>
      <c r="E34" s="116" t="str">
        <f>IF(G$21="Error","Error",IF(AND($E$21&lt;&gt;"/",$E$21&gt;'Paramètres - Admin'!$A13),'Paramètres - Admin'!$A14,"/"))</f>
        <v>/</v>
      </c>
      <c r="F34" s="391" t="str">
        <f>IF(E34&lt;&gt;"/",VLOOKUP(E34,COSTS_Gold_Storage[#All],2),"/")</f>
        <v>/</v>
      </c>
      <c r="G34" s="114" t="str">
        <f>IF(E34&lt;&gt;"/",VLOOKUP(E34,COSTS_Gold_Storage[#All],3),"/")</f>
        <v>/</v>
      </c>
      <c r="H34" s="391">
        <f t="shared" si="10"/>
        <v>0</v>
      </c>
      <c r="I34" s="117">
        <f t="shared" si="11"/>
        <v>0</v>
      </c>
      <c r="J34" s="998">
        <v>12</v>
      </c>
      <c r="K34" s="999" t="str">
        <f>IF(Paramètres!F17=0,"",Paramètres!F17)</f>
        <v/>
      </c>
      <c r="L34" s="811">
        <f t="shared" ref="L34" si="16">IF(L33&lt;&gt;0,L33+IF(AND(K33&lt;&gt;"",J33&lt;N$21),K33,0),IF(AND(K33&lt;&gt;"",J33&lt;N$21),K33,0))</f>
        <v>0</v>
      </c>
      <c r="M34" s="587" t="str">
        <f t="shared" si="12"/>
        <v>/</v>
      </c>
      <c r="N34" s="116" t="str">
        <f>IF(P$21="Error","Error",IF(AND($N$21&lt;&gt;"/",$N$21&gt;'Paramètres - Admin'!$A13),'Paramètres - Admin'!$A14,"/"))</f>
        <v>/</v>
      </c>
      <c r="O34" s="118" t="str">
        <f>IF(N34&lt;&gt;"/",VLOOKUP(N34,COSTS_Elixir_Storage[#All],2),"/")</f>
        <v>/</v>
      </c>
      <c r="P34" s="114" t="str">
        <f>IF(N34&lt;&gt;"/",VLOOKUP(N34,COSTS_Elixir_Storage[#All],3),"/")</f>
        <v>/</v>
      </c>
      <c r="Q34" s="118">
        <f t="shared" si="13"/>
        <v>0</v>
      </c>
      <c r="R34" s="117">
        <f t="shared" si="14"/>
        <v>0</v>
      </c>
    </row>
    <row r="35" spans="1:18" ht="15" customHeight="1" thickBot="1">
      <c r="A35" s="967"/>
      <c r="B35" s="968"/>
      <c r="C35" s="968"/>
      <c r="D35" s="968"/>
      <c r="E35" s="968"/>
      <c r="F35" s="968"/>
      <c r="G35" s="523" t="s">
        <v>31</v>
      </c>
      <c r="H35" s="392">
        <f>IF(G$21="Error","Error",SUM(H23:H33))</f>
        <v>2550</v>
      </c>
      <c r="I35" s="546">
        <f>IF(G$21="Error","Error",SUM(I23:I33))</f>
        <v>1.75</v>
      </c>
      <c r="J35" s="967"/>
      <c r="K35" s="968"/>
      <c r="L35" s="968"/>
      <c r="M35" s="968"/>
      <c r="N35" s="968"/>
      <c r="O35" s="968"/>
      <c r="P35" s="523" t="s">
        <v>31</v>
      </c>
      <c r="Q35" s="227">
        <f>IF(P$21="Error","Error",SUM(Q23:Q33))</f>
        <v>2550</v>
      </c>
      <c r="R35" s="546">
        <f>IF(P$21="Error","Error",SUM(R23:R33))</f>
        <v>1.75</v>
      </c>
    </row>
    <row r="36" spans="1:18" ht="15" customHeight="1">
      <c r="A36" s="1104" t="s">
        <v>211</v>
      </c>
      <c r="B36" s="1109"/>
      <c r="C36" s="1110"/>
      <c r="D36" s="80" t="s">
        <v>38</v>
      </c>
      <c r="E36" s="81" t="s">
        <v>39</v>
      </c>
      <c r="F36" s="218"/>
      <c r="G36" s="524" t="s">
        <v>256</v>
      </c>
      <c r="H36" s="526" t="s">
        <v>361</v>
      </c>
      <c r="I36" s="525" t="s">
        <v>257</v>
      </c>
      <c r="J36" s="1104" t="s">
        <v>451</v>
      </c>
      <c r="K36" s="1109"/>
      <c r="L36" s="1110"/>
      <c r="M36" s="80" t="s">
        <v>38</v>
      </c>
      <c r="N36" s="81" t="s">
        <v>39</v>
      </c>
      <c r="O36" s="218"/>
      <c r="P36" s="524" t="s">
        <v>256</v>
      </c>
      <c r="Q36" s="526" t="s">
        <v>361</v>
      </c>
      <c r="R36" s="525" t="s">
        <v>257</v>
      </c>
    </row>
    <row r="37" spans="1:18" ht="15" customHeight="1" thickBot="1">
      <c r="A37" s="1101"/>
      <c r="B37" s="1102"/>
      <c r="C37" s="1103"/>
      <c r="D37" s="88">
        <f>VLOOKUP($A$2,AVAILABLE_Buildings_Resource[#All],MATCH(A36,AVAILABLE_Buildings_Resource[#Headers],0))</f>
        <v>0</v>
      </c>
      <c r="E37" s="89">
        <f>VLOOKUP($A$2,AVAILABLE_Buildings_Resource[#All],MATCH(A36,AVAILABLE_Buildings_Resource[#Headers],0)+1)</f>
        <v>0</v>
      </c>
      <c r="F37" s="219"/>
      <c r="G37" s="96">
        <f>IF(SUM(B39:B44)&gt;D37,"Error",SUM(B39:B44))</f>
        <v>0</v>
      </c>
      <c r="H37" s="97">
        <f>IF(G$37="Error","Error",D37-G37)</f>
        <v>0</v>
      </c>
      <c r="I37" s="206">
        <f>IF(G$37="Error","Error",SUM(D39:D44))</f>
        <v>0</v>
      </c>
      <c r="J37" s="1101"/>
      <c r="K37" s="1102"/>
      <c r="L37" s="1103"/>
      <c r="M37" s="88">
        <f>VLOOKUP($A$2,AVAILABLE_Buildings_Resource[#All],MATCH(J36,AVAILABLE_Buildings_Resource[#Headers],0))</f>
        <v>0</v>
      </c>
      <c r="N37" s="89">
        <f>VLOOKUP($A$2,AVAILABLE_Buildings_Resource[#All],MATCH(J36,AVAILABLE_Buildings_Resource[#Headers],0)+1)</f>
        <v>0</v>
      </c>
      <c r="O37" s="219"/>
      <c r="P37" s="96">
        <f>IF(SUM(K39:K44)&gt;M37,"Error",SUM(K39:K44))</f>
        <v>0</v>
      </c>
      <c r="Q37" s="97">
        <f>IF(P$37="Error","Error",M37-P37)</f>
        <v>0</v>
      </c>
      <c r="R37" s="206">
        <f>IF(P$37="Error","Error",SUM(M39:M44))</f>
        <v>0</v>
      </c>
    </row>
    <row r="38" spans="1:18" ht="15" customHeight="1" thickBot="1">
      <c r="A38" s="532" t="s">
        <v>30</v>
      </c>
      <c r="B38" s="343" t="s">
        <v>29</v>
      </c>
      <c r="C38" s="472"/>
      <c r="D38" s="220" t="s">
        <v>29</v>
      </c>
      <c r="E38" s="221" t="s">
        <v>30</v>
      </c>
      <c r="F38" s="544" t="s">
        <v>258</v>
      </c>
      <c r="G38" s="544" t="s">
        <v>259</v>
      </c>
      <c r="H38" s="544" t="s">
        <v>232</v>
      </c>
      <c r="I38" s="545" t="s">
        <v>233</v>
      </c>
      <c r="J38" s="532" t="s">
        <v>30</v>
      </c>
      <c r="K38" s="343" t="s">
        <v>29</v>
      </c>
      <c r="L38" s="472"/>
      <c r="M38" s="220" t="s">
        <v>29</v>
      </c>
      <c r="N38" s="221" t="s">
        <v>30</v>
      </c>
      <c r="O38" s="544" t="s">
        <v>258</v>
      </c>
      <c r="P38" s="544" t="s">
        <v>259</v>
      </c>
      <c r="Q38" s="544" t="s">
        <v>232</v>
      </c>
      <c r="R38" s="545" t="s">
        <v>233</v>
      </c>
    </row>
    <row r="39" spans="1:18" ht="15" customHeight="1">
      <c r="A39" s="524">
        <v>1</v>
      </c>
      <c r="B39" s="995" t="str">
        <f>IF(Paramètres!D6=0,"",Paramètres!D6)</f>
        <v/>
      </c>
      <c r="C39" s="598">
        <f t="shared" ref="C39:C44" si="17">IF(C38&lt;&gt;0,C38+IF(AND(B38&lt;&gt;"",A38&lt;E$37),B38,0),IF(AND(B38&lt;&gt;"",A38&lt;E$37),B38,0))</f>
        <v>0</v>
      </c>
      <c r="D39" s="585" t="str">
        <f t="shared" ref="D39:D44" si="18">IF(E39&lt;&gt;"/",IF(G$37="Error","Error",$H$37+C39),"/")</f>
        <v>/</v>
      </c>
      <c r="E39" s="469" t="str">
        <f>IF(G$37="Error","Error",IF(AND($E$37&lt;&gt;"/",$E$37&gt;'Paramètres - Admin'!$A2),'Paramètres - Admin'!$A3,"/"))</f>
        <v>/</v>
      </c>
      <c r="F39" s="389" t="str">
        <f>IF(E39&lt;&gt;"/",VLOOKUP(E39,COSTS_Dark_Elixir_Drill[#All],2),"/")</f>
        <v>/</v>
      </c>
      <c r="G39" s="470" t="str">
        <f>IF(E39&lt;&gt;"/",VLOOKUP(E39,COSTS_Dark_Elixir_Drill[#All],3),"/")</f>
        <v>/</v>
      </c>
      <c r="H39" s="389">
        <f t="shared" ref="H39:H44" si="19">IF(G$37="Error","Error",IF(F39&lt;&gt;"/",D39*F39,0))</f>
        <v>0</v>
      </c>
      <c r="I39" s="471">
        <f t="shared" ref="I39:I44" si="20">IF(G$37="Error","Error",IF(G39&lt;&gt;"/",D39*G39,0))</f>
        <v>0</v>
      </c>
      <c r="J39" s="524">
        <v>1</v>
      </c>
      <c r="K39" s="995" t="str">
        <f>IF(Paramètres!G6=0,"",Paramètres!G6)</f>
        <v/>
      </c>
      <c r="L39" s="598">
        <f t="shared" ref="L39:L44" si="21">IF(L38&lt;&gt;0,L38+IF(AND(K38&lt;&gt;"",J38&lt;N$37),K38,0),IF(AND(K38&lt;&gt;"",J38&lt;N$37),K38,0))</f>
        <v>0</v>
      </c>
      <c r="M39" s="585" t="str">
        <f t="shared" ref="M39:M44" si="22">IF(N39&lt;&gt;"/",IF(P$37="Error","Error",$Q$37+L39),"/")</f>
        <v>/</v>
      </c>
      <c r="N39" s="469" t="str">
        <f>IF(P$37="Error","Error",IF(AND($N$37&lt;&gt;"/",$N$37&gt;'Paramètres - Admin'!$A2),'Paramètres - Admin'!$A3,"/"))</f>
        <v>/</v>
      </c>
      <c r="O39" s="389" t="str">
        <f>IF(N39&lt;&gt;"/",VLOOKUP(N39,COSTS_Dark_Elixir_Storage[#All],2),"/")</f>
        <v>/</v>
      </c>
      <c r="P39" s="470" t="str">
        <f>IF(N39&lt;&gt;"/",VLOOKUP(N39,COSTS_Dark_Elixir_Storage[#All],3),"/")</f>
        <v>/</v>
      </c>
      <c r="Q39" s="389">
        <f t="shared" ref="Q39:Q44" si="23">IF(P$37="Error","Error",IF(O39&lt;&gt;"/",M39*O39,0))</f>
        <v>0</v>
      </c>
      <c r="R39" s="471">
        <f t="shared" ref="R39:R44" si="24">IF(P$37="Error","Error",IF(P39&lt;&gt;"/",M39*P39,0))</f>
        <v>0</v>
      </c>
    </row>
    <row r="40" spans="1:18" ht="15" customHeight="1">
      <c r="A40" s="996">
        <v>2</v>
      </c>
      <c r="B40" s="997" t="str">
        <f>IF(Paramètres!D7=0,"",Paramètres!D7)</f>
        <v/>
      </c>
      <c r="C40" s="810">
        <f t="shared" si="17"/>
        <v>0</v>
      </c>
      <c r="D40" s="586" t="str">
        <f t="shared" si="18"/>
        <v>/</v>
      </c>
      <c r="E40" s="108" t="str">
        <f>IF(G$37="Error","Error",IF(AND($E$37&lt;&gt;"/",$E$37&gt;'Paramètres - Admin'!$A3),'Paramètres - Admin'!$A4,"/"))</f>
        <v>/</v>
      </c>
      <c r="F40" s="390" t="str">
        <f>IF(E40&lt;&gt;"/",VLOOKUP(E40,COSTS_Dark_Elixir_Drill[#All],2),"/")</f>
        <v>/</v>
      </c>
      <c r="G40" s="94" t="str">
        <f>IF(E40&lt;&gt;"/",VLOOKUP(E40,COSTS_Dark_Elixir_Drill[#All],3),"/")</f>
        <v>/</v>
      </c>
      <c r="H40" s="390">
        <f t="shared" si="19"/>
        <v>0</v>
      </c>
      <c r="I40" s="534">
        <f t="shared" si="20"/>
        <v>0</v>
      </c>
      <c r="J40" s="996">
        <v>2</v>
      </c>
      <c r="K40" s="997" t="str">
        <f>IF(Paramètres!G7=0,"",Paramètres!G7)</f>
        <v/>
      </c>
      <c r="L40" s="810">
        <f t="shared" si="21"/>
        <v>0</v>
      </c>
      <c r="M40" s="586" t="str">
        <f t="shared" si="22"/>
        <v>/</v>
      </c>
      <c r="N40" s="108" t="str">
        <f>IF(P$37="Error","Error",IF(AND($N$37&lt;&gt;"/",$N$37&gt;'Paramètres - Admin'!$A3),'Paramètres - Admin'!$A4,"/"))</f>
        <v>/</v>
      </c>
      <c r="O40" s="390" t="str">
        <f>IF(N40&lt;&gt;"/",VLOOKUP(N40,COSTS_Dark_Elixir_Storage[#All],2),"/")</f>
        <v>/</v>
      </c>
      <c r="P40" s="94" t="str">
        <f>IF(N40&lt;&gt;"/",VLOOKUP(N40,COSTS_Dark_Elixir_Storage[#All],3),"/")</f>
        <v>/</v>
      </c>
      <c r="Q40" s="390">
        <f t="shared" si="23"/>
        <v>0</v>
      </c>
      <c r="R40" s="534">
        <f t="shared" si="24"/>
        <v>0</v>
      </c>
    </row>
    <row r="41" spans="1:18" ht="15" customHeight="1">
      <c r="A41" s="996">
        <v>3</v>
      </c>
      <c r="B41" s="997" t="str">
        <f>IF(Paramètres!D8=0,"",Paramètres!D8)</f>
        <v/>
      </c>
      <c r="C41" s="810">
        <f t="shared" si="17"/>
        <v>0</v>
      </c>
      <c r="D41" s="586" t="str">
        <f t="shared" si="18"/>
        <v>/</v>
      </c>
      <c r="E41" s="108" t="str">
        <f>IF(G$37="Error","Error",IF(AND($E$37&lt;&gt;"/",$E$37&gt;'Paramètres - Admin'!$A4),'Paramètres - Admin'!$A5,"/"))</f>
        <v>/</v>
      </c>
      <c r="F41" s="390" t="str">
        <f>IF(E41&lt;&gt;"/",VLOOKUP(E41,COSTS_Dark_Elixir_Drill[#All],2),"/")</f>
        <v>/</v>
      </c>
      <c r="G41" s="94" t="str">
        <f>IF(E41&lt;&gt;"/",VLOOKUP(E41,COSTS_Dark_Elixir_Drill[#All],3),"/")</f>
        <v>/</v>
      </c>
      <c r="H41" s="390">
        <f t="shared" si="19"/>
        <v>0</v>
      </c>
      <c r="I41" s="534">
        <f t="shared" si="20"/>
        <v>0</v>
      </c>
      <c r="J41" s="996">
        <v>3</v>
      </c>
      <c r="K41" s="997" t="str">
        <f>IF(Paramètres!G8=0,"",Paramètres!G8)</f>
        <v/>
      </c>
      <c r="L41" s="810">
        <f t="shared" si="21"/>
        <v>0</v>
      </c>
      <c r="M41" s="586" t="str">
        <f t="shared" si="22"/>
        <v>/</v>
      </c>
      <c r="N41" s="108" t="str">
        <f>IF(P$37="Error","Error",IF(AND($N$37&lt;&gt;"/",$N$37&gt;'Paramètres - Admin'!$A4),'Paramètres - Admin'!$A5,"/"))</f>
        <v>/</v>
      </c>
      <c r="O41" s="390" t="str">
        <f>IF(N41&lt;&gt;"/",VLOOKUP(N41,COSTS_Dark_Elixir_Storage[#All],2),"/")</f>
        <v>/</v>
      </c>
      <c r="P41" s="94" t="str">
        <f>IF(N41&lt;&gt;"/",VLOOKUP(N41,COSTS_Dark_Elixir_Storage[#All],3),"/")</f>
        <v>/</v>
      </c>
      <c r="Q41" s="390">
        <f t="shared" si="23"/>
        <v>0</v>
      </c>
      <c r="R41" s="534">
        <f t="shared" si="24"/>
        <v>0</v>
      </c>
    </row>
    <row r="42" spans="1:18" ht="15" customHeight="1">
      <c r="A42" s="996">
        <v>4</v>
      </c>
      <c r="B42" s="997" t="str">
        <f>IF(Paramètres!D9=0,"",Paramètres!D9)</f>
        <v/>
      </c>
      <c r="C42" s="810">
        <f t="shared" si="17"/>
        <v>0</v>
      </c>
      <c r="D42" s="586" t="str">
        <f t="shared" si="18"/>
        <v>/</v>
      </c>
      <c r="E42" s="108" t="str">
        <f>IF(G$37="Error","Error",IF(AND($E$37&lt;&gt;"/",$E$37&gt;'Paramètres - Admin'!$A5),'Paramètres - Admin'!$A6,"/"))</f>
        <v>/</v>
      </c>
      <c r="F42" s="390" t="str">
        <f>IF(E42&lt;&gt;"/",VLOOKUP(E42,COSTS_Dark_Elixir_Drill[#All],2),"/")</f>
        <v>/</v>
      </c>
      <c r="G42" s="94" t="str">
        <f>IF(E42&lt;&gt;"/",VLOOKUP(E42,COSTS_Dark_Elixir_Drill[#All],3),"/")</f>
        <v>/</v>
      </c>
      <c r="H42" s="390">
        <f t="shared" si="19"/>
        <v>0</v>
      </c>
      <c r="I42" s="534">
        <f t="shared" si="20"/>
        <v>0</v>
      </c>
      <c r="J42" s="996">
        <v>4</v>
      </c>
      <c r="K42" s="997" t="str">
        <f>IF(Paramètres!G9=0,"",Paramètres!G9)</f>
        <v/>
      </c>
      <c r="L42" s="810">
        <f t="shared" si="21"/>
        <v>0</v>
      </c>
      <c r="M42" s="586" t="str">
        <f t="shared" si="22"/>
        <v>/</v>
      </c>
      <c r="N42" s="108" t="str">
        <f>IF(P$37="Error","Error",IF(AND($N$37&lt;&gt;"/",$N$37&gt;'Paramètres - Admin'!$A5),'Paramètres - Admin'!$A6,"/"))</f>
        <v>/</v>
      </c>
      <c r="O42" s="390" t="str">
        <f>IF(N42&lt;&gt;"/",VLOOKUP(N42,COSTS_Dark_Elixir_Storage[#All],2),"/")</f>
        <v>/</v>
      </c>
      <c r="P42" s="94" t="str">
        <f>IF(N42&lt;&gt;"/",VLOOKUP(N42,COSTS_Dark_Elixir_Storage[#All],3),"/")</f>
        <v>/</v>
      </c>
      <c r="Q42" s="390">
        <f t="shared" si="23"/>
        <v>0</v>
      </c>
      <c r="R42" s="534">
        <f t="shared" si="24"/>
        <v>0</v>
      </c>
    </row>
    <row r="43" spans="1:18" ht="15" customHeight="1">
      <c r="A43" s="996">
        <v>5</v>
      </c>
      <c r="B43" s="997" t="str">
        <f>IF(Paramètres!D10=0,"",Paramètres!D10)</f>
        <v/>
      </c>
      <c r="C43" s="810">
        <f t="shared" si="17"/>
        <v>0</v>
      </c>
      <c r="D43" s="586" t="str">
        <f t="shared" si="18"/>
        <v>/</v>
      </c>
      <c r="E43" s="108" t="str">
        <f>IF(G$37="Error","Error",IF(AND($E$37&lt;&gt;"/",$E$37&gt;'Paramètres - Admin'!$A6),'Paramètres - Admin'!$A7,"/"))</f>
        <v>/</v>
      </c>
      <c r="F43" s="390" t="str">
        <f>IF(E43&lt;&gt;"/",VLOOKUP(E43,COSTS_Dark_Elixir_Drill[#All],2),"/")</f>
        <v>/</v>
      </c>
      <c r="G43" s="94" t="str">
        <f>IF(E43&lt;&gt;"/",VLOOKUP(E43,COSTS_Dark_Elixir_Drill[#All],3),"/")</f>
        <v>/</v>
      </c>
      <c r="H43" s="390">
        <f t="shared" si="19"/>
        <v>0</v>
      </c>
      <c r="I43" s="534">
        <f t="shared" si="20"/>
        <v>0</v>
      </c>
      <c r="J43" s="996">
        <v>5</v>
      </c>
      <c r="K43" s="997" t="str">
        <f>IF(Paramètres!G10=0,"",Paramètres!G10)</f>
        <v/>
      </c>
      <c r="L43" s="810">
        <f t="shared" si="21"/>
        <v>0</v>
      </c>
      <c r="M43" s="586" t="str">
        <f t="shared" si="22"/>
        <v>/</v>
      </c>
      <c r="N43" s="108" t="str">
        <f>IF(P$37="Error","Error",IF(AND($N$37&lt;&gt;"/",$N$37&gt;'Paramètres - Admin'!$A6),'Paramètres - Admin'!$A7,"/"))</f>
        <v>/</v>
      </c>
      <c r="O43" s="390" t="str">
        <f>IF(N43&lt;&gt;"/",VLOOKUP(N43,COSTS_Dark_Elixir_Storage[#All],2),"/")</f>
        <v>/</v>
      </c>
      <c r="P43" s="94" t="str">
        <f>IF(N43&lt;&gt;"/",VLOOKUP(N43,COSTS_Dark_Elixir_Storage[#All],3),"/")</f>
        <v>/</v>
      </c>
      <c r="Q43" s="390">
        <f t="shared" si="23"/>
        <v>0</v>
      </c>
      <c r="R43" s="534">
        <f t="shared" si="24"/>
        <v>0</v>
      </c>
    </row>
    <row r="44" spans="1:18" ht="15" customHeight="1" thickBot="1">
      <c r="A44" s="998">
        <v>6</v>
      </c>
      <c r="B44" s="999" t="str">
        <f>IF(Paramètres!D11=0,"",Paramètres!D11)</f>
        <v/>
      </c>
      <c r="C44" s="811">
        <f t="shared" si="17"/>
        <v>0</v>
      </c>
      <c r="D44" s="587" t="str">
        <f t="shared" si="18"/>
        <v>/</v>
      </c>
      <c r="E44" s="116" t="str">
        <f>IF(G$37="Error","Error",IF(AND($E$37&lt;&gt;"/",$E$37&gt;'Paramètres - Admin'!$A7),'Paramètres - Admin'!$A8,"/"))</f>
        <v>/</v>
      </c>
      <c r="F44" s="391" t="str">
        <f>IF(E44&lt;&gt;"/",VLOOKUP(E44,COSTS_Dark_Elixir_Drill[#All],2),"/")</f>
        <v>/</v>
      </c>
      <c r="G44" s="114" t="str">
        <f>IF(E44&lt;&gt;"/",VLOOKUP(E44,COSTS_Dark_Elixir_Drill[#All],3),"/")</f>
        <v>/</v>
      </c>
      <c r="H44" s="391">
        <f t="shared" si="19"/>
        <v>0</v>
      </c>
      <c r="I44" s="117">
        <f t="shared" si="20"/>
        <v>0</v>
      </c>
      <c r="J44" s="998">
        <v>6</v>
      </c>
      <c r="K44" s="999" t="str">
        <f>IF(Paramètres!G11=0,"",Paramètres!G11)</f>
        <v/>
      </c>
      <c r="L44" s="811">
        <f t="shared" si="21"/>
        <v>0</v>
      </c>
      <c r="M44" s="587" t="str">
        <f t="shared" si="22"/>
        <v>/</v>
      </c>
      <c r="N44" s="116" t="str">
        <f>IF(P$37="Error","Error",IF(AND($N$37&lt;&gt;"/",$N$37&gt;'Paramètres - Admin'!$A7),'Paramètres - Admin'!$A8,"/"))</f>
        <v>/</v>
      </c>
      <c r="O44" s="391" t="str">
        <f>IF(N44&lt;&gt;"/",VLOOKUP(N44,COSTS_Dark_Elixir_Storage[#All],2),"/")</f>
        <v>/</v>
      </c>
      <c r="P44" s="114" t="str">
        <f>IF(N44&lt;&gt;"/",VLOOKUP(N44,COSTS_Dark_Elixir_Storage[#All],3),"/")</f>
        <v>/</v>
      </c>
      <c r="Q44" s="391">
        <f t="shared" si="23"/>
        <v>0</v>
      </c>
      <c r="R44" s="117">
        <f t="shared" si="24"/>
        <v>0</v>
      </c>
    </row>
    <row r="45" spans="1:18" ht="15" customHeight="1" thickBot="1">
      <c r="A45" s="967"/>
      <c r="B45" s="968"/>
      <c r="C45" s="968"/>
      <c r="D45" s="968"/>
      <c r="E45" s="968"/>
      <c r="F45" s="969"/>
      <c r="G45" s="523" t="s">
        <v>31</v>
      </c>
      <c r="H45" s="392">
        <f>IF(G$37="Error","Error",SUM(H39:H44))</f>
        <v>0</v>
      </c>
      <c r="I45" s="546">
        <f>IF(G$37="Error","Error",SUM(I39:I44))</f>
        <v>0</v>
      </c>
      <c r="J45" s="967"/>
      <c r="K45" s="968"/>
      <c r="L45" s="968"/>
      <c r="M45" s="968"/>
      <c r="N45" s="968"/>
      <c r="O45" s="968"/>
      <c r="P45" s="523" t="s">
        <v>31</v>
      </c>
      <c r="Q45" s="392">
        <f>IF(P$37="Error","Error",SUM(Q39:Q44))</f>
        <v>0</v>
      </c>
      <c r="R45" s="546">
        <f>IF(P$37="Error","Error",SUM(R39:R44))</f>
        <v>0</v>
      </c>
    </row>
    <row r="47" spans="1:18" ht="15" customHeight="1" thickBot="1"/>
    <row r="48" spans="1:18" s="537" customFormat="1" ht="19.5" customHeight="1" thickBot="1">
      <c r="A48" s="1096" t="s">
        <v>181</v>
      </c>
      <c r="B48" s="1097"/>
      <c r="C48" s="1097"/>
      <c r="D48" s="1097"/>
      <c r="E48" s="1097"/>
      <c r="F48" s="1097"/>
      <c r="G48" s="1097"/>
      <c r="H48" s="1097"/>
      <c r="I48" s="1097"/>
      <c r="J48" s="1097"/>
      <c r="K48" s="1097"/>
      <c r="L48" s="1097"/>
      <c r="M48" s="1097"/>
      <c r="N48" s="1097"/>
      <c r="O48" s="1097"/>
      <c r="P48" s="1097"/>
      <c r="Q48" s="1097"/>
      <c r="R48" s="1097"/>
    </row>
    <row r="49" spans="1:18" ht="15" customHeight="1">
      <c r="A49" s="1104" t="s">
        <v>207</v>
      </c>
      <c r="B49" s="1109"/>
      <c r="C49" s="1110"/>
      <c r="D49" s="524" t="s">
        <v>38</v>
      </c>
      <c r="E49" s="525" t="s">
        <v>39</v>
      </c>
      <c r="F49" s="539"/>
      <c r="G49" s="524" t="s">
        <v>256</v>
      </c>
      <c r="H49" s="526" t="s">
        <v>361</v>
      </c>
      <c r="I49" s="525" t="s">
        <v>257</v>
      </c>
      <c r="J49" s="1104" t="s">
        <v>208</v>
      </c>
      <c r="K49" s="1109"/>
      <c r="L49" s="1110"/>
      <c r="M49" s="524" t="s">
        <v>38</v>
      </c>
      <c r="N49" s="525" t="s">
        <v>39</v>
      </c>
      <c r="O49" s="539"/>
      <c r="P49" s="524" t="s">
        <v>256</v>
      </c>
      <c r="Q49" s="526" t="s">
        <v>361</v>
      </c>
      <c r="R49" s="525" t="s">
        <v>257</v>
      </c>
    </row>
    <row r="50" spans="1:18" ht="15" customHeight="1" thickBot="1">
      <c r="A50" s="1101"/>
      <c r="B50" s="1102"/>
      <c r="C50" s="1103"/>
      <c r="D50" s="527">
        <f>VLOOKUP($A$2,AVAILABLE_Buildings_Army[#All],MATCH(A49,AVAILABLE_Buildings_Army[#Headers],0))</f>
        <v>2</v>
      </c>
      <c r="E50" s="528">
        <f>VLOOKUP($A$2,AVAILABLE_Buildings_Army[#All],MATCH(A49,AVAILABLE_Buildings_Army[#Headers],0)+1)</f>
        <v>4</v>
      </c>
      <c r="F50" s="540"/>
      <c r="G50" s="530">
        <f>IF(SUM(B52:B61)&gt;D50,"Error",SUM(B52:B61))</f>
        <v>0</v>
      </c>
      <c r="H50" s="531">
        <f>IF(G$50="Error","Error",D50-G50)</f>
        <v>2</v>
      </c>
      <c r="I50" s="538">
        <f>IF(G$50="Error","Error",SUM(D52:D61))</f>
        <v>8</v>
      </c>
      <c r="J50" s="1101"/>
      <c r="K50" s="1102"/>
      <c r="L50" s="1103"/>
      <c r="M50" s="527">
        <f>VLOOKUP($A$2,AVAILABLE_Buildings_Army[#All],MATCH(J49,AVAILABLE_Buildings_Army[#Headers],0))</f>
        <v>0</v>
      </c>
      <c r="N50" s="528">
        <f>VLOOKUP($A$2,AVAILABLE_Buildings_Army[#All],MATCH(J49,AVAILABLE_Buildings_Army[#Headers],0)+1)</f>
        <v>0</v>
      </c>
      <c r="O50" s="540"/>
      <c r="P50" s="530">
        <f>IF(SUM(K52:K60)&gt;M50,"Error",SUM(K52:K60))</f>
        <v>0</v>
      </c>
      <c r="Q50" s="97">
        <f>IF(P$50="Error","Error",M50-P50)</f>
        <v>0</v>
      </c>
      <c r="R50" s="206">
        <f>IF(P$50="Error","Error",SUM(M52:M59))</f>
        <v>0</v>
      </c>
    </row>
    <row r="51" spans="1:18" ht="15" customHeight="1" thickBot="1">
      <c r="A51" s="532" t="s">
        <v>30</v>
      </c>
      <c r="B51" s="535" t="s">
        <v>29</v>
      </c>
      <c r="C51" s="533"/>
      <c r="D51" s="542" t="s">
        <v>29</v>
      </c>
      <c r="E51" s="543" t="s">
        <v>30</v>
      </c>
      <c r="F51" s="544" t="s">
        <v>258</v>
      </c>
      <c r="G51" s="544" t="s">
        <v>259</v>
      </c>
      <c r="H51" s="544" t="s">
        <v>232</v>
      </c>
      <c r="I51" s="545" t="s">
        <v>233</v>
      </c>
      <c r="J51" s="208" t="s">
        <v>30</v>
      </c>
      <c r="K51" s="535" t="s">
        <v>29</v>
      </c>
      <c r="L51" s="533"/>
      <c r="M51" s="542" t="s">
        <v>29</v>
      </c>
      <c r="N51" s="543" t="s">
        <v>30</v>
      </c>
      <c r="O51" s="544" t="s">
        <v>258</v>
      </c>
      <c r="P51" s="544" t="s">
        <v>259</v>
      </c>
      <c r="Q51" s="544" t="s">
        <v>232</v>
      </c>
      <c r="R51" s="545" t="s">
        <v>233</v>
      </c>
    </row>
    <row r="52" spans="1:18" ht="15" customHeight="1">
      <c r="A52" s="524">
        <v>1</v>
      </c>
      <c r="B52" s="995" t="str">
        <f>IF(Paramètres!H6=0,"",Paramètres!H6)</f>
        <v/>
      </c>
      <c r="C52" s="598">
        <f t="shared" ref="C52:C61" si="25">IF(C51&lt;&gt;0,C51+IF(AND(B51&lt;&gt;"",A51&lt;E$50),B51,0),IF(AND(B51&lt;&gt;"",A51&lt;E$50),B51,0))</f>
        <v>0</v>
      </c>
      <c r="D52" s="585">
        <f t="shared" ref="D52:D61" si="26">IF(E52&lt;&gt;"/",IF(G$50="Error","Error",$H$50+C52),"/")</f>
        <v>2</v>
      </c>
      <c r="E52" s="469">
        <f>IF(G$50="Error","Error",IF(AND($E$50&lt;&gt;"/",$E$50&gt;'Paramètres - Admin'!$A2),'Paramètres - Admin'!$A3,"/"))</f>
        <v>1</v>
      </c>
      <c r="F52" s="389">
        <f>IF(E52&lt;&gt;"/",VLOOKUP(E52,COSTS_Barrack[#All],2),"/")</f>
        <v>200</v>
      </c>
      <c r="G52" s="470">
        <f>IF(E52&lt;&gt;"/",VLOOKUP(E52,COSTS_Barrack[#All],3),"/")</f>
        <v>0.02</v>
      </c>
      <c r="H52" s="389">
        <f t="shared" ref="H52:H61" si="27">IF(G$50="Error","Error",IF(F52&lt;&gt;"/",D52*F52,0))</f>
        <v>400</v>
      </c>
      <c r="I52" s="471">
        <f t="shared" ref="I52:I61" si="28">IF(G$50="Error","Error",IF(G52&lt;&gt;"/",D52*G52,0))</f>
        <v>0.04</v>
      </c>
      <c r="J52" s="524">
        <v>1</v>
      </c>
      <c r="K52" s="995" t="str">
        <f>IF(Paramètres!K6=0,"",Paramètres!K6)</f>
        <v/>
      </c>
      <c r="L52" s="598">
        <f t="shared" ref="L52:L60" si="29">IF(L51&lt;&gt;0,L51+IF(AND(K51&lt;&gt;"",J51&lt;N$50),K51,0),IF(AND(K51&lt;&gt;"",J51&lt;N$50),K51,0))</f>
        <v>0</v>
      </c>
      <c r="M52" s="585" t="str">
        <f t="shared" ref="M52:M60" si="30">IF(N52&lt;&gt;"/",IF(P$50="Error","Error",$Q$50+L52),"/")</f>
        <v>/</v>
      </c>
      <c r="N52" s="469" t="str">
        <f>IF(P$50="Error","Error",IF(AND($N$50&lt;&gt;"/",$N$50&gt;'Paramètres - Admin'!$A2),'Paramètres - Admin'!$A3,"/"))</f>
        <v>/</v>
      </c>
      <c r="O52" s="389" t="str">
        <f>IF(N52&lt;&gt;"/",VLOOKUP(N52,COSTS_Laboratory[#All],2),"/")</f>
        <v>/</v>
      </c>
      <c r="P52" s="470" t="str">
        <f>IF(N52&lt;&gt;"/",VLOOKUP(N52,COSTS_Laboratory[#All],3),"/")</f>
        <v>/</v>
      </c>
      <c r="Q52" s="389">
        <f t="shared" ref="Q52:Q60" si="31">IF(P$50="Error","Error",IF(O52&lt;&gt;"/",M52*O52,0))</f>
        <v>0</v>
      </c>
      <c r="R52" s="471">
        <f t="shared" ref="R52:R60" si="32">IF(P$50="Error","Error",IF(P52&lt;&gt;"/",M52*P52,0))</f>
        <v>0</v>
      </c>
    </row>
    <row r="53" spans="1:18" s="537" customFormat="1" ht="15" customHeight="1">
      <c r="A53" s="996">
        <v>2</v>
      </c>
      <c r="B53" s="997" t="str">
        <f>IF(Paramètres!H7=0,"",Paramètres!H7)</f>
        <v/>
      </c>
      <c r="C53" s="810">
        <f t="shared" si="25"/>
        <v>0</v>
      </c>
      <c r="D53" s="586">
        <f t="shared" si="26"/>
        <v>2</v>
      </c>
      <c r="E53" s="108">
        <f>IF(G$50="Error","Error",IF(AND($E$50&lt;&gt;"/",$E$50&gt;'Paramètres - Admin'!$A3),'Paramètres - Admin'!$A4,"/"))</f>
        <v>2</v>
      </c>
      <c r="F53" s="390">
        <f>IF(E53&lt;&gt;"/",VLOOKUP(E53,COSTS_Barrack[#All],2),"/")</f>
        <v>1000</v>
      </c>
      <c r="G53" s="94">
        <f>IF(E53&lt;&gt;"/",VLOOKUP(E53,COSTS_Barrack[#All],3),"/")</f>
        <v>0.25</v>
      </c>
      <c r="H53" s="390">
        <f t="shared" si="27"/>
        <v>2000</v>
      </c>
      <c r="I53" s="534">
        <f t="shared" si="28"/>
        <v>0.5</v>
      </c>
      <c r="J53" s="996">
        <v>2</v>
      </c>
      <c r="K53" s="997" t="str">
        <f>IF(Paramètres!K7=0,"",Paramètres!K7)</f>
        <v/>
      </c>
      <c r="L53" s="810">
        <f t="shared" si="29"/>
        <v>0</v>
      </c>
      <c r="M53" s="586" t="str">
        <f t="shared" si="30"/>
        <v>/</v>
      </c>
      <c r="N53" s="108" t="str">
        <f>IF(P$50="Error","Error",IF(AND($N$50&lt;&gt;"/",$N$50&gt;'Paramètres - Admin'!$A3),'Paramètres - Admin'!$A4,"/"))</f>
        <v>/</v>
      </c>
      <c r="O53" s="390" t="str">
        <f>IF(N53&lt;&gt;"/",VLOOKUP(N53,COSTS_Laboratory[#All],2),"/")</f>
        <v>/</v>
      </c>
      <c r="P53" s="94" t="str">
        <f>IF(N53&lt;&gt;"/",VLOOKUP(N53,COSTS_Laboratory[#All],3),"/")</f>
        <v>/</v>
      </c>
      <c r="Q53" s="390">
        <f t="shared" si="31"/>
        <v>0</v>
      </c>
      <c r="R53" s="534">
        <f t="shared" si="32"/>
        <v>0</v>
      </c>
    </row>
    <row r="54" spans="1:18" ht="15" customHeight="1">
      <c r="A54" s="996">
        <v>3</v>
      </c>
      <c r="B54" s="997" t="str">
        <f>IF(Paramètres!H8=0,"",Paramètres!H8)</f>
        <v/>
      </c>
      <c r="C54" s="810">
        <f t="shared" si="25"/>
        <v>0</v>
      </c>
      <c r="D54" s="586">
        <f t="shared" si="26"/>
        <v>2</v>
      </c>
      <c r="E54" s="108">
        <f>IF(G$50="Error","Error",IF(AND($E$50&lt;&gt;"/",$E$50&gt;'Paramètres - Admin'!$A4),'Paramètres - Admin'!$A5,"/"))</f>
        <v>3</v>
      </c>
      <c r="F54" s="390">
        <f>IF(E54&lt;&gt;"/",VLOOKUP(E54,COSTS_Barrack[#All],2),"/")</f>
        <v>2500</v>
      </c>
      <c r="G54" s="94">
        <f>IF(E54&lt;&gt;"/",VLOOKUP(E54,COSTS_Barrack[#All],3),"/")</f>
        <v>2</v>
      </c>
      <c r="H54" s="390">
        <f t="shared" si="27"/>
        <v>5000</v>
      </c>
      <c r="I54" s="534">
        <f t="shared" si="28"/>
        <v>4</v>
      </c>
      <c r="J54" s="996">
        <v>3</v>
      </c>
      <c r="K54" s="997" t="str">
        <f>IF(Paramètres!K8=0,"",Paramètres!K8)</f>
        <v/>
      </c>
      <c r="L54" s="810">
        <f t="shared" si="29"/>
        <v>0</v>
      </c>
      <c r="M54" s="586" t="str">
        <f t="shared" si="30"/>
        <v>/</v>
      </c>
      <c r="N54" s="108" t="str">
        <f>IF(P$50="Error","Error",IF(AND($N$50&lt;&gt;"/",$N$50&gt;'Paramètres - Admin'!$A4),'Paramètres - Admin'!$A5,"/"))</f>
        <v>/</v>
      </c>
      <c r="O54" s="390" t="str">
        <f>IF(N54&lt;&gt;"/",VLOOKUP(N54,COSTS_Laboratory[#All],2),"/")</f>
        <v>/</v>
      </c>
      <c r="P54" s="94" t="str">
        <f>IF(N54&lt;&gt;"/",VLOOKUP(N54,COSTS_Laboratory[#All],3),"/")</f>
        <v>/</v>
      </c>
      <c r="Q54" s="390">
        <f t="shared" si="31"/>
        <v>0</v>
      </c>
      <c r="R54" s="534">
        <f t="shared" si="32"/>
        <v>0</v>
      </c>
    </row>
    <row r="55" spans="1:18">
      <c r="A55" s="996">
        <v>4</v>
      </c>
      <c r="B55" s="997" t="str">
        <f>IF(Paramètres!H9=0,"",Paramètres!H9)</f>
        <v/>
      </c>
      <c r="C55" s="810">
        <f t="shared" si="25"/>
        <v>0</v>
      </c>
      <c r="D55" s="586">
        <f t="shared" si="26"/>
        <v>2</v>
      </c>
      <c r="E55" s="108">
        <f>IF(G$50="Error","Error",IF(AND($E$50&lt;&gt;"/",$E$50&gt;'Paramètres - Admin'!$A5),'Paramètres - Admin'!$A6,"/"))</f>
        <v>4</v>
      </c>
      <c r="F55" s="390">
        <f>IF(E55&lt;&gt;"/",VLOOKUP(E55,COSTS_Barrack[#All],2),"/")</f>
        <v>5000</v>
      </c>
      <c r="G55" s="94">
        <f>IF(E55&lt;&gt;"/",VLOOKUP(E55,COSTS_Barrack[#All],3),"/")</f>
        <v>4</v>
      </c>
      <c r="H55" s="390">
        <f t="shared" si="27"/>
        <v>10000</v>
      </c>
      <c r="I55" s="534">
        <f t="shared" si="28"/>
        <v>8</v>
      </c>
      <c r="J55" s="996">
        <v>4</v>
      </c>
      <c r="K55" s="997" t="str">
        <f>IF(Paramètres!K9=0,"",Paramètres!K9)</f>
        <v/>
      </c>
      <c r="L55" s="810">
        <f t="shared" si="29"/>
        <v>0</v>
      </c>
      <c r="M55" s="586" t="str">
        <f t="shared" si="30"/>
        <v>/</v>
      </c>
      <c r="N55" s="108" t="str">
        <f>IF(P$50="Error","Error",IF(AND($N$50&lt;&gt;"/",$N$50&gt;'Paramètres - Admin'!$A5),'Paramètres - Admin'!$A6,"/"))</f>
        <v>/</v>
      </c>
      <c r="O55" s="390" t="str">
        <f>IF(N55&lt;&gt;"/",VLOOKUP(N55,COSTS_Laboratory[#All],2),"/")</f>
        <v>/</v>
      </c>
      <c r="P55" s="94" t="str">
        <f>IF(N55&lt;&gt;"/",VLOOKUP(N55,COSTS_Laboratory[#All],3),"/")</f>
        <v>/</v>
      </c>
      <c r="Q55" s="390">
        <f t="shared" si="31"/>
        <v>0</v>
      </c>
      <c r="R55" s="534">
        <f t="shared" si="32"/>
        <v>0</v>
      </c>
    </row>
    <row r="56" spans="1:18" ht="15" customHeight="1">
      <c r="A56" s="996">
        <v>5</v>
      </c>
      <c r="B56" s="997" t="str">
        <f>IF(Paramètres!H10=0,"",Paramètres!H10)</f>
        <v/>
      </c>
      <c r="C56" s="810">
        <f t="shared" si="25"/>
        <v>0</v>
      </c>
      <c r="D56" s="586" t="str">
        <f t="shared" si="26"/>
        <v>/</v>
      </c>
      <c r="E56" s="108" t="str">
        <f>IF(G$50="Error","Error",IF(AND($E$50&lt;&gt;"/",$E$50&gt;'Paramètres - Admin'!$A6),'Paramètres - Admin'!$A7,"/"))</f>
        <v>/</v>
      </c>
      <c r="F56" s="390" t="str">
        <f>IF(E56&lt;&gt;"/",VLOOKUP(E56,COSTS_Barrack[#All],2),"/")</f>
        <v>/</v>
      </c>
      <c r="G56" s="94" t="str">
        <f>IF(E56&lt;&gt;"/",VLOOKUP(E56,COSTS_Barrack[#All],3),"/")</f>
        <v>/</v>
      </c>
      <c r="H56" s="390">
        <f t="shared" si="27"/>
        <v>0</v>
      </c>
      <c r="I56" s="534">
        <f t="shared" si="28"/>
        <v>0</v>
      </c>
      <c r="J56" s="996">
        <v>5</v>
      </c>
      <c r="K56" s="997" t="str">
        <f>IF(Paramètres!K10=0,"",Paramètres!K10)</f>
        <v/>
      </c>
      <c r="L56" s="810">
        <f t="shared" si="29"/>
        <v>0</v>
      </c>
      <c r="M56" s="586" t="str">
        <f t="shared" si="30"/>
        <v>/</v>
      </c>
      <c r="N56" s="108" t="str">
        <f>IF(P$50="Error","Error",IF(AND($N$50&lt;&gt;"/",$N$50&gt;'Paramètres - Admin'!$A6),'Paramètres - Admin'!$A7,"/"))</f>
        <v>/</v>
      </c>
      <c r="O56" s="390" t="str">
        <f>IF(N56&lt;&gt;"/",VLOOKUP(N56,COSTS_Laboratory[#All],2),"/")</f>
        <v>/</v>
      </c>
      <c r="P56" s="94" t="str">
        <f>IF(N56&lt;&gt;"/",VLOOKUP(N56,COSTS_Laboratory[#All],3),"/")</f>
        <v>/</v>
      </c>
      <c r="Q56" s="390">
        <f t="shared" si="31"/>
        <v>0</v>
      </c>
      <c r="R56" s="534">
        <f t="shared" si="32"/>
        <v>0</v>
      </c>
    </row>
    <row r="57" spans="1:18" ht="15" customHeight="1">
      <c r="A57" s="996">
        <v>6</v>
      </c>
      <c r="B57" s="997" t="str">
        <f>IF(Paramètres!H11=0,"",Paramètres!H11)</f>
        <v/>
      </c>
      <c r="C57" s="810">
        <f t="shared" si="25"/>
        <v>0</v>
      </c>
      <c r="D57" s="586" t="str">
        <f t="shared" si="26"/>
        <v>/</v>
      </c>
      <c r="E57" s="108" t="str">
        <f>IF(G$50="Error","Error",IF(AND($E$50&lt;&gt;"/",$E$50&gt;'Paramètres - Admin'!$A7),'Paramètres - Admin'!$A8,"/"))</f>
        <v>/</v>
      </c>
      <c r="F57" s="390" t="str">
        <f>IF(E57&lt;&gt;"/",VLOOKUP(E57,COSTS_Barrack[#All],2),"/")</f>
        <v>/</v>
      </c>
      <c r="G57" s="94" t="str">
        <f>IF(E57&lt;&gt;"/",VLOOKUP(E57,COSTS_Barrack[#All],3),"/")</f>
        <v>/</v>
      </c>
      <c r="H57" s="390">
        <f t="shared" si="27"/>
        <v>0</v>
      </c>
      <c r="I57" s="534">
        <f t="shared" si="28"/>
        <v>0</v>
      </c>
      <c r="J57" s="996">
        <v>6</v>
      </c>
      <c r="K57" s="997" t="str">
        <f>IF(Paramètres!K11=0,"",Paramètres!K11)</f>
        <v/>
      </c>
      <c r="L57" s="810">
        <f t="shared" si="29"/>
        <v>0</v>
      </c>
      <c r="M57" s="586" t="str">
        <f t="shared" si="30"/>
        <v>/</v>
      </c>
      <c r="N57" s="108" t="str">
        <f>IF(P$50="Error","Error",IF(AND($N$50&lt;&gt;"/",$N$50&gt;'Paramètres - Admin'!$A7),'Paramètres - Admin'!$A8,"/"))</f>
        <v>/</v>
      </c>
      <c r="O57" s="390" t="str">
        <f>IF(N57&lt;&gt;"/",VLOOKUP(N57,COSTS_Laboratory[#All],2),"/")</f>
        <v>/</v>
      </c>
      <c r="P57" s="94" t="str">
        <f>IF(N57&lt;&gt;"/",VLOOKUP(N57,COSTS_Laboratory[#All],3),"/")</f>
        <v>/</v>
      </c>
      <c r="Q57" s="390">
        <f t="shared" si="31"/>
        <v>0</v>
      </c>
      <c r="R57" s="534">
        <f t="shared" si="32"/>
        <v>0</v>
      </c>
    </row>
    <row r="58" spans="1:18" ht="15" customHeight="1">
      <c r="A58" s="996">
        <v>7</v>
      </c>
      <c r="B58" s="997" t="str">
        <f>IF(Paramètres!H12=0,"",Paramètres!H12)</f>
        <v/>
      </c>
      <c r="C58" s="810">
        <f t="shared" si="25"/>
        <v>0</v>
      </c>
      <c r="D58" s="586" t="str">
        <f t="shared" si="26"/>
        <v>/</v>
      </c>
      <c r="E58" s="108" t="str">
        <f>IF(G$50="Error","Error",IF(AND($E$50&lt;&gt;"/",$E$50&gt;'Paramètres - Admin'!$A8),'Paramètres - Admin'!$A9,"/"))</f>
        <v>/</v>
      </c>
      <c r="F58" s="390" t="str">
        <f>IF(E58&lt;&gt;"/",VLOOKUP(E58,COSTS_Barrack[#All],2),"/")</f>
        <v>/</v>
      </c>
      <c r="G58" s="94" t="str">
        <f>IF(E58&lt;&gt;"/",VLOOKUP(E58,COSTS_Barrack[#All],3),"/")</f>
        <v>/</v>
      </c>
      <c r="H58" s="390">
        <f t="shared" si="27"/>
        <v>0</v>
      </c>
      <c r="I58" s="534">
        <f t="shared" si="28"/>
        <v>0</v>
      </c>
      <c r="J58" s="996">
        <v>7</v>
      </c>
      <c r="K58" s="997" t="str">
        <f>IF(Paramètres!K12=0,"",Paramètres!K12)</f>
        <v/>
      </c>
      <c r="L58" s="810">
        <f t="shared" si="29"/>
        <v>0</v>
      </c>
      <c r="M58" s="586" t="str">
        <f t="shared" si="30"/>
        <v>/</v>
      </c>
      <c r="N58" s="108" t="str">
        <f>IF(P$50="Error","Error",IF(AND($N$50&lt;&gt;"/",$N$50&gt;'Paramètres - Admin'!$A8),'Paramètres - Admin'!$A9,"/"))</f>
        <v>/</v>
      </c>
      <c r="O58" s="390" t="str">
        <f>IF(N58&lt;&gt;"/",VLOOKUP(N58,COSTS_Laboratory[#All],2),"/")</f>
        <v>/</v>
      </c>
      <c r="P58" s="94" t="str">
        <f>IF(N58&lt;&gt;"/",VLOOKUP(N58,COSTS_Laboratory[#All],3),"/")</f>
        <v>/</v>
      </c>
      <c r="Q58" s="390">
        <f t="shared" si="31"/>
        <v>0</v>
      </c>
      <c r="R58" s="534">
        <f t="shared" si="32"/>
        <v>0</v>
      </c>
    </row>
    <row r="59" spans="1:18" ht="15" customHeight="1">
      <c r="A59" s="996">
        <v>8</v>
      </c>
      <c r="B59" s="997" t="str">
        <f>IF(Paramètres!H13=0,"",Paramètres!H13)</f>
        <v/>
      </c>
      <c r="C59" s="810">
        <f t="shared" si="25"/>
        <v>0</v>
      </c>
      <c r="D59" s="586" t="str">
        <f t="shared" si="26"/>
        <v>/</v>
      </c>
      <c r="E59" s="108" t="str">
        <f>IF(G$50="Error","Error",IF(AND($E$50&lt;&gt;"/",$E$50&gt;'Paramètres - Admin'!$A9),'Paramètres - Admin'!$A10,"/"))</f>
        <v>/</v>
      </c>
      <c r="F59" s="390" t="str">
        <f>IF(E59&lt;&gt;"/",VLOOKUP(E59,COSTS_Barrack[#All],2),"/")</f>
        <v>/</v>
      </c>
      <c r="G59" s="94" t="str">
        <f>IF(E59&lt;&gt;"/",VLOOKUP(E59,COSTS_Barrack[#All],3),"/")</f>
        <v>/</v>
      </c>
      <c r="H59" s="390">
        <f t="shared" si="27"/>
        <v>0</v>
      </c>
      <c r="I59" s="534">
        <f t="shared" si="28"/>
        <v>0</v>
      </c>
      <c r="J59" s="996">
        <v>8</v>
      </c>
      <c r="K59" s="997" t="str">
        <f>IF(Paramètres!K13=0,"",Paramètres!K13)</f>
        <v/>
      </c>
      <c r="L59" s="810">
        <f t="shared" si="29"/>
        <v>0</v>
      </c>
      <c r="M59" s="586" t="str">
        <f t="shared" si="30"/>
        <v>/</v>
      </c>
      <c r="N59" s="108" t="str">
        <f>IF(P$50="Error","Error",IF(AND($N$50&lt;&gt;"/",$N$50&gt;'Paramètres - Admin'!$A9),'Paramètres - Admin'!$A10,"/"))</f>
        <v>/</v>
      </c>
      <c r="O59" s="390" t="str">
        <f>IF(N59&lt;&gt;"/",VLOOKUP(N59,COSTS_Laboratory[#All],2),"/")</f>
        <v>/</v>
      </c>
      <c r="P59" s="94" t="str">
        <f>IF(N59&lt;&gt;"/",VLOOKUP(N59,COSTS_Laboratory[#All],3),"/")</f>
        <v>/</v>
      </c>
      <c r="Q59" s="390">
        <f t="shared" si="31"/>
        <v>0</v>
      </c>
      <c r="R59" s="534">
        <f t="shared" si="32"/>
        <v>0</v>
      </c>
    </row>
    <row r="60" spans="1:18" ht="15" customHeight="1" thickBot="1">
      <c r="A60" s="996">
        <v>9</v>
      </c>
      <c r="B60" s="997" t="str">
        <f>IF(Paramètres!H14=0,"",Paramètres!H14)</f>
        <v/>
      </c>
      <c r="C60" s="810">
        <f t="shared" si="25"/>
        <v>0</v>
      </c>
      <c r="D60" s="586" t="str">
        <f t="shared" si="26"/>
        <v>/</v>
      </c>
      <c r="E60" s="108" t="str">
        <f>IF(G$50="Error","Error",IF(AND($E$50&lt;&gt;"/",$E$50&gt;'Paramètres - Admin'!$A10),'Paramètres - Admin'!$A11,"/"))</f>
        <v>/</v>
      </c>
      <c r="F60" s="390" t="str">
        <f>IF(E60&lt;&gt;"/",VLOOKUP(E60,COSTS_Barrack[#All],2),"/")</f>
        <v>/</v>
      </c>
      <c r="G60" s="94" t="str">
        <f>IF(E60&lt;&gt;"/",VLOOKUP(E60,COSTS_Barrack[#All],3),"/")</f>
        <v>/</v>
      </c>
      <c r="H60" s="390">
        <f t="shared" si="27"/>
        <v>0</v>
      </c>
      <c r="I60" s="534">
        <f t="shared" si="28"/>
        <v>0</v>
      </c>
      <c r="J60" s="998">
        <v>9</v>
      </c>
      <c r="K60" s="999" t="str">
        <f>IF(Paramètres!K14=0,"",Paramètres!K14)</f>
        <v/>
      </c>
      <c r="L60" s="811">
        <f t="shared" si="29"/>
        <v>0</v>
      </c>
      <c r="M60" s="587" t="str">
        <f t="shared" si="30"/>
        <v>/</v>
      </c>
      <c r="N60" s="116" t="str">
        <f>IF(P$50="Error","Error",IF(AND($N$50&lt;&gt;"/",$N$50&gt;'Paramètres - Admin'!$A10),'Paramètres - Admin'!$A11,"/"))</f>
        <v>/</v>
      </c>
      <c r="O60" s="391" t="str">
        <f>IF(N60&lt;&gt;"/",VLOOKUP(N60,COSTS_Laboratory[#All],2),"/")</f>
        <v>/</v>
      </c>
      <c r="P60" s="114" t="str">
        <f>IF(N60&lt;&gt;"/",VLOOKUP(N60,COSTS_Laboratory[#All],3),"/")</f>
        <v>/</v>
      </c>
      <c r="Q60" s="391">
        <f t="shared" si="31"/>
        <v>0</v>
      </c>
      <c r="R60" s="117">
        <f t="shared" si="32"/>
        <v>0</v>
      </c>
    </row>
    <row r="61" spans="1:18" ht="15" customHeight="1" thickBot="1">
      <c r="A61" s="998">
        <v>10</v>
      </c>
      <c r="B61" s="999" t="str">
        <f>IF(Paramètres!H15=0,"",Paramètres!H15)</f>
        <v/>
      </c>
      <c r="C61" s="811">
        <f t="shared" si="25"/>
        <v>0</v>
      </c>
      <c r="D61" s="587" t="str">
        <f t="shared" si="26"/>
        <v>/</v>
      </c>
      <c r="E61" s="116" t="str">
        <f>IF(G$50="Error","Error",IF(AND($E$50&lt;&gt;"/",$E$50&gt;'Paramètres - Admin'!$A11),'Paramètres - Admin'!$A12,"/"))</f>
        <v>/</v>
      </c>
      <c r="F61" s="391" t="str">
        <f>IF(E61&lt;&gt;"/",VLOOKUP(E61,COSTS_Barrack[#All],2),"/")</f>
        <v>/</v>
      </c>
      <c r="G61" s="114" t="str">
        <f>IF(E61&lt;&gt;"/",VLOOKUP(E61,COSTS_Barrack[#All],3),"/")</f>
        <v>/</v>
      </c>
      <c r="H61" s="391">
        <f t="shared" si="27"/>
        <v>0</v>
      </c>
      <c r="I61" s="117">
        <f t="shared" si="28"/>
        <v>0</v>
      </c>
      <c r="J61" s="964"/>
      <c r="K61" s="965"/>
      <c r="L61" s="965"/>
      <c r="M61" s="965"/>
      <c r="N61" s="965"/>
      <c r="O61" s="965"/>
      <c r="P61" s="278" t="s">
        <v>31</v>
      </c>
      <c r="Q61" s="398">
        <f>IF(P$50="Error","Error",SUM(Q52:Q59))</f>
        <v>0</v>
      </c>
      <c r="R61" s="597">
        <f>IF(P$50="Error","Error",SUM(R52:R59))</f>
        <v>0</v>
      </c>
    </row>
    <row r="62" spans="1:18" ht="15" customHeight="1" thickBot="1">
      <c r="A62" s="964"/>
      <c r="B62" s="965"/>
      <c r="C62" s="965"/>
      <c r="D62" s="965"/>
      <c r="E62" s="965"/>
      <c r="F62" s="965"/>
      <c r="G62" s="278" t="s">
        <v>31</v>
      </c>
      <c r="H62" s="398">
        <f>IF(G$50="Error","Error",SUM(H52:H61))</f>
        <v>17400</v>
      </c>
      <c r="I62" s="597">
        <f>IF(G$50="Error","Error",SUM(I52:I61))</f>
        <v>12.54</v>
      </c>
      <c r="J62" s="1104" t="s">
        <v>338</v>
      </c>
      <c r="K62" s="1109"/>
      <c r="L62" s="1110"/>
      <c r="M62" s="524" t="s">
        <v>38</v>
      </c>
      <c r="N62" s="525" t="s">
        <v>39</v>
      </c>
      <c r="O62" s="539"/>
      <c r="P62" s="524" t="s">
        <v>256</v>
      </c>
      <c r="Q62" s="526" t="s">
        <v>361</v>
      </c>
      <c r="R62" s="525" t="s">
        <v>257</v>
      </c>
    </row>
    <row r="63" spans="1:18" ht="15" customHeight="1" thickBot="1">
      <c r="A63" s="1104" t="s">
        <v>343</v>
      </c>
      <c r="B63" s="1109"/>
      <c r="C63" s="1110"/>
      <c r="D63" s="524" t="s">
        <v>38</v>
      </c>
      <c r="E63" s="525" t="s">
        <v>39</v>
      </c>
      <c r="F63" s="539"/>
      <c r="G63" s="524" t="s">
        <v>256</v>
      </c>
      <c r="H63" s="526" t="s">
        <v>361</v>
      </c>
      <c r="I63" s="525" t="s">
        <v>257</v>
      </c>
      <c r="J63" s="1101"/>
      <c r="K63" s="1102"/>
      <c r="L63" s="1103"/>
      <c r="M63" s="527">
        <f>VLOOKUP($A$2,AVAILABLE_Buildings_Army[#All],MATCH(J62,AVAILABLE_Buildings_Army[#Headers],0))</f>
        <v>1</v>
      </c>
      <c r="N63" s="528">
        <f>VLOOKUP($A$2,AVAILABLE_Buildings_Army[#All],MATCH(J62,AVAILABLE_Buildings_Army[#Headers],0)+1)</f>
        <v>2</v>
      </c>
      <c r="O63" s="540"/>
      <c r="P63" s="530">
        <f>IF(SUM(K65:K72)&gt;M63,"Error",SUM(K65:K72))</f>
        <v>0</v>
      </c>
      <c r="Q63" s="531">
        <f>IF(P$63="Error","Error",M63-P63)</f>
        <v>1</v>
      </c>
      <c r="R63" s="538">
        <f>IF(P$63="Error","Error",SUM(M65:M72))</f>
        <v>2</v>
      </c>
    </row>
    <row r="64" spans="1:18" ht="15" customHeight="1" thickBot="1">
      <c r="A64" s="1101"/>
      <c r="B64" s="1102"/>
      <c r="C64" s="1103"/>
      <c r="D64" s="527">
        <f>VLOOKUP($A$2,AVAILABLE_Buildings_Army[#All],MATCH(A63,AVAILABLE_Buildings_Army[#Headers],0))</f>
        <v>0</v>
      </c>
      <c r="E64" s="528">
        <f>VLOOKUP($A$2,AVAILABLE_Buildings_Army[#All],MATCH(A63,AVAILABLE_Buildings_Army[#Headers],0)+1)</f>
        <v>0</v>
      </c>
      <c r="F64" s="540"/>
      <c r="G64" s="530">
        <f>IF(SUM(B66:B71)&gt;D64,"Error",SUM(B66:B71))</f>
        <v>0</v>
      </c>
      <c r="H64" s="531">
        <f>IF(G$64="Error","Error",D64-G64)</f>
        <v>0</v>
      </c>
      <c r="I64" s="538">
        <f>IF(G$64="Error","Error",SUM(D66:D71))</f>
        <v>0</v>
      </c>
      <c r="J64" s="532" t="s">
        <v>30</v>
      </c>
      <c r="K64" s="535" t="s">
        <v>29</v>
      </c>
      <c r="L64" s="533"/>
      <c r="M64" s="542" t="s">
        <v>29</v>
      </c>
      <c r="N64" s="543" t="s">
        <v>30</v>
      </c>
      <c r="O64" s="544" t="s">
        <v>258</v>
      </c>
      <c r="P64" s="544" t="s">
        <v>259</v>
      </c>
      <c r="Q64" s="544" t="s">
        <v>232</v>
      </c>
      <c r="R64" s="545" t="s">
        <v>233</v>
      </c>
    </row>
    <row r="65" spans="1:18" ht="15" customHeight="1" thickBot="1">
      <c r="A65" s="532" t="s">
        <v>30</v>
      </c>
      <c r="B65" s="349" t="s">
        <v>29</v>
      </c>
      <c r="C65" s="809"/>
      <c r="D65" s="467" t="s">
        <v>29</v>
      </c>
      <c r="E65" s="468" t="s">
        <v>30</v>
      </c>
      <c r="F65" s="230" t="s">
        <v>258</v>
      </c>
      <c r="G65" s="230" t="s">
        <v>259</v>
      </c>
      <c r="H65" s="230" t="s">
        <v>232</v>
      </c>
      <c r="I65" s="231" t="s">
        <v>233</v>
      </c>
      <c r="J65" s="524">
        <v>1</v>
      </c>
      <c r="K65" s="995" t="str">
        <f>IF(Paramètres!J6=0,"",Paramètres!J6)</f>
        <v/>
      </c>
      <c r="L65" s="598">
        <f>IF(L64&lt;&gt;0,L64+IF(AND(K64&lt;&gt;"",J64&lt;N$63),K64,0),IF(AND(K64&lt;&gt;"",J64&lt;N$63),K64,0))</f>
        <v>0</v>
      </c>
      <c r="M65" s="585">
        <f t="shared" ref="M65:M72" si="33">IF(N65&lt;&gt;"/",IF(P$63="Error","Error",$Q$63+L65),"/")</f>
        <v>1</v>
      </c>
      <c r="N65" s="469">
        <f>IF(P$63="Error","Error",IF(AND($N$63&lt;&gt;"/",$N$63&gt;'Paramètres - Admin'!$A2),'Paramètres - Admin'!$A3,"/"))</f>
        <v>1</v>
      </c>
      <c r="O65" s="389">
        <f>IF(N65&lt;&gt;"/",VLOOKUP(N65,COSTS_Army_Camp[#All],2),"/")</f>
        <v>250</v>
      </c>
      <c r="P65" s="470">
        <f>IF(N65&lt;&gt;"/",VLOOKUP(N65,COSTS_Army_Camp[#All],3),"/")</f>
        <v>8.3333333333333329E-2</v>
      </c>
      <c r="Q65" s="389">
        <f t="shared" ref="Q65:Q72" si="34">IF(P$63="Error","Error",IF(O65&lt;&gt;"/",M65*O65,0))</f>
        <v>250</v>
      </c>
      <c r="R65" s="471">
        <f t="shared" ref="R65:R72" si="35">IF(P$63="Error","Error",IF(P65&lt;&gt;"/",M65*P65,0))</f>
        <v>8.3333333333333329E-2</v>
      </c>
    </row>
    <row r="66" spans="1:18" ht="15" customHeight="1">
      <c r="A66" s="524">
        <v>1</v>
      </c>
      <c r="B66" s="995" t="str">
        <f>IF(Paramètres!I6=0,"",Paramètres!I6)</f>
        <v/>
      </c>
      <c r="C66" s="598">
        <f t="shared" ref="C66:C71" si="36">IF(C65&lt;&gt;0,C65+IF(AND(B65&lt;&gt;"",A65&lt;E$64),B65,0),IF(AND(B65&lt;&gt;"",A65&lt;E$64),B65,0))</f>
        <v>0</v>
      </c>
      <c r="D66" s="585" t="str">
        <f t="shared" ref="D66:D71" si="37">IF(E66&lt;&gt;"/",IF(G$64="Error","Error",$H$64+C66),"/")</f>
        <v>/</v>
      </c>
      <c r="E66" s="469" t="str">
        <f>IF(G$64="Error","Error",IF(AND($E$64&lt;&gt;"/",$E$64&gt;'Paramètres - Admin'!$A2),'Paramètres - Admin'!$A3,"/"))</f>
        <v>/</v>
      </c>
      <c r="F66" s="389" t="str">
        <f>IF(E66&lt;&gt;"/",VLOOKUP(E66,COSTS_Dark_Barrack[#All],2),"/")</f>
        <v>/</v>
      </c>
      <c r="G66" s="470" t="str">
        <f>IF(E66&lt;&gt;"/",VLOOKUP(E66,COSTS_Dark_Barrack[#All],3),"/")</f>
        <v>/</v>
      </c>
      <c r="H66" s="389">
        <f t="shared" ref="H66:H71" si="38">IF(G$64="Error","Error",IF(F66&lt;&gt;"/",D66*F66,0))</f>
        <v>0</v>
      </c>
      <c r="I66" s="471">
        <f t="shared" ref="I66:I71" si="39">IF(G$64="Error","Error",IF(G66&lt;&gt;"/",D66*G66,0))</f>
        <v>0</v>
      </c>
      <c r="J66" s="996">
        <v>2</v>
      </c>
      <c r="K66" s="997" t="str">
        <f>IF(Paramètres!J7=0,"",Paramètres!J7)</f>
        <v/>
      </c>
      <c r="L66" s="810">
        <f t="shared" ref="L66:L72" si="40">IF(L65&lt;&gt;0,L65+IF(AND(K65&lt;&gt;"",J65&lt;E$5),K65,0),IF(AND(K65&lt;&gt;"",J65&lt;E$5),K65,0))</f>
        <v>0</v>
      </c>
      <c r="M66" s="586">
        <f t="shared" si="33"/>
        <v>1</v>
      </c>
      <c r="N66" s="108">
        <f>IF(P$63="Error","Error",IF(AND($N$63&lt;&gt;"/",$N$63&gt;'Paramètres - Admin'!$A3),'Paramètres - Admin'!$A4,"/"))</f>
        <v>2</v>
      </c>
      <c r="O66" s="390">
        <f>IF(N66&lt;&gt;"/",VLOOKUP(N66,COSTS_Army_Camp[#All],2),"/")</f>
        <v>2500</v>
      </c>
      <c r="P66" s="94">
        <f>IF(N66&lt;&gt;"/",VLOOKUP(N66,COSTS_Army_Camp[#All],3),"/")</f>
        <v>1</v>
      </c>
      <c r="Q66" s="390">
        <f t="shared" si="34"/>
        <v>2500</v>
      </c>
      <c r="R66" s="534">
        <f t="shared" si="35"/>
        <v>1</v>
      </c>
    </row>
    <row r="67" spans="1:18" ht="15" customHeight="1">
      <c r="A67" s="996">
        <v>2</v>
      </c>
      <c r="B67" s="997" t="str">
        <f>IF(Paramètres!I7=0,"",Paramètres!I7)</f>
        <v/>
      </c>
      <c r="C67" s="810">
        <f t="shared" si="36"/>
        <v>0</v>
      </c>
      <c r="D67" s="586" t="str">
        <f t="shared" si="37"/>
        <v>/</v>
      </c>
      <c r="E67" s="108" t="str">
        <f>IF(G$64="Error","Error",IF(AND($E$64&lt;&gt;"/",$E$64&gt;'Paramètres - Admin'!$A3),'Paramètres - Admin'!$A4,"/"))</f>
        <v>/</v>
      </c>
      <c r="F67" s="390" t="str">
        <f>IF(E67&lt;&gt;"/",VLOOKUP(E67,COSTS_Dark_Barrack[#All],2),"/")</f>
        <v>/</v>
      </c>
      <c r="G67" s="94" t="str">
        <f>IF(E67&lt;&gt;"/",VLOOKUP(E67,COSTS_Dark_Barrack[#All],3),"/")</f>
        <v>/</v>
      </c>
      <c r="H67" s="390">
        <f t="shared" si="38"/>
        <v>0</v>
      </c>
      <c r="I67" s="534">
        <f t="shared" si="39"/>
        <v>0</v>
      </c>
      <c r="J67" s="996">
        <v>3</v>
      </c>
      <c r="K67" s="997" t="str">
        <f>IF(Paramètres!J8=0,"",Paramètres!J8)</f>
        <v/>
      </c>
      <c r="L67" s="810">
        <f t="shared" si="40"/>
        <v>0</v>
      </c>
      <c r="M67" s="586" t="str">
        <f t="shared" si="33"/>
        <v>/</v>
      </c>
      <c r="N67" s="108" t="str">
        <f>IF(P$63="Error","Error",IF(AND($N$63&lt;&gt;"/",$N$63&gt;'Paramètres - Admin'!$A4),'Paramètres - Admin'!$A5,"/"))</f>
        <v>/</v>
      </c>
      <c r="O67" s="390" t="str">
        <f>IF(N67&lt;&gt;"/",VLOOKUP(N67,COSTS_Army_Camp[#All],2),"/")</f>
        <v>/</v>
      </c>
      <c r="P67" s="94" t="str">
        <f>IF(N67&lt;&gt;"/",VLOOKUP(N67,COSTS_Army_Camp[#All],3),"/")</f>
        <v>/</v>
      </c>
      <c r="Q67" s="390">
        <f t="shared" si="34"/>
        <v>0</v>
      </c>
      <c r="R67" s="534">
        <f t="shared" si="35"/>
        <v>0</v>
      </c>
    </row>
    <row r="68" spans="1:18" ht="15" customHeight="1">
      <c r="A68" s="996">
        <v>3</v>
      </c>
      <c r="B68" s="997" t="str">
        <f>IF(Paramètres!I8=0,"",Paramètres!I8)</f>
        <v/>
      </c>
      <c r="C68" s="810">
        <f t="shared" si="36"/>
        <v>0</v>
      </c>
      <c r="D68" s="586" t="str">
        <f t="shared" si="37"/>
        <v>/</v>
      </c>
      <c r="E68" s="108" t="str">
        <f>IF(G$64="Error","Error",IF(AND($E$64&lt;&gt;"/",$E$64&gt;'Paramètres - Admin'!$A4),'Paramètres - Admin'!$A5,"/"))</f>
        <v>/</v>
      </c>
      <c r="F68" s="390" t="str">
        <f>IF(E68&lt;&gt;"/",VLOOKUP(E68,COSTS_Dark_Barrack[#All],2),"/")</f>
        <v>/</v>
      </c>
      <c r="G68" s="94" t="str">
        <f>IF(E68&lt;&gt;"/",VLOOKUP(E68,COSTS_Dark_Barrack[#All],3),"/")</f>
        <v>/</v>
      </c>
      <c r="H68" s="390">
        <f t="shared" si="38"/>
        <v>0</v>
      </c>
      <c r="I68" s="534">
        <f t="shared" si="39"/>
        <v>0</v>
      </c>
      <c r="J68" s="996">
        <v>4</v>
      </c>
      <c r="K68" s="997" t="str">
        <f>IF(Paramètres!J9=0,"",Paramètres!J9)</f>
        <v/>
      </c>
      <c r="L68" s="810">
        <f t="shared" si="40"/>
        <v>0</v>
      </c>
      <c r="M68" s="586" t="str">
        <f t="shared" si="33"/>
        <v>/</v>
      </c>
      <c r="N68" s="108" t="str">
        <f>IF(P$63="Error","Error",IF(AND($N$63&lt;&gt;"/",$N$63&gt;'Paramètres - Admin'!$A5),'Paramètres - Admin'!$A6,"/"))</f>
        <v>/</v>
      </c>
      <c r="O68" s="390" t="str">
        <f>IF(N68&lt;&gt;"/",VLOOKUP(N68,COSTS_Army_Camp[#All],2),"/")</f>
        <v>/</v>
      </c>
      <c r="P68" s="94" t="str">
        <f>IF(N68&lt;&gt;"/",VLOOKUP(N68,COSTS_Army_Camp[#All],3),"/")</f>
        <v>/</v>
      </c>
      <c r="Q68" s="390">
        <f t="shared" si="34"/>
        <v>0</v>
      </c>
      <c r="R68" s="534">
        <f t="shared" si="35"/>
        <v>0</v>
      </c>
    </row>
    <row r="69" spans="1:18" ht="15" customHeight="1">
      <c r="A69" s="996">
        <v>4</v>
      </c>
      <c r="B69" s="997" t="str">
        <f>IF(Paramètres!I9=0,"",Paramètres!I9)</f>
        <v/>
      </c>
      <c r="C69" s="810">
        <f t="shared" si="36"/>
        <v>0</v>
      </c>
      <c r="D69" s="586" t="str">
        <f t="shared" si="37"/>
        <v>/</v>
      </c>
      <c r="E69" s="108" t="str">
        <f>IF(G$64="Error","Error",IF(AND($E$64&lt;&gt;"/",$E$64&gt;'Paramètres - Admin'!$A5),'Paramètres - Admin'!$A6,"/"))</f>
        <v>/</v>
      </c>
      <c r="F69" s="390" t="str">
        <f>IF(E69&lt;&gt;"/",VLOOKUP(E69,COSTS_Dark_Barrack[#All],2),"/")</f>
        <v>/</v>
      </c>
      <c r="G69" s="94" t="str">
        <f>IF(E69&lt;&gt;"/",VLOOKUP(E69,COSTS_Dark_Barrack[#All],3),"/")</f>
        <v>/</v>
      </c>
      <c r="H69" s="390">
        <f t="shared" si="38"/>
        <v>0</v>
      </c>
      <c r="I69" s="534">
        <f t="shared" si="39"/>
        <v>0</v>
      </c>
      <c r="J69" s="996">
        <v>5</v>
      </c>
      <c r="K69" s="997" t="str">
        <f>IF(Paramètres!J10=0,"",Paramètres!J10)</f>
        <v/>
      </c>
      <c r="L69" s="810">
        <f t="shared" si="40"/>
        <v>0</v>
      </c>
      <c r="M69" s="586" t="str">
        <f t="shared" si="33"/>
        <v>/</v>
      </c>
      <c r="N69" s="108" t="str">
        <f>IF(P$63="Error","Error",IF(AND($N$63&lt;&gt;"/",$N$63&gt;'Paramètres - Admin'!$A6),'Paramètres - Admin'!$A7,"/"))</f>
        <v>/</v>
      </c>
      <c r="O69" s="390" t="str">
        <f>IF(N69&lt;&gt;"/",VLOOKUP(N69,COSTS_Army_Camp[#All],2),"/")</f>
        <v>/</v>
      </c>
      <c r="P69" s="94" t="str">
        <f>IF(N69&lt;&gt;"/",VLOOKUP(N69,COSTS_Army_Camp[#All],3),"/")</f>
        <v>/</v>
      </c>
      <c r="Q69" s="390">
        <f t="shared" si="34"/>
        <v>0</v>
      </c>
      <c r="R69" s="534">
        <f t="shared" si="35"/>
        <v>0</v>
      </c>
    </row>
    <row r="70" spans="1:18" ht="15" customHeight="1">
      <c r="A70" s="996">
        <v>5</v>
      </c>
      <c r="B70" s="997" t="str">
        <f>IF(Paramètres!I10=0,"",Paramètres!I10)</f>
        <v/>
      </c>
      <c r="C70" s="810">
        <f t="shared" si="36"/>
        <v>0</v>
      </c>
      <c r="D70" s="586" t="str">
        <f t="shared" si="37"/>
        <v>/</v>
      </c>
      <c r="E70" s="108" t="str">
        <f>IF(G$64="Error","Error",IF(AND($E$64&lt;&gt;"/",$E$64&gt;'Paramètres - Admin'!$A6),'Paramètres - Admin'!$A7,"/"))</f>
        <v>/</v>
      </c>
      <c r="F70" s="390" t="str">
        <f>IF(E70&lt;&gt;"/",VLOOKUP(E70,COSTS_Dark_Barrack[#All],2),"/")</f>
        <v>/</v>
      </c>
      <c r="G70" s="94" t="str">
        <f>IF(E70&lt;&gt;"/",VLOOKUP(E70,COSTS_Dark_Barrack[#All],3),"/")</f>
        <v>/</v>
      </c>
      <c r="H70" s="390">
        <f t="shared" si="38"/>
        <v>0</v>
      </c>
      <c r="I70" s="534">
        <f t="shared" si="39"/>
        <v>0</v>
      </c>
      <c r="J70" s="996">
        <v>6</v>
      </c>
      <c r="K70" s="997" t="str">
        <f>IF(Paramètres!J11=0,"",Paramètres!J11)</f>
        <v/>
      </c>
      <c r="L70" s="810">
        <f t="shared" si="40"/>
        <v>0</v>
      </c>
      <c r="M70" s="586" t="str">
        <f t="shared" si="33"/>
        <v>/</v>
      </c>
      <c r="N70" s="108" t="str">
        <f>IF(P$63="Error","Error",IF(AND($N$63&lt;&gt;"/",$N$63&gt;'Paramètres - Admin'!$A7),'Paramètres - Admin'!$A8,"/"))</f>
        <v>/</v>
      </c>
      <c r="O70" s="390" t="str">
        <f>IF(N70&lt;&gt;"/",VLOOKUP(N70,COSTS_Army_Camp[#All],2),"/")</f>
        <v>/</v>
      </c>
      <c r="P70" s="94" t="str">
        <f>IF(N70&lt;&gt;"/",VLOOKUP(N70,COSTS_Army_Camp[#All],3),"/")</f>
        <v>/</v>
      </c>
      <c r="Q70" s="390">
        <f t="shared" si="34"/>
        <v>0</v>
      </c>
      <c r="R70" s="534">
        <f t="shared" si="35"/>
        <v>0</v>
      </c>
    </row>
    <row r="71" spans="1:18" ht="15" customHeight="1" thickBot="1">
      <c r="A71" s="998">
        <v>6</v>
      </c>
      <c r="B71" s="999" t="str">
        <f>IF(Paramètres!I11=0,"",Paramètres!I11)</f>
        <v/>
      </c>
      <c r="C71" s="811">
        <f t="shared" si="36"/>
        <v>0</v>
      </c>
      <c r="D71" s="587" t="str">
        <f t="shared" si="37"/>
        <v>/</v>
      </c>
      <c r="E71" s="116" t="str">
        <f>IF(G$64="Error","Error",IF(AND($E$64&lt;&gt;"/",$E$64&gt;'Paramètres - Admin'!$A7),'Paramètres - Admin'!$A8,"/"))</f>
        <v>/</v>
      </c>
      <c r="F71" s="391" t="str">
        <f>IF(E71&lt;&gt;"/",VLOOKUP(E71,COSTS_Dark_Barrack[#All],2),"/")</f>
        <v>/</v>
      </c>
      <c r="G71" s="114" t="str">
        <f>IF(E71&lt;&gt;"/",VLOOKUP(E71,COSTS_Dark_Barrack[#All],3),"/")</f>
        <v>/</v>
      </c>
      <c r="H71" s="391">
        <f t="shared" si="38"/>
        <v>0</v>
      </c>
      <c r="I71" s="117">
        <f t="shared" si="39"/>
        <v>0</v>
      </c>
      <c r="J71" s="996">
        <v>7</v>
      </c>
      <c r="K71" s="997" t="str">
        <f>IF(Paramètres!J12=0,"",Paramètres!J12)</f>
        <v/>
      </c>
      <c r="L71" s="810">
        <f t="shared" si="40"/>
        <v>0</v>
      </c>
      <c r="M71" s="586" t="str">
        <f t="shared" si="33"/>
        <v>/</v>
      </c>
      <c r="N71" s="108" t="str">
        <f>IF(P$63="Error","Error",IF(AND($N$63&lt;&gt;"/",$N$63&gt;'Paramètres - Admin'!$A8),'Paramètres - Admin'!$A9,"/"))</f>
        <v>/</v>
      </c>
      <c r="O71" s="390" t="str">
        <f>IF(N71&lt;&gt;"/",VLOOKUP(N71,COSTS_Army_Camp[#All],2),"/")</f>
        <v>/</v>
      </c>
      <c r="P71" s="94" t="str">
        <f>IF(N71&lt;&gt;"/",VLOOKUP(N71,COSTS_Army_Camp[#All],3),"/")</f>
        <v>/</v>
      </c>
      <c r="Q71" s="390">
        <f t="shared" si="34"/>
        <v>0</v>
      </c>
      <c r="R71" s="534">
        <f t="shared" si="35"/>
        <v>0</v>
      </c>
    </row>
    <row r="72" spans="1:18" ht="15" customHeight="1" thickBot="1">
      <c r="A72" s="967"/>
      <c r="B72" s="968"/>
      <c r="C72" s="968"/>
      <c r="D72" s="968"/>
      <c r="E72" s="968"/>
      <c r="F72" s="968"/>
      <c r="G72" s="523" t="s">
        <v>31</v>
      </c>
      <c r="H72" s="392">
        <f>IF(G$64="Error","Error",SUM(H66:H71))</f>
        <v>0</v>
      </c>
      <c r="I72" s="546">
        <f>IF(G$64="Error","Error",SUM(I66:I71))</f>
        <v>0</v>
      </c>
      <c r="J72" s="998">
        <v>8</v>
      </c>
      <c r="K72" s="999" t="str">
        <f>IF(Paramètres!J13=0,"",Paramètres!J13)</f>
        <v/>
      </c>
      <c r="L72" s="811">
        <f t="shared" si="40"/>
        <v>0</v>
      </c>
      <c r="M72" s="587" t="str">
        <f t="shared" si="33"/>
        <v>/</v>
      </c>
      <c r="N72" s="116" t="str">
        <f>IF(P$63="Error","Error",IF(AND($N$63&lt;&gt;"/",$N$63&gt;'Paramètres - Admin'!$A9),'Paramètres - Admin'!$A10,"/"))</f>
        <v>/</v>
      </c>
      <c r="O72" s="391" t="str">
        <f>IF(N72&lt;&gt;"/",VLOOKUP(N72,COSTS_Army_Camp[#All],2),"/")</f>
        <v>/</v>
      </c>
      <c r="P72" s="114" t="str">
        <f>IF(N72&lt;&gt;"/",VLOOKUP(N72,COSTS_Army_Camp[#All],3),"/")</f>
        <v>/</v>
      </c>
      <c r="Q72" s="391">
        <f t="shared" si="34"/>
        <v>0</v>
      </c>
      <c r="R72" s="117">
        <f t="shared" si="35"/>
        <v>0</v>
      </c>
    </row>
    <row r="73" spans="1:18" ht="15" customHeight="1" thickBot="1">
      <c r="A73" s="1104" t="s">
        <v>209</v>
      </c>
      <c r="B73" s="1109"/>
      <c r="C73" s="1110"/>
      <c r="D73" s="524" t="s">
        <v>38</v>
      </c>
      <c r="E73" s="525" t="s">
        <v>39</v>
      </c>
      <c r="F73" s="539"/>
      <c r="G73" s="524" t="s">
        <v>256</v>
      </c>
      <c r="H73" s="526" t="s">
        <v>361</v>
      </c>
      <c r="I73" s="525" t="s">
        <v>257</v>
      </c>
      <c r="J73" s="964"/>
      <c r="K73" s="965"/>
      <c r="L73" s="965"/>
      <c r="M73" s="965"/>
      <c r="N73" s="965"/>
      <c r="O73" s="966"/>
      <c r="P73" s="278" t="s">
        <v>31</v>
      </c>
      <c r="Q73" s="398">
        <f>IF(P$63="Error","Error",SUM(Q65:Q72))</f>
        <v>2750</v>
      </c>
      <c r="R73" s="597">
        <f>IF(P$63="Error","Error",SUM(R65:R72))</f>
        <v>1.0833333333333333</v>
      </c>
    </row>
    <row r="74" spans="1:18" ht="15" customHeight="1" thickBot="1">
      <c r="A74" s="1101"/>
      <c r="B74" s="1102"/>
      <c r="C74" s="1103"/>
      <c r="D74" s="527">
        <f>VLOOKUP($A$2,AVAILABLE_Buildings_Army[#All],MATCH(A73,AVAILABLE_Buildings_Army[#Headers],0))</f>
        <v>0</v>
      </c>
      <c r="E74" s="528">
        <f>VLOOKUP($A$2,AVAILABLE_Buildings_Army[#All],MATCH(A73,AVAILABLE_Buildings_Army[#Headers],0)+1)</f>
        <v>0</v>
      </c>
      <c r="F74" s="540"/>
      <c r="G74" s="530">
        <f>IF(SUM(B76:B80)&gt;D74,"Error",SUM(B76:B80))</f>
        <v>0</v>
      </c>
      <c r="H74" s="97">
        <f>IF(G$74="Error","Error",D74-G74)</f>
        <v>0</v>
      </c>
      <c r="I74" s="206">
        <f>IF(G$74="Error","Error",SUM(D76:D80))</f>
        <v>0</v>
      </c>
      <c r="J74" s="1104" t="s">
        <v>702</v>
      </c>
      <c r="K74" s="1109"/>
      <c r="L74" s="1110"/>
      <c r="M74" s="524" t="s">
        <v>38</v>
      </c>
      <c r="N74" s="525" t="s">
        <v>39</v>
      </c>
      <c r="O74" s="539"/>
      <c r="P74" s="524" t="s">
        <v>256</v>
      </c>
      <c r="Q74" s="526" t="s">
        <v>361</v>
      </c>
      <c r="R74" s="525" t="s">
        <v>257</v>
      </c>
    </row>
    <row r="75" spans="1:18" ht="15" customHeight="1" thickBot="1">
      <c r="A75" s="532" t="s">
        <v>30</v>
      </c>
      <c r="B75" s="535" t="s">
        <v>29</v>
      </c>
      <c r="C75" s="533"/>
      <c r="D75" s="542" t="s">
        <v>29</v>
      </c>
      <c r="E75" s="543" t="s">
        <v>30</v>
      </c>
      <c r="F75" s="544" t="s">
        <v>258</v>
      </c>
      <c r="G75" s="544" t="s">
        <v>259</v>
      </c>
      <c r="H75" s="544" t="s">
        <v>232</v>
      </c>
      <c r="I75" s="545" t="s">
        <v>233</v>
      </c>
      <c r="J75" s="1101"/>
      <c r="K75" s="1102"/>
      <c r="L75" s="1103"/>
      <c r="M75" s="527">
        <f>VLOOKUP($A$2,AVAILABLE_Buildings_Army[#All],MATCH(J74,AVAILABLE_Buildings_Army[#Headers],0))</f>
        <v>0</v>
      </c>
      <c r="N75" s="528">
        <f>VLOOKUP($A$2,AVAILABLE_Buildings_Army[#All],MATCH(J74,AVAILABLE_Buildings_Army[#Headers],0)+1)</f>
        <v>0</v>
      </c>
      <c r="O75" s="540"/>
      <c r="P75" s="530">
        <f>IF(SUM(K77:K79)&gt;M75,"Error",SUM(K77:K79))</f>
        <v>0</v>
      </c>
      <c r="Q75" s="531">
        <f>IF(P$75="Error","Error",M75-P75)</f>
        <v>0</v>
      </c>
      <c r="R75" s="538">
        <f>IF(P$75="Error","Error",SUM(M77:M79))</f>
        <v>0</v>
      </c>
    </row>
    <row r="76" spans="1:18" ht="15" customHeight="1" thickBot="1">
      <c r="A76" s="524">
        <v>1</v>
      </c>
      <c r="B76" s="995" t="str">
        <f>IF(Paramètres!L6=0,"",Paramètres!L6)</f>
        <v/>
      </c>
      <c r="C76" s="598">
        <f>IF(C75&lt;&gt;0,C75+IF(AND(B75&lt;&gt;"",A75&lt;E$74),B75,0),IF(AND(B75&lt;&gt;"",A75&lt;E$74),B75,0))</f>
        <v>0</v>
      </c>
      <c r="D76" s="585" t="str">
        <f>IF(E76&lt;&gt;"/",IF(G$74="Error","Error",$H$74+C76),"/")</f>
        <v>/</v>
      </c>
      <c r="E76" s="469" t="str">
        <f>IF(G$74="Error","Error",IF(AND($E$74&lt;&gt;"/",$E$74&gt;'Paramètres - Admin'!$A2),'Paramètres - Admin'!$A3,"/"))</f>
        <v>/</v>
      </c>
      <c r="F76" s="389" t="str">
        <f>IF(E76&lt;&gt;"/",VLOOKUP(E76,COSTS_Spell_Factory[#All],2),"/")</f>
        <v>/</v>
      </c>
      <c r="G76" s="470" t="str">
        <f>IF(E76&lt;&gt;"/",VLOOKUP(E76,COSTS_Spell_Factory[#All],3),"/")</f>
        <v>/</v>
      </c>
      <c r="H76" s="389">
        <f>IF(G$74="Error","Error",IF(F76&lt;&gt;"/",D76*F76,0))</f>
        <v>0</v>
      </c>
      <c r="I76" s="471">
        <f>IF(G$74="Error","Error",IF(G76&lt;&gt;"/",D76*G76,0))</f>
        <v>0</v>
      </c>
      <c r="J76" s="532" t="s">
        <v>30</v>
      </c>
      <c r="K76" s="535" t="s">
        <v>29</v>
      </c>
      <c r="L76" s="533"/>
      <c r="M76" s="542" t="s">
        <v>29</v>
      </c>
      <c r="N76" s="543" t="s">
        <v>30</v>
      </c>
      <c r="O76" s="544" t="s">
        <v>258</v>
      </c>
      <c r="P76" s="544" t="s">
        <v>259</v>
      </c>
      <c r="Q76" s="544" t="s">
        <v>232</v>
      </c>
      <c r="R76" s="545" t="s">
        <v>233</v>
      </c>
    </row>
    <row r="77" spans="1:18" ht="15" customHeight="1">
      <c r="A77" s="996">
        <v>2</v>
      </c>
      <c r="B77" s="997" t="str">
        <f>IF(Paramètres!L7=0,"",Paramètres!L7)</f>
        <v/>
      </c>
      <c r="C77" s="810">
        <f>IF(C76&lt;&gt;0,C76+IF(AND(B76&lt;&gt;"",A76&lt;E$74),B76,0),IF(AND(B76&lt;&gt;"",A76&lt;E$74),B76,0))</f>
        <v>0</v>
      </c>
      <c r="D77" s="586" t="str">
        <f>IF(E77&lt;&gt;"/",IF(G$74="Error","Error",$H$74+C77),"/")</f>
        <v>/</v>
      </c>
      <c r="E77" s="108" t="str">
        <f>IF(G$74="Error","Error",IF(AND($E$74&lt;&gt;"/",$E$74&gt;'Paramètres - Admin'!$A3),'Paramètres - Admin'!$A4,"/"))</f>
        <v>/</v>
      </c>
      <c r="F77" s="390" t="str">
        <f>IF(E77&lt;&gt;"/",VLOOKUP(E77,COSTS_Spell_Factory[#All],2),"/")</f>
        <v>/</v>
      </c>
      <c r="G77" s="94" t="str">
        <f>IF(E77&lt;&gt;"/",VLOOKUP(E77,COSTS_Spell_Factory[#All],3),"/")</f>
        <v>/</v>
      </c>
      <c r="H77" s="390">
        <f>IF(G$74="Error","Error",IF(F77&lt;&gt;"/",D77*F77,0))</f>
        <v>0</v>
      </c>
      <c r="I77" s="534">
        <f>IF(G$74="Error","Error",IF(G77&lt;&gt;"/",D77*G77,0))</f>
        <v>0</v>
      </c>
      <c r="J77" s="524">
        <v>1</v>
      </c>
      <c r="K77" s="995" t="str">
        <f>IF(Paramètres!M6=0,"",Paramètres!M6)</f>
        <v/>
      </c>
      <c r="L77" s="598">
        <f>IF(L76&lt;&gt;0,L76+IF(AND(K76&lt;&gt;"",J76&lt;N$75),K76,0),IF(AND(K76&lt;&gt;"",J76&lt;N$75),K76,0))</f>
        <v>0</v>
      </c>
      <c r="M77" s="585" t="str">
        <f>IF(N77&lt;&gt;"/",IF(P$75="Error","Error",$Q$75+L77),"/")</f>
        <v>/</v>
      </c>
      <c r="N77" s="469" t="str">
        <f>IF(P$75="Error","Error",IF(AND($N$75&lt;&gt;"/",$N$75&gt;'Paramètres - Admin'!$A2),'Paramètres - Admin'!$A3,"/"))</f>
        <v>/</v>
      </c>
      <c r="O77" s="389" t="str">
        <f>IF(N77&lt;&gt;"/",VLOOKUP(N77,COSTS_Dark_Spell_Factory[#All],2),"/")</f>
        <v>/</v>
      </c>
      <c r="P77" s="470" t="str">
        <f>IF(N77&lt;&gt;"/",VLOOKUP(N77,COSTS_Dark_Spell_Factory[#All],3),"/")</f>
        <v>/</v>
      </c>
      <c r="Q77" s="389">
        <f>IF(P$75="Error","Error",IF(O77&lt;&gt;"/",M77*O77,0))</f>
        <v>0</v>
      </c>
      <c r="R77" s="471">
        <f>IF(P$75="Error","Error",IF(P77&lt;&gt;"/",M77*P77,0))</f>
        <v>0</v>
      </c>
    </row>
    <row r="78" spans="1:18" ht="15" customHeight="1">
      <c r="A78" s="996">
        <v>3</v>
      </c>
      <c r="B78" s="997" t="str">
        <f>IF(Paramètres!L8=0,"",Paramètres!L8)</f>
        <v/>
      </c>
      <c r="C78" s="810">
        <f>IF(C77&lt;&gt;0,C77+IF(AND(B77&lt;&gt;"",A77&lt;E$74),B77,0),IF(AND(B77&lt;&gt;"",A77&lt;E$74),B77,0))</f>
        <v>0</v>
      </c>
      <c r="D78" s="586" t="str">
        <f>IF(E78&lt;&gt;"/",IF(G$74="Error","Error",$H$74+C78),"/")</f>
        <v>/</v>
      </c>
      <c r="E78" s="108" t="str">
        <f>IF(G$74="Error","Error",IF(AND($E$74&lt;&gt;"/",$E$74&gt;'Paramètres - Admin'!$A4),'Paramètres - Admin'!$A5,"/"))</f>
        <v>/</v>
      </c>
      <c r="F78" s="390" t="str">
        <f>IF(E78&lt;&gt;"/",VLOOKUP(E78,COSTS_Spell_Factory[#All],2),"/")</f>
        <v>/</v>
      </c>
      <c r="G78" s="94" t="str">
        <f>IF(E78&lt;&gt;"/",VLOOKUP(E78,COSTS_Spell_Factory[#All],3),"/")</f>
        <v>/</v>
      </c>
      <c r="H78" s="390">
        <f>IF(G$74="Error","Error",IF(F78&lt;&gt;"/",D78*F78,0))</f>
        <v>0</v>
      </c>
      <c r="I78" s="534">
        <f>IF(G$74="Error","Error",IF(G78&lt;&gt;"/",D78*G78,0))</f>
        <v>0</v>
      </c>
      <c r="J78" s="996">
        <v>2</v>
      </c>
      <c r="K78" s="997" t="str">
        <f>IF(Paramètres!M7=0,"",Paramètres!M7)</f>
        <v/>
      </c>
      <c r="L78" s="810">
        <f>IF(L77&lt;&gt;0,L77+IF(AND(K77&lt;&gt;"",J77&lt;N$75),K77,0),IF(AND(K77&lt;&gt;"",J77&lt;N$75),K77,0))</f>
        <v>0</v>
      </c>
      <c r="M78" s="586" t="str">
        <f>IF(N78&lt;&gt;"/",IF(P$75="Error","Error",$Q$75+L78),"/")</f>
        <v>/</v>
      </c>
      <c r="N78" s="108" t="str">
        <f>IF(P$75="Error","Error",IF(AND($N$75&lt;&gt;"/",$N$75&gt;'Paramètres - Admin'!$A3),'Paramètres - Admin'!$A4,"/"))</f>
        <v>/</v>
      </c>
      <c r="O78" s="390" t="str">
        <f>IF(N78&lt;&gt;"/",VLOOKUP(N78,COSTS_Dark_Spell_Factory[#All],2),"/")</f>
        <v>/</v>
      </c>
      <c r="P78" s="94" t="str">
        <f>IF(N78&lt;&gt;"/",VLOOKUP(N78,COSTS_Dark_Spell_Factory[#All],3),"/")</f>
        <v>/</v>
      </c>
      <c r="Q78" s="390">
        <f>IF(G$74="Error","Error",IF(O78&lt;&gt;"/",M78*O78,0))</f>
        <v>0</v>
      </c>
      <c r="R78" s="534">
        <f>IF(G$74="Error","Error",IF(P78&lt;&gt;"/",M78*P78,0))</f>
        <v>0</v>
      </c>
    </row>
    <row r="79" spans="1:18" ht="15" customHeight="1" thickBot="1">
      <c r="A79" s="996">
        <v>4</v>
      </c>
      <c r="B79" s="997" t="str">
        <f>IF(Paramètres!L9=0,"",Paramètres!L9)</f>
        <v/>
      </c>
      <c r="C79" s="810">
        <f>IF(C78&lt;&gt;0,C78+IF(AND(B78&lt;&gt;"",A78&lt;E$74),B78,0),IF(AND(B78&lt;&gt;"",A78&lt;E$74),B78,0))</f>
        <v>0</v>
      </c>
      <c r="D79" s="586" t="str">
        <f>IF(E79&lt;&gt;"/",IF(G$74="Error","Error",$H$74+C79),"/")</f>
        <v>/</v>
      </c>
      <c r="E79" s="108" t="str">
        <f>IF(G$74="Error","Error",IF(AND($E$74&lt;&gt;"/",$E$74&gt;'Paramètres - Admin'!$A5),'Paramètres - Admin'!$A6,"/"))</f>
        <v>/</v>
      </c>
      <c r="F79" s="390" t="str">
        <f>IF(E79&lt;&gt;"/",VLOOKUP(E79,COSTS_Spell_Factory[#All],2),"/")</f>
        <v>/</v>
      </c>
      <c r="G79" s="94" t="str">
        <f>IF(E79&lt;&gt;"/",VLOOKUP(E79,COSTS_Spell_Factory[#All],3),"/")</f>
        <v>/</v>
      </c>
      <c r="H79" s="390">
        <f>IF(G$74="Error","Error",IF(F79&lt;&gt;"/",D79*F79,0))</f>
        <v>0</v>
      </c>
      <c r="I79" s="534">
        <f>IF(G$74="Error","Error",IF(G79&lt;&gt;"/",D79*G79,0))</f>
        <v>0</v>
      </c>
      <c r="J79" s="998">
        <v>3</v>
      </c>
      <c r="K79" s="999" t="str">
        <f>IF(Paramètres!M8=0,"",Paramètres!M8)</f>
        <v/>
      </c>
      <c r="L79" s="811">
        <f>IF(L78&lt;&gt;0,L78+IF(AND(K78&lt;&gt;"",J78&lt;N$75),K78,0),IF(AND(K78&lt;&gt;"",J78&lt;N$75),K78,0))</f>
        <v>0</v>
      </c>
      <c r="M79" s="587" t="str">
        <f>IF(N79&lt;&gt;"/",IF(P$75="Error","Error",$Q$75+L79),"/")</f>
        <v>/</v>
      </c>
      <c r="N79" s="116" t="str">
        <f>IF(P$75="Error","Error",IF(AND($N$75&lt;&gt;"/",$N$75&gt;'Paramètres - Admin'!$A4),'Paramètres - Admin'!$A5,"/"))</f>
        <v>/</v>
      </c>
      <c r="O79" s="391" t="str">
        <f>IF(N79&lt;&gt;"/",VLOOKUP(N79,COSTS_Dark_Spell_Factory[#All],2),"/")</f>
        <v>/</v>
      </c>
      <c r="P79" s="114" t="str">
        <f>IF(N79&lt;&gt;"/",VLOOKUP(N79,COSTS_Dark_Spell_Factory[#All],3),"/")</f>
        <v>/</v>
      </c>
      <c r="Q79" s="391">
        <f>IF(G$74="Error","Error",IF(O79&lt;&gt;"/",M79*O79,0))</f>
        <v>0</v>
      </c>
      <c r="R79" s="117">
        <f>IF(G$74="Error","Error",IF(P79&lt;&gt;"/",M79*P79,0))</f>
        <v>0</v>
      </c>
    </row>
    <row r="80" spans="1:18" ht="15" customHeight="1" thickBot="1">
      <c r="A80" s="998">
        <v>5</v>
      </c>
      <c r="B80" s="999" t="str">
        <f>IF(Paramètres!L10=0,"",Paramètres!L10)</f>
        <v/>
      </c>
      <c r="C80" s="811">
        <f>IF(C79&lt;&gt;0,C79+IF(AND(B79&lt;&gt;"",A79&lt;E$74),B79,0),IF(AND(B79&lt;&gt;"",A79&lt;E$74),B79,0))</f>
        <v>0</v>
      </c>
      <c r="D80" s="587" t="str">
        <f>IF(E80&lt;&gt;"/",IF(G$74="Error","Error",$H$74+C80),"/")</f>
        <v>/</v>
      </c>
      <c r="E80" s="116" t="str">
        <f>IF(G$74="Error","Error",IF(AND($E$74&lt;&gt;"/",$E$74&gt;'Paramètres - Admin'!$A6),'Paramètres - Admin'!$A7,"/"))</f>
        <v>/</v>
      </c>
      <c r="F80" s="391" t="str">
        <f>IF(E80&lt;&gt;"/",VLOOKUP(E80,COSTS_Spell_Factory[#All],2),"/")</f>
        <v>/</v>
      </c>
      <c r="G80" s="114" t="str">
        <f>IF(E80&lt;&gt;"/",VLOOKUP(E80,COSTS_Spell_Factory[#All],3),"/")</f>
        <v>/</v>
      </c>
      <c r="H80" s="391">
        <f>IF(G$74="Error","Error",IF(F80&lt;&gt;"/",D80*F80,0))</f>
        <v>0</v>
      </c>
      <c r="I80" s="117">
        <f>IF(G$74="Error","Error",IF(G80&lt;&gt;"/",D80*G80,0))</f>
        <v>0</v>
      </c>
      <c r="J80" s="964"/>
      <c r="K80" s="965"/>
      <c r="L80" s="965"/>
      <c r="M80" s="965"/>
      <c r="N80" s="965"/>
      <c r="O80" s="966"/>
      <c r="P80" s="278" t="s">
        <v>31</v>
      </c>
      <c r="Q80" s="398">
        <f>IF(G$74="Error","Error",SUM(Q77:Q79))</f>
        <v>0</v>
      </c>
      <c r="R80" s="597">
        <f>IF(G$74="Error","Error",SUM(R77:R79))</f>
        <v>0</v>
      </c>
    </row>
    <row r="81" spans="1:18" ht="15" customHeight="1" thickBot="1">
      <c r="A81" s="965"/>
      <c r="B81" s="965"/>
      <c r="C81" s="965"/>
      <c r="D81" s="965"/>
      <c r="E81" s="965"/>
      <c r="F81" s="965"/>
      <c r="G81" s="278" t="s">
        <v>31</v>
      </c>
      <c r="H81" s="398">
        <f>IF(G$74="Error","Error",SUM(H76:H80))</f>
        <v>0</v>
      </c>
      <c r="I81" s="597">
        <f>IF(G$74="Error","Error",SUM(I76:I80))</f>
        <v>0</v>
      </c>
    </row>
    <row r="82" spans="1:18" ht="15" customHeight="1">
      <c r="A82" s="131"/>
      <c r="B82" s="131"/>
      <c r="C82" s="131"/>
      <c r="D82" s="131"/>
      <c r="E82" s="131"/>
      <c r="F82" s="131"/>
    </row>
    <row r="83" spans="1:18" ht="15" customHeight="1" thickBot="1">
      <c r="A83" s="131"/>
      <c r="B83" s="131"/>
      <c r="C83" s="131"/>
      <c r="D83" s="131"/>
      <c r="E83" s="131"/>
      <c r="F83" s="131"/>
    </row>
    <row r="84" spans="1:18" s="537" customFormat="1" ht="19.5" customHeight="1" thickBot="1">
      <c r="A84" s="1096" t="s">
        <v>179</v>
      </c>
      <c r="B84" s="1097"/>
      <c r="C84" s="1097"/>
      <c r="D84" s="1097"/>
      <c r="E84" s="1097"/>
      <c r="F84" s="1097"/>
      <c r="G84" s="1097"/>
      <c r="H84" s="1097"/>
      <c r="I84" s="1097"/>
      <c r="J84" s="1097"/>
      <c r="K84" s="1097"/>
      <c r="L84" s="1097"/>
      <c r="M84" s="1097"/>
      <c r="N84" s="1097"/>
      <c r="O84" s="1097"/>
      <c r="P84" s="1097"/>
      <c r="Q84" s="1097"/>
      <c r="R84" s="1097"/>
    </row>
    <row r="85" spans="1:18" ht="15" customHeight="1">
      <c r="A85" s="1104" t="s">
        <v>206</v>
      </c>
      <c r="B85" s="1109"/>
      <c r="C85" s="1110"/>
      <c r="D85" s="80" t="s">
        <v>38</v>
      </c>
      <c r="E85" s="81" t="s">
        <v>39</v>
      </c>
      <c r="F85" s="218"/>
      <c r="G85" s="524" t="s">
        <v>256</v>
      </c>
      <c r="H85" s="526" t="s">
        <v>361</v>
      </c>
      <c r="I85" s="525" t="s">
        <v>257</v>
      </c>
      <c r="J85" s="1104" t="s">
        <v>202</v>
      </c>
      <c r="K85" s="1109"/>
      <c r="L85" s="1110"/>
      <c r="M85" s="80" t="s">
        <v>38</v>
      </c>
      <c r="N85" s="81" t="s">
        <v>39</v>
      </c>
      <c r="O85" s="218"/>
      <c r="P85" s="524" t="s">
        <v>256</v>
      </c>
      <c r="Q85" s="526" t="s">
        <v>361</v>
      </c>
      <c r="R85" s="525" t="s">
        <v>257</v>
      </c>
    </row>
    <row r="86" spans="1:18" ht="15" customHeight="1" thickBot="1">
      <c r="A86" s="1101"/>
      <c r="B86" s="1102"/>
      <c r="C86" s="1103"/>
      <c r="D86" s="88">
        <f>VLOOKUP($A$2,AVAILABLE_Buildings_Defensive[#All],MATCH(A85,AVAILABLE_Buildings_Defensive[#Headers],0))</f>
        <v>25</v>
      </c>
      <c r="E86" s="89">
        <f>VLOOKUP($A$2,AVAILABLE_Buildings_Defensive[#All],MATCH(A85,AVAILABLE_Buildings_Defensive[#Headers],0)+1)</f>
        <v>2</v>
      </c>
      <c r="F86" s="219"/>
      <c r="G86" s="96">
        <f>IF(SUM(B88:B98)&gt;D86,"Error",SUM(B88:B98))</f>
        <v>0</v>
      </c>
      <c r="H86" s="97">
        <f>IF(G$86="Error","Error",D86-G86)</f>
        <v>25</v>
      </c>
      <c r="I86" s="206">
        <f>IF(G$86="Error","Error",SUM(D88:D98))</f>
        <v>50</v>
      </c>
      <c r="J86" s="1101"/>
      <c r="K86" s="1102"/>
      <c r="L86" s="1103"/>
      <c r="M86" s="88">
        <f>VLOOKUP($A$2,AVAILABLE_Buildings_Defensive[#All],MATCH(J85,AVAILABLE_Buildings_Defensive[#Headers],0))</f>
        <v>0</v>
      </c>
      <c r="N86" s="89">
        <f>VLOOKUP($A$2,AVAILABLE_Buildings_Defensive[#All],MATCH(J85,AVAILABLE_Buildings_Defensive[#Headers],0)+1)</f>
        <v>0</v>
      </c>
      <c r="O86" s="219"/>
      <c r="P86" s="96">
        <f>IF(SUM(K88:K95)&gt;M86,"Error",SUM(K88:K95))</f>
        <v>0</v>
      </c>
      <c r="Q86" s="97">
        <f>IF(P$86="Error","Error",M86-P86)</f>
        <v>0</v>
      </c>
      <c r="R86" s="206">
        <f>IF(P$86="Error","Error",SUM(M88:M95))</f>
        <v>0</v>
      </c>
    </row>
    <row r="87" spans="1:18" ht="15" customHeight="1" thickBot="1">
      <c r="A87" s="532" t="s">
        <v>30</v>
      </c>
      <c r="B87" s="355" t="s">
        <v>29</v>
      </c>
      <c r="C87" s="472"/>
      <c r="D87" s="220" t="s">
        <v>29</v>
      </c>
      <c r="E87" s="221" t="s">
        <v>30</v>
      </c>
      <c r="F87" s="544" t="s">
        <v>258</v>
      </c>
      <c r="G87" s="544" t="s">
        <v>259</v>
      </c>
      <c r="H87" s="544" t="s">
        <v>232</v>
      </c>
      <c r="I87" s="545" t="s">
        <v>233</v>
      </c>
      <c r="J87" s="532" t="s">
        <v>30</v>
      </c>
      <c r="K87" s="355" t="s">
        <v>29</v>
      </c>
      <c r="L87" s="472"/>
      <c r="M87" s="220" t="s">
        <v>29</v>
      </c>
      <c r="N87" s="221" t="s">
        <v>30</v>
      </c>
      <c r="O87" s="544" t="s">
        <v>258</v>
      </c>
      <c r="P87" s="544" t="s">
        <v>259</v>
      </c>
      <c r="Q87" s="544" t="s">
        <v>232</v>
      </c>
      <c r="R87" s="545" t="s">
        <v>233</v>
      </c>
    </row>
    <row r="88" spans="1:18" ht="15" customHeight="1">
      <c r="A88" s="524">
        <v>1</v>
      </c>
      <c r="B88" s="995" t="str">
        <f>IF(Paramètres!N6=0,"",Paramètres!N6)</f>
        <v/>
      </c>
      <c r="C88" s="598">
        <f>IF(C87&lt;&gt;0,C87+IF(AND(B87&lt;&gt;"",A87&lt;E$86),B87,0),IF(AND(B87&lt;&gt;"",A87&lt;E$86),B87,0))</f>
        <v>0</v>
      </c>
      <c r="D88" s="585">
        <f t="shared" ref="D88:D98" si="41">IF(E88&lt;&gt;"/",IF(G$86="Error","Error",$H$86+C88),"/")</f>
        <v>25</v>
      </c>
      <c r="E88" s="469">
        <f>IF(G$86="Error","Error",IF(AND($E$86&lt;&gt;"/",$E$86&gt;'Paramètres - Admin'!$A2),'Paramètres - Admin'!$A3,"/"))</f>
        <v>1</v>
      </c>
      <c r="F88" s="86">
        <f>IF(E88&lt;&gt;"/",VLOOKUP(E88,COSTS_Wall[#All],2),"/")</f>
        <v>50</v>
      </c>
      <c r="G88" s="470">
        <f>IF(E88&lt;&gt;"/",VLOOKUP(E88,COSTS_Wall[#All],3),"/")</f>
        <v>0</v>
      </c>
      <c r="H88" s="86">
        <f t="shared" ref="H88:H98" si="42">IF(G$86="Error","Error",IF(F88&lt;&gt;"/",D88*F88,0))</f>
        <v>1250</v>
      </c>
      <c r="I88" s="471">
        <f t="shared" ref="I88:I98" si="43">IF(G$86="Error","Error",IF(G88&lt;&gt;"/",D88*G88,0))</f>
        <v>0</v>
      </c>
      <c r="J88" s="524">
        <v>1</v>
      </c>
      <c r="K88" s="995" t="str">
        <f>IF(Paramètres!R6=0,"",Paramètres!R6)</f>
        <v/>
      </c>
      <c r="L88" s="598">
        <f t="shared" ref="L88:L95" si="44">IF(L87&lt;&gt;0,L87+IF(AND(K87&lt;&gt;"",J87&lt;N$86),K87,0),IF(AND(K87&lt;&gt;"",J87&lt;N$86),K87,0))</f>
        <v>0</v>
      </c>
      <c r="M88" s="585" t="str">
        <f t="shared" ref="M88:M95" si="45">IF(N88&lt;&gt;"/",IF(P$86="Error","Error",$Q$86+L88),"/")</f>
        <v>/</v>
      </c>
      <c r="N88" s="469" t="str">
        <f>IF(P$86="Error","Error",IF(AND($N$86&lt;&gt;"/",$N$86&gt;'Paramètres - Admin'!$A2),'Paramètres - Admin'!$A3,"/"))</f>
        <v>/</v>
      </c>
      <c r="O88" s="86" t="str">
        <f>IF(N88&lt;&gt;"/",VLOOKUP(N88,COSTS_Air_Defense[#All],2),"/")</f>
        <v>/</v>
      </c>
      <c r="P88" s="470" t="str">
        <f>IF(N88&lt;&gt;"/",VLOOKUP(N88,COSTS_Air_Defense[#All],3),"/")</f>
        <v>/</v>
      </c>
      <c r="Q88" s="86">
        <f t="shared" ref="Q88:Q95" si="46">IF(P$86="Error","Error",IF(O88&lt;&gt;"/",M88*O88,0))</f>
        <v>0</v>
      </c>
      <c r="R88" s="471">
        <f t="shared" ref="R88:R95" si="47">IF(P$86="Error","Error",IF(P88&lt;&gt;"/",M88*P88,0))</f>
        <v>0</v>
      </c>
    </row>
    <row r="89" spans="1:18" ht="15" customHeight="1">
      <c r="A89" s="996">
        <v>2</v>
      </c>
      <c r="B89" s="997" t="str">
        <f>IF(Paramètres!N7=0,"",Paramètres!N7)</f>
        <v/>
      </c>
      <c r="C89" s="810">
        <f t="shared" ref="C89:C98" si="48">IF(C88&lt;&gt;0,C88+IF(AND(B88&lt;&gt;"",A88&lt;E$86),B88,0),IF(AND(B88&lt;&gt;"",A88&lt;E$86),B88,0))</f>
        <v>0</v>
      </c>
      <c r="D89" s="586">
        <f t="shared" si="41"/>
        <v>25</v>
      </c>
      <c r="E89" s="108">
        <f>IF(G$86="Error","Error",IF(AND($E$86&lt;&gt;"/",$E$86&gt;'Paramètres - Admin'!$A3),'Paramètres - Admin'!$A4,"/"))</f>
        <v>2</v>
      </c>
      <c r="F89" s="529">
        <f>IF(E89&lt;&gt;"/",VLOOKUP(E89,COSTS_Wall[#All],2),"/")</f>
        <v>1000</v>
      </c>
      <c r="G89" s="94">
        <f>IF(E89&lt;&gt;"/",VLOOKUP(E89,COSTS_Wall[#All],3),"/")</f>
        <v>0</v>
      </c>
      <c r="H89" s="529">
        <f t="shared" si="42"/>
        <v>25000</v>
      </c>
      <c r="I89" s="534">
        <f t="shared" si="43"/>
        <v>0</v>
      </c>
      <c r="J89" s="996">
        <v>2</v>
      </c>
      <c r="K89" s="997" t="str">
        <f>IF(Paramètres!R7=0,"",Paramètres!R7)</f>
        <v/>
      </c>
      <c r="L89" s="810">
        <f t="shared" si="44"/>
        <v>0</v>
      </c>
      <c r="M89" s="586" t="str">
        <f t="shared" si="45"/>
        <v>/</v>
      </c>
      <c r="N89" s="108" t="str">
        <f>IF(P$86="Error","Error",IF(AND($N$86&lt;&gt;"/",$N$86&gt;'Paramètres - Admin'!$A3),'Paramètres - Admin'!$A4,"/"))</f>
        <v>/</v>
      </c>
      <c r="O89" s="529" t="str">
        <f>IF(N89&lt;&gt;"/",VLOOKUP(N89,COSTS_Air_Defense[#All],2),"/")</f>
        <v>/</v>
      </c>
      <c r="P89" s="94" t="str">
        <f>IF(N89&lt;&gt;"/",VLOOKUP(N89,COSTS_Air_Defense[#All],3),"/")</f>
        <v>/</v>
      </c>
      <c r="Q89" s="529">
        <f t="shared" si="46"/>
        <v>0</v>
      </c>
      <c r="R89" s="534">
        <f t="shared" si="47"/>
        <v>0</v>
      </c>
    </row>
    <row r="90" spans="1:18" ht="15" customHeight="1">
      <c r="A90" s="996">
        <v>3</v>
      </c>
      <c r="B90" s="997" t="str">
        <f>IF(Paramètres!N8=0,"",Paramètres!N8)</f>
        <v/>
      </c>
      <c r="C90" s="810">
        <f t="shared" si="48"/>
        <v>0</v>
      </c>
      <c r="D90" s="586" t="str">
        <f t="shared" si="41"/>
        <v>/</v>
      </c>
      <c r="E90" s="108" t="str">
        <f>IF(G$86="Error","Error",IF(AND($E$86&lt;&gt;"/",$E$86&gt;'Paramètres - Admin'!$A4),'Paramètres - Admin'!$A5,"/"))</f>
        <v>/</v>
      </c>
      <c r="F90" s="529" t="str">
        <f>IF(E90&lt;&gt;"/",VLOOKUP(E90,COSTS_Wall[#All],2),"/")</f>
        <v>/</v>
      </c>
      <c r="G90" s="94" t="str">
        <f>IF(E90&lt;&gt;"/",VLOOKUP(E90,COSTS_Wall[#All],3),"/")</f>
        <v>/</v>
      </c>
      <c r="H90" s="529">
        <f t="shared" si="42"/>
        <v>0</v>
      </c>
      <c r="I90" s="534">
        <f t="shared" si="43"/>
        <v>0</v>
      </c>
      <c r="J90" s="996">
        <v>3</v>
      </c>
      <c r="K90" s="997" t="str">
        <f>IF(Paramètres!R8=0,"",Paramètres!R8)</f>
        <v/>
      </c>
      <c r="L90" s="810">
        <f t="shared" si="44"/>
        <v>0</v>
      </c>
      <c r="M90" s="586" t="str">
        <f t="shared" si="45"/>
        <v>/</v>
      </c>
      <c r="N90" s="108" t="str">
        <f>IF(P$86="Error","Error",IF(AND($N$86&lt;&gt;"/",$N$86&gt;'Paramètres - Admin'!$A4),'Paramètres - Admin'!$A5,"/"))</f>
        <v>/</v>
      </c>
      <c r="O90" s="529" t="str">
        <f>IF(N90&lt;&gt;"/",VLOOKUP(N90,COSTS_Air_Defense[#All],2),"/")</f>
        <v>/</v>
      </c>
      <c r="P90" s="94" t="str">
        <f>IF(N90&lt;&gt;"/",VLOOKUP(N90,COSTS_Air_Defense[#All],3),"/")</f>
        <v>/</v>
      </c>
      <c r="Q90" s="529">
        <f t="shared" si="46"/>
        <v>0</v>
      </c>
      <c r="R90" s="534">
        <f t="shared" si="47"/>
        <v>0</v>
      </c>
    </row>
    <row r="91" spans="1:18" ht="15" customHeight="1">
      <c r="A91" s="996">
        <v>4</v>
      </c>
      <c r="B91" s="997" t="str">
        <f>IF(Paramètres!N9=0,"",Paramètres!N9)</f>
        <v/>
      </c>
      <c r="C91" s="810">
        <f t="shared" si="48"/>
        <v>0</v>
      </c>
      <c r="D91" s="586" t="str">
        <f t="shared" si="41"/>
        <v>/</v>
      </c>
      <c r="E91" s="108" t="str">
        <f>IF(G$86="Error","Error",IF(AND($E$86&lt;&gt;"/",$E$86&gt;'Paramètres - Admin'!$A5),'Paramètres - Admin'!$A6,"/"))</f>
        <v>/</v>
      </c>
      <c r="F91" s="529" t="str">
        <f>IF(E91&lt;&gt;"/",VLOOKUP(E91,COSTS_Wall[#All],2),"/")</f>
        <v>/</v>
      </c>
      <c r="G91" s="94" t="str">
        <f>IF(E91&lt;&gt;"/",VLOOKUP(E91,COSTS_Wall[#All],3),"/")</f>
        <v>/</v>
      </c>
      <c r="H91" s="529">
        <f t="shared" si="42"/>
        <v>0</v>
      </c>
      <c r="I91" s="534">
        <f t="shared" si="43"/>
        <v>0</v>
      </c>
      <c r="J91" s="996">
        <v>4</v>
      </c>
      <c r="K91" s="997" t="str">
        <f>IF(Paramètres!R9=0,"",Paramètres!R9)</f>
        <v/>
      </c>
      <c r="L91" s="810">
        <f t="shared" si="44"/>
        <v>0</v>
      </c>
      <c r="M91" s="586" t="str">
        <f t="shared" si="45"/>
        <v>/</v>
      </c>
      <c r="N91" s="108" t="str">
        <f>IF(P$86="Error","Error",IF(AND($N$86&lt;&gt;"/",$N$86&gt;'Paramètres - Admin'!$A5),'Paramètres - Admin'!$A6,"/"))</f>
        <v>/</v>
      </c>
      <c r="O91" s="529" t="str">
        <f>IF(N91&lt;&gt;"/",VLOOKUP(N91,COSTS_Air_Defense[#All],2),"/")</f>
        <v>/</v>
      </c>
      <c r="P91" s="94" t="str">
        <f>IF(N91&lt;&gt;"/",VLOOKUP(N91,COSTS_Air_Defense[#All],3),"/")</f>
        <v>/</v>
      </c>
      <c r="Q91" s="529">
        <f t="shared" si="46"/>
        <v>0</v>
      </c>
      <c r="R91" s="534">
        <f t="shared" si="47"/>
        <v>0</v>
      </c>
    </row>
    <row r="92" spans="1:18" ht="15" customHeight="1">
      <c r="A92" s="996">
        <v>5</v>
      </c>
      <c r="B92" s="997" t="str">
        <f>IF(Paramètres!N10=0,"",Paramètres!N10)</f>
        <v/>
      </c>
      <c r="C92" s="810">
        <f t="shared" si="48"/>
        <v>0</v>
      </c>
      <c r="D92" s="586" t="str">
        <f t="shared" si="41"/>
        <v>/</v>
      </c>
      <c r="E92" s="108" t="str">
        <f>IF(G$86="Error","Error",IF(AND($E$86&lt;&gt;"/",$E$86&gt;'Paramètres - Admin'!$A6),'Paramètres - Admin'!$A7,"/"))</f>
        <v>/</v>
      </c>
      <c r="F92" s="529" t="str">
        <f>IF(E92&lt;&gt;"/",VLOOKUP(E92,COSTS_Wall[#All],2),"/")</f>
        <v>/</v>
      </c>
      <c r="G92" s="94" t="str">
        <f>IF(E92&lt;&gt;"/",VLOOKUP(E92,COSTS_Wall[#All],3),"/")</f>
        <v>/</v>
      </c>
      <c r="H92" s="529">
        <f t="shared" si="42"/>
        <v>0</v>
      </c>
      <c r="I92" s="534">
        <f t="shared" si="43"/>
        <v>0</v>
      </c>
      <c r="J92" s="996">
        <v>5</v>
      </c>
      <c r="K92" s="997" t="str">
        <f>IF(Paramètres!R10=0,"",Paramètres!R10)</f>
        <v/>
      </c>
      <c r="L92" s="810">
        <f t="shared" si="44"/>
        <v>0</v>
      </c>
      <c r="M92" s="586" t="str">
        <f t="shared" si="45"/>
        <v>/</v>
      </c>
      <c r="N92" s="108" t="str">
        <f>IF(P$86="Error","Error",IF(AND($N$86&lt;&gt;"/",$N$86&gt;'Paramètres - Admin'!$A6),'Paramètres - Admin'!$A7,"/"))</f>
        <v>/</v>
      </c>
      <c r="O92" s="529" t="str">
        <f>IF(N92&lt;&gt;"/",VLOOKUP(N92,COSTS_Air_Defense[#All],2),"/")</f>
        <v>/</v>
      </c>
      <c r="P92" s="94" t="str">
        <f>IF(N92&lt;&gt;"/",VLOOKUP(N92,COSTS_Air_Defense[#All],3),"/")</f>
        <v>/</v>
      </c>
      <c r="Q92" s="529">
        <f t="shared" si="46"/>
        <v>0</v>
      </c>
      <c r="R92" s="534">
        <f t="shared" si="47"/>
        <v>0</v>
      </c>
    </row>
    <row r="93" spans="1:18" ht="15" customHeight="1">
      <c r="A93" s="996">
        <v>6</v>
      </c>
      <c r="B93" s="997" t="str">
        <f>IF(Paramètres!N11=0,"",Paramètres!N11)</f>
        <v/>
      </c>
      <c r="C93" s="810">
        <f t="shared" si="48"/>
        <v>0</v>
      </c>
      <c r="D93" s="586" t="str">
        <f t="shared" si="41"/>
        <v>/</v>
      </c>
      <c r="E93" s="108" t="str">
        <f>IF(G$86="Error","Error",IF(AND($E$86&lt;&gt;"/",$E$86&gt;'Paramètres - Admin'!$A7),'Paramètres - Admin'!$A8,"/"))</f>
        <v>/</v>
      </c>
      <c r="F93" s="529" t="str">
        <f>IF(E93&lt;&gt;"/",VLOOKUP(E93,COSTS_Wall[#All],2),"/")</f>
        <v>/</v>
      </c>
      <c r="G93" s="94" t="str">
        <f>IF(E93&lt;&gt;"/",VLOOKUP(E93,COSTS_Wall[#All],3),"/")</f>
        <v>/</v>
      </c>
      <c r="H93" s="529">
        <f t="shared" si="42"/>
        <v>0</v>
      </c>
      <c r="I93" s="534">
        <f t="shared" si="43"/>
        <v>0</v>
      </c>
      <c r="J93" s="996">
        <v>6</v>
      </c>
      <c r="K93" s="997" t="str">
        <f>IF(Paramètres!R11=0,"",Paramètres!R11)</f>
        <v/>
      </c>
      <c r="L93" s="810">
        <f t="shared" si="44"/>
        <v>0</v>
      </c>
      <c r="M93" s="586" t="str">
        <f t="shared" si="45"/>
        <v>/</v>
      </c>
      <c r="N93" s="108" t="str">
        <f>IF(P$86="Error","Error",IF(AND($N$86&lt;&gt;"/",$N$86&gt;'Paramètres - Admin'!$A7),'Paramètres - Admin'!$A8,"/"))</f>
        <v>/</v>
      </c>
      <c r="O93" s="529" t="str">
        <f>IF(N93&lt;&gt;"/",VLOOKUP(N93,COSTS_Air_Defense[#All],2),"/")</f>
        <v>/</v>
      </c>
      <c r="P93" s="94" t="str">
        <f>IF(N93&lt;&gt;"/",VLOOKUP(N93,COSTS_Air_Defense[#All],3),"/")</f>
        <v>/</v>
      </c>
      <c r="Q93" s="529">
        <f t="shared" si="46"/>
        <v>0</v>
      </c>
      <c r="R93" s="534">
        <f t="shared" si="47"/>
        <v>0</v>
      </c>
    </row>
    <row r="94" spans="1:18" ht="15" customHeight="1">
      <c r="A94" s="996">
        <v>7</v>
      </c>
      <c r="B94" s="997" t="str">
        <f>IF(Paramètres!N12=0,"",Paramètres!N12)</f>
        <v/>
      </c>
      <c r="C94" s="810">
        <f t="shared" si="48"/>
        <v>0</v>
      </c>
      <c r="D94" s="586" t="str">
        <f t="shared" si="41"/>
        <v>/</v>
      </c>
      <c r="E94" s="108" t="str">
        <f>IF(G$86="Error","Error",IF(AND($E$86&lt;&gt;"/",$E$86&gt;'Paramètres - Admin'!$A8),'Paramètres - Admin'!$A9,"/"))</f>
        <v>/</v>
      </c>
      <c r="F94" s="529" t="str">
        <f>IF(E94&lt;&gt;"/",VLOOKUP(E94,COSTS_Wall[#All],2),"/")</f>
        <v>/</v>
      </c>
      <c r="G94" s="94" t="str">
        <f>IF(E94&lt;&gt;"/",VLOOKUP(E94,COSTS_Wall[#All],3),"/")</f>
        <v>/</v>
      </c>
      <c r="H94" s="529">
        <f t="shared" si="42"/>
        <v>0</v>
      </c>
      <c r="I94" s="534">
        <f t="shared" si="43"/>
        <v>0</v>
      </c>
      <c r="J94" s="996">
        <v>7</v>
      </c>
      <c r="K94" s="997" t="str">
        <f>IF(Paramètres!R12=0,"",Paramètres!R12)</f>
        <v/>
      </c>
      <c r="L94" s="810">
        <f t="shared" si="44"/>
        <v>0</v>
      </c>
      <c r="M94" s="586" t="str">
        <f t="shared" si="45"/>
        <v>/</v>
      </c>
      <c r="N94" s="108" t="str">
        <f>IF(P$86="Error","Error",IF(AND($N$86&lt;&gt;"/",$N$86&gt;'Paramètres - Admin'!$A8),'Paramètres - Admin'!$A9,"/"))</f>
        <v>/</v>
      </c>
      <c r="O94" s="529" t="str">
        <f>IF(N94&lt;&gt;"/",VLOOKUP(N94,COSTS_Air_Defense[#All],2),"/")</f>
        <v>/</v>
      </c>
      <c r="P94" s="94" t="str">
        <f>IF(N94&lt;&gt;"/",VLOOKUP(N94,COSTS_Air_Defense[#All],3),"/")</f>
        <v>/</v>
      </c>
      <c r="Q94" s="529">
        <f t="shared" si="46"/>
        <v>0</v>
      </c>
      <c r="R94" s="534">
        <f t="shared" si="47"/>
        <v>0</v>
      </c>
    </row>
    <row r="95" spans="1:18" ht="15" customHeight="1" thickBot="1">
      <c r="A95" s="996">
        <v>8</v>
      </c>
      <c r="B95" s="997" t="str">
        <f>IF(Paramètres!N13=0,"",Paramètres!N13)</f>
        <v/>
      </c>
      <c r="C95" s="810">
        <f t="shared" si="48"/>
        <v>0</v>
      </c>
      <c r="D95" s="586" t="str">
        <f t="shared" si="41"/>
        <v>/</v>
      </c>
      <c r="E95" s="108" t="str">
        <f>IF(G$86="Error","Error",IF(AND($E$86&lt;&gt;"/",$E$86&gt;'Paramètres - Admin'!$A9),'Paramètres - Admin'!$A10,"/"))</f>
        <v>/</v>
      </c>
      <c r="F95" s="529" t="str">
        <f>IF(E95&lt;&gt;"/",VLOOKUP(E95,COSTS_Wall[#All],2),"/")</f>
        <v>/</v>
      </c>
      <c r="G95" s="94" t="str">
        <f>IF(E95&lt;&gt;"/",VLOOKUP(E95,COSTS_Wall[#All],3),"/")</f>
        <v>/</v>
      </c>
      <c r="H95" s="529">
        <f t="shared" si="42"/>
        <v>0</v>
      </c>
      <c r="I95" s="534">
        <f t="shared" si="43"/>
        <v>0</v>
      </c>
      <c r="J95" s="998">
        <v>8</v>
      </c>
      <c r="K95" s="999" t="str">
        <f>IF(Paramètres!R13=0,"",Paramètres!R13)</f>
        <v/>
      </c>
      <c r="L95" s="811">
        <f t="shared" si="44"/>
        <v>0</v>
      </c>
      <c r="M95" s="587" t="str">
        <f t="shared" si="45"/>
        <v>/</v>
      </c>
      <c r="N95" s="116" t="str">
        <f>IF(P$86="Error","Error",IF(AND($N$86&lt;&gt;"/",$N$86&gt;'Paramètres - Admin'!$A9),'Paramètres - Admin'!$A10,"/"))</f>
        <v>/</v>
      </c>
      <c r="O95" s="118" t="str">
        <f>IF(N95&lt;&gt;"/",VLOOKUP(N95,COSTS_Air_Defense[#All],2),"/")</f>
        <v>/</v>
      </c>
      <c r="P95" s="114" t="str">
        <f>IF(N95&lt;&gt;"/",VLOOKUP(N95,COSTS_Air_Defense[#All],3),"/")</f>
        <v>/</v>
      </c>
      <c r="Q95" s="118">
        <f t="shared" si="46"/>
        <v>0</v>
      </c>
      <c r="R95" s="117">
        <f t="shared" si="47"/>
        <v>0</v>
      </c>
    </row>
    <row r="96" spans="1:18" ht="15" customHeight="1" thickBot="1">
      <c r="A96" s="996">
        <v>9</v>
      </c>
      <c r="B96" s="997" t="str">
        <f>IF(Paramètres!N14=0,"",Paramètres!N14)</f>
        <v/>
      </c>
      <c r="C96" s="810">
        <f t="shared" si="48"/>
        <v>0</v>
      </c>
      <c r="D96" s="586" t="str">
        <f t="shared" si="41"/>
        <v>/</v>
      </c>
      <c r="E96" s="108" t="str">
        <f>IF(G$86="Error","Error",IF(AND($E$86&lt;&gt;"/",$E$86&gt;'Paramètres - Admin'!$A10),'Paramètres - Admin'!$A11,"/"))</f>
        <v>/</v>
      </c>
      <c r="F96" s="612" t="str">
        <f>IF(E96&lt;&gt;"/",VLOOKUP(E96,COSTS_Wall[#All],2),"/")</f>
        <v>/</v>
      </c>
      <c r="G96" s="94" t="str">
        <f>IF(E96&lt;&gt;"/",VLOOKUP(E96,COSTS_Wall[#All],3),"/")</f>
        <v>/</v>
      </c>
      <c r="H96" s="529">
        <f t="shared" si="42"/>
        <v>0</v>
      </c>
      <c r="I96" s="534">
        <f t="shared" si="43"/>
        <v>0</v>
      </c>
      <c r="J96" s="967"/>
      <c r="K96" s="968"/>
      <c r="L96" s="968"/>
      <c r="M96" s="968"/>
      <c r="N96" s="968"/>
      <c r="O96" s="969"/>
      <c r="P96" s="523" t="s">
        <v>31</v>
      </c>
      <c r="Q96" s="227">
        <f>IF(P$86="Error","Error",SUM(Q88:Q95))</f>
        <v>0</v>
      </c>
      <c r="R96" s="546">
        <f>IF(P$86="Error","Error",SUM(R88:R95))</f>
        <v>0</v>
      </c>
    </row>
    <row r="97" spans="1:18" ht="15" customHeight="1">
      <c r="A97" s="996">
        <v>10</v>
      </c>
      <c r="B97" s="997" t="str">
        <f>IF(Paramètres!N15=0,"",Paramètres!N15)</f>
        <v/>
      </c>
      <c r="C97" s="810">
        <f t="shared" si="48"/>
        <v>0</v>
      </c>
      <c r="D97" s="586" t="str">
        <f t="shared" si="41"/>
        <v>/</v>
      </c>
      <c r="E97" s="108" t="str">
        <f>IF(G$86="Error","Error",IF(AND($E$86&lt;&gt;"/",$E$86&gt;'Paramètres - Admin'!$A11),'Paramètres - Admin'!$A12,"/"))</f>
        <v>/</v>
      </c>
      <c r="F97" s="612" t="str">
        <f>IF(E97&lt;&gt;"/",VLOOKUP(E97,COSTS_Wall[#All],2),"/")</f>
        <v>/</v>
      </c>
      <c r="G97" s="94" t="str">
        <f>IF(E97&lt;&gt;"/",VLOOKUP(E97,COSTS_Wall[#All],3),"/")</f>
        <v>/</v>
      </c>
      <c r="H97" s="529">
        <f t="shared" si="42"/>
        <v>0</v>
      </c>
      <c r="I97" s="534">
        <f t="shared" si="43"/>
        <v>0</v>
      </c>
      <c r="J97" s="1104" t="s">
        <v>454</v>
      </c>
      <c r="K97" s="1109"/>
      <c r="L97" s="1110"/>
      <c r="M97" s="80" t="s">
        <v>38</v>
      </c>
      <c r="N97" s="81" t="s">
        <v>39</v>
      </c>
      <c r="O97" s="218"/>
      <c r="P97" s="524" t="s">
        <v>256</v>
      </c>
      <c r="Q97" s="526" t="s">
        <v>361</v>
      </c>
      <c r="R97" s="525" t="s">
        <v>257</v>
      </c>
    </row>
    <row r="98" spans="1:18" ht="15" customHeight="1" thickBot="1">
      <c r="A98" s="998">
        <v>11</v>
      </c>
      <c r="B98" s="999" t="str">
        <f>IF(Paramètres!N16=0,"",Paramètres!N16)</f>
        <v/>
      </c>
      <c r="C98" s="811">
        <f t="shared" si="48"/>
        <v>0</v>
      </c>
      <c r="D98" s="587" t="str">
        <f t="shared" si="41"/>
        <v>/</v>
      </c>
      <c r="E98" s="116" t="str">
        <f>IF(G$86="Error","Error",IF(AND($E$86&lt;&gt;"/",$E$86&gt;'Paramètres - Admin'!$A12),'Paramètres - Admin'!$A13,"/"))</f>
        <v>/</v>
      </c>
      <c r="F98" s="613" t="str">
        <f>IF(E98&lt;&gt;"/",VLOOKUP(E98,COSTS_Wall[#All],2),"/")</f>
        <v>/</v>
      </c>
      <c r="G98" s="114" t="str">
        <f>IF(E98&lt;&gt;"/",VLOOKUP(E98,COSTS_Wall[#All],3),"/")</f>
        <v>/</v>
      </c>
      <c r="H98" s="118">
        <f t="shared" si="42"/>
        <v>0</v>
      </c>
      <c r="I98" s="117">
        <f t="shared" si="43"/>
        <v>0</v>
      </c>
      <c r="J98" s="1101"/>
      <c r="K98" s="1102"/>
      <c r="L98" s="1103"/>
      <c r="M98" s="88">
        <f>VLOOKUP($A$2,AVAILABLE_Buildings_Defensive[#All],MATCH(J97,AVAILABLE_Buildings_Defensive[#Headers],0))</f>
        <v>0</v>
      </c>
      <c r="N98" s="89">
        <f>VLOOKUP($A$2,AVAILABLE_Buildings_Defensive[#All],MATCH(J97,AVAILABLE_Buildings_Defensive[#Headers],0)+1)</f>
        <v>0</v>
      </c>
      <c r="O98" s="219"/>
      <c r="P98" s="96">
        <f>IF(SUM(K100:K108)&gt;M98,"Error",SUM(K100:K108))</f>
        <v>0</v>
      </c>
      <c r="Q98" s="97">
        <f>IF(P$98="Error","Error",M98-P98)</f>
        <v>0</v>
      </c>
      <c r="R98" s="206">
        <f>IF(P$98="Error","Error",SUM(M100:M107))</f>
        <v>0</v>
      </c>
    </row>
    <row r="99" spans="1:18" ht="15" customHeight="1" thickBot="1">
      <c r="A99" s="967"/>
      <c r="B99" s="968"/>
      <c r="C99" s="968"/>
      <c r="D99" s="968"/>
      <c r="E99" s="968"/>
      <c r="F99" s="969"/>
      <c r="G99" s="523" t="s">
        <v>31</v>
      </c>
      <c r="H99" s="227">
        <f>IF(G$86="Error","Error",SUM(H88:H98))</f>
        <v>26250</v>
      </c>
      <c r="I99" s="546">
        <f>IF(G$86="Error","Error",SUM(I88:I98))</f>
        <v>0</v>
      </c>
      <c r="J99" s="532" t="s">
        <v>30</v>
      </c>
      <c r="K99" s="355" t="s">
        <v>29</v>
      </c>
      <c r="L99" s="472"/>
      <c r="M99" s="220" t="s">
        <v>29</v>
      </c>
      <c r="N99" s="221" t="s">
        <v>30</v>
      </c>
      <c r="O99" s="544" t="s">
        <v>258</v>
      </c>
      <c r="P99" s="544" t="s">
        <v>259</v>
      </c>
      <c r="Q99" s="544" t="s">
        <v>232</v>
      </c>
      <c r="R99" s="545" t="s">
        <v>233</v>
      </c>
    </row>
    <row r="100" spans="1:18" ht="15" customHeight="1">
      <c r="A100" s="1104" t="s">
        <v>205</v>
      </c>
      <c r="B100" s="1109"/>
      <c r="C100" s="1110"/>
      <c r="D100" s="80" t="s">
        <v>38</v>
      </c>
      <c r="E100" s="81" t="s">
        <v>39</v>
      </c>
      <c r="F100" s="218"/>
      <c r="G100" s="524" t="s">
        <v>256</v>
      </c>
      <c r="H100" s="526" t="s">
        <v>361</v>
      </c>
      <c r="I100" s="525" t="s">
        <v>257</v>
      </c>
      <c r="J100" s="524">
        <v>1</v>
      </c>
      <c r="K100" s="995" t="str">
        <f>IF(Paramètres!S6=0,"",Paramètres!S6)</f>
        <v/>
      </c>
      <c r="L100" s="598">
        <f t="shared" ref="L100:L108" si="49">IF(L99&lt;&gt;0,L99+IF(AND(K99&lt;&gt;"",J99&lt;N$98),K99,0),IF(AND(K99&lt;&gt;"",J99&lt;N$98),K99,0))</f>
        <v>0</v>
      </c>
      <c r="M100" s="585" t="str">
        <f t="shared" ref="M100:M108" si="50">IF(N100&lt;&gt;"/",IF(P$98="Error","Error",$Q$98+L100),"/")</f>
        <v>/</v>
      </c>
      <c r="N100" s="469" t="str">
        <f>IF(P$98="Error","Error",IF(AND($N$98&lt;&gt;"/",$N$98&gt;'Paramètres - Admin'!$A2),'Paramètres - Admin'!$A3,"/"))</f>
        <v>/</v>
      </c>
      <c r="O100" s="86" t="str">
        <f>IF(N100&lt;&gt;"/",VLOOKUP(N100,COSTS_Wizard_Tower[#All],2),"/")</f>
        <v>/</v>
      </c>
      <c r="P100" s="470" t="str">
        <f>IF(N100&lt;&gt;"/",VLOOKUP(N100,COSTS_Wizard_Tower[#All],3),"/")</f>
        <v>/</v>
      </c>
      <c r="Q100" s="86">
        <f t="shared" ref="Q100:Q108" si="51">IF(P$98="Error","Error",IF(O100&lt;&gt;"/",M100*O100,0))</f>
        <v>0</v>
      </c>
      <c r="R100" s="471">
        <f t="shared" ref="R100:R108" si="52">IF(P$98="Error","Error",IF(P100&lt;&gt;"/",M100*P100,0))</f>
        <v>0</v>
      </c>
    </row>
    <row r="101" spans="1:18" ht="15" customHeight="1" thickBot="1">
      <c r="A101" s="1101"/>
      <c r="B101" s="1102"/>
      <c r="C101" s="1103"/>
      <c r="D101" s="88">
        <f>VLOOKUP($A$2,AVAILABLE_Buildings_Defensive[#All],MATCH(A100,AVAILABLE_Buildings_Defensive[#Headers],0))</f>
        <v>2</v>
      </c>
      <c r="E101" s="89">
        <f>VLOOKUP($A$2,AVAILABLE_Buildings_Defensive[#All],MATCH(A100,AVAILABLE_Buildings_Defensive[#Headers],0)+1)</f>
        <v>3</v>
      </c>
      <c r="F101" s="219"/>
      <c r="G101" s="96">
        <f>IF(SUM(B103:B115)&gt;D101,"Error",SUM(B103:B115))</f>
        <v>0</v>
      </c>
      <c r="H101" s="97">
        <f>IF(G$101="Error","Error",D101-G101)</f>
        <v>2</v>
      </c>
      <c r="I101" s="206">
        <f>IF(G$101="Error","Error",SUM(D103:D115))</f>
        <v>6</v>
      </c>
      <c r="J101" s="996">
        <v>2</v>
      </c>
      <c r="K101" s="997" t="str">
        <f>IF(Paramètres!S7=0,"",Paramètres!S7)</f>
        <v/>
      </c>
      <c r="L101" s="810">
        <f t="shared" si="49"/>
        <v>0</v>
      </c>
      <c r="M101" s="586" t="str">
        <f t="shared" si="50"/>
        <v>/</v>
      </c>
      <c r="N101" s="108" t="str">
        <f>IF(P$98="Error","Error",IF(AND($N$98&lt;&gt;"/",$N$98&gt;'Paramètres - Admin'!$A3),'Paramètres - Admin'!$A4,"/"))</f>
        <v>/</v>
      </c>
      <c r="O101" s="529" t="str">
        <f>IF(N101&lt;&gt;"/",VLOOKUP(N101,COSTS_Wizard_Tower[#All],2),"/")</f>
        <v>/</v>
      </c>
      <c r="P101" s="94" t="str">
        <f>IF(N101&lt;&gt;"/",VLOOKUP(N101,COSTS_Wizard_Tower[#All],3),"/")</f>
        <v>/</v>
      </c>
      <c r="Q101" s="529">
        <f t="shared" si="51"/>
        <v>0</v>
      </c>
      <c r="R101" s="534">
        <f t="shared" si="52"/>
        <v>0</v>
      </c>
    </row>
    <row r="102" spans="1:18" ht="15" customHeight="1" thickBot="1">
      <c r="A102" s="532" t="s">
        <v>30</v>
      </c>
      <c r="B102" s="355" t="s">
        <v>29</v>
      </c>
      <c r="C102" s="472"/>
      <c r="D102" s="220" t="s">
        <v>29</v>
      </c>
      <c r="E102" s="221" t="s">
        <v>30</v>
      </c>
      <c r="F102" s="544" t="s">
        <v>258</v>
      </c>
      <c r="G102" s="544" t="s">
        <v>259</v>
      </c>
      <c r="H102" s="544" t="s">
        <v>232</v>
      </c>
      <c r="I102" s="545" t="s">
        <v>233</v>
      </c>
      <c r="J102" s="996">
        <v>3</v>
      </c>
      <c r="K102" s="997" t="str">
        <f>IF(Paramètres!S8=0,"",Paramètres!S8)</f>
        <v/>
      </c>
      <c r="L102" s="810">
        <f t="shared" si="49"/>
        <v>0</v>
      </c>
      <c r="M102" s="586" t="str">
        <f t="shared" si="50"/>
        <v>/</v>
      </c>
      <c r="N102" s="108" t="str">
        <f>IF(P$98="Error","Error",IF(AND($N$98&lt;&gt;"/",$N$98&gt;'Paramètres - Admin'!$A4),'Paramètres - Admin'!$A5,"/"))</f>
        <v>/</v>
      </c>
      <c r="O102" s="529" t="str">
        <f>IF(N102&lt;&gt;"/",VLOOKUP(N102,COSTS_Wizard_Tower[#All],2),"/")</f>
        <v>/</v>
      </c>
      <c r="P102" s="94" t="str">
        <f>IF(N102&lt;&gt;"/",VLOOKUP(N102,COSTS_Wizard_Tower[#All],3),"/")</f>
        <v>/</v>
      </c>
      <c r="Q102" s="529">
        <f t="shared" si="51"/>
        <v>0</v>
      </c>
      <c r="R102" s="534">
        <f t="shared" si="52"/>
        <v>0</v>
      </c>
    </row>
    <row r="103" spans="1:18" ht="15" customHeight="1">
      <c r="A103" s="524">
        <v>1</v>
      </c>
      <c r="B103" s="995" t="str">
        <f>IF(Paramètres!O6=0,"",Paramètres!O6)</f>
        <v/>
      </c>
      <c r="C103" s="598">
        <f>IF(C102&lt;&gt;0,C102+IF(AND(B102&lt;&gt;"",A102&lt;$E$101),B102,0),IF(AND(B102&lt;&gt;"",A102&lt;$E$101),B102,0))</f>
        <v>0</v>
      </c>
      <c r="D103" s="585">
        <f t="shared" ref="D103:D115" si="53">IF(E103&lt;&gt;"/",IF(G$101="Error","Error",$H$101+C103),"/")</f>
        <v>2</v>
      </c>
      <c r="E103" s="469">
        <f>IF(G$101="Error","Error",IF(AND($E$101&lt;&gt;"/",$E$101&gt;'Paramètres - Admin'!$A2),'Paramètres - Admin'!$A3,"/"))</f>
        <v>1</v>
      </c>
      <c r="F103" s="86">
        <f>IF(E103&lt;&gt;"/",VLOOKUP(E103,COSTS_Cannon[#All],2),"/")</f>
        <v>250</v>
      </c>
      <c r="G103" s="470">
        <f>IF(E103&lt;&gt;"/",VLOOKUP(E103,COSTS_Cannon[#All],3),"/")</f>
        <v>1.6666666666666666E-2</v>
      </c>
      <c r="H103" s="86">
        <f t="shared" ref="H103:H115" si="54">IF(G$101="Error","Error",IF(F103&lt;&gt;"/",D103*F103,0))</f>
        <v>500</v>
      </c>
      <c r="I103" s="471">
        <f t="shared" ref="I103:I115" si="55">IF(G$101="Error","Error",IF(G103&lt;&gt;"/",D103*G103,0))</f>
        <v>3.3333333333333333E-2</v>
      </c>
      <c r="J103" s="996">
        <v>4</v>
      </c>
      <c r="K103" s="997" t="str">
        <f>IF(Paramètres!S9=0,"",Paramètres!S9)</f>
        <v/>
      </c>
      <c r="L103" s="810">
        <f t="shared" si="49"/>
        <v>0</v>
      </c>
      <c r="M103" s="586" t="str">
        <f t="shared" si="50"/>
        <v>/</v>
      </c>
      <c r="N103" s="108" t="str">
        <f>IF(P$98="Error","Error",IF(AND($N$98&lt;&gt;"/",$N$98&gt;'Paramètres - Admin'!$A5),'Paramètres - Admin'!$A6,"/"))</f>
        <v>/</v>
      </c>
      <c r="O103" s="529" t="str">
        <f>IF(N103&lt;&gt;"/",VLOOKUP(N103,COSTS_Wizard_Tower[#All],2),"/")</f>
        <v>/</v>
      </c>
      <c r="P103" s="94" t="str">
        <f>IF(N103&lt;&gt;"/",VLOOKUP(N103,COSTS_Wizard_Tower[#All],3),"/")</f>
        <v>/</v>
      </c>
      <c r="Q103" s="529">
        <f t="shared" si="51"/>
        <v>0</v>
      </c>
      <c r="R103" s="534">
        <f t="shared" si="52"/>
        <v>0</v>
      </c>
    </row>
    <row r="104" spans="1:18" ht="15" customHeight="1">
      <c r="A104" s="996">
        <v>2</v>
      </c>
      <c r="B104" s="997" t="str">
        <f>IF(Paramètres!O7=0,"",Paramètres!O7)</f>
        <v/>
      </c>
      <c r="C104" s="810">
        <f t="shared" ref="C104:C115" si="56">IF(C103&lt;&gt;0,C103+IF(AND(B103&lt;&gt;"",A103&lt;$E$101),B103,0),IF(AND(B103&lt;&gt;"",A103&lt;$E$101),B103,0))</f>
        <v>0</v>
      </c>
      <c r="D104" s="586">
        <f t="shared" si="53"/>
        <v>2</v>
      </c>
      <c r="E104" s="108">
        <f>IF(G$101="Error","Error",IF(AND($E$101&lt;&gt;"/",$E$101&gt;'Paramètres - Admin'!$A3),'Paramètres - Admin'!$A4,"/"))</f>
        <v>2</v>
      </c>
      <c r="F104" s="529">
        <f>IF(E104&lt;&gt;"/",VLOOKUP(E104,COSTS_Cannon[#All],2),"/")</f>
        <v>1000</v>
      </c>
      <c r="G104" s="94">
        <f>IF(E104&lt;&gt;"/",VLOOKUP(E104,COSTS_Cannon[#All],3),"/")</f>
        <v>0.25</v>
      </c>
      <c r="H104" s="529">
        <f t="shared" si="54"/>
        <v>2000</v>
      </c>
      <c r="I104" s="534">
        <f t="shared" si="55"/>
        <v>0.5</v>
      </c>
      <c r="J104" s="996">
        <v>5</v>
      </c>
      <c r="K104" s="997" t="str">
        <f>IF(Paramètres!S10=0,"",Paramètres!S10)</f>
        <v/>
      </c>
      <c r="L104" s="810">
        <f t="shared" si="49"/>
        <v>0</v>
      </c>
      <c r="M104" s="586" t="str">
        <f t="shared" si="50"/>
        <v>/</v>
      </c>
      <c r="N104" s="108" t="str">
        <f>IF(P$98="Error","Error",IF(AND($N$98&lt;&gt;"/",$N$98&gt;'Paramètres - Admin'!$A6),'Paramètres - Admin'!$A7,"/"))</f>
        <v>/</v>
      </c>
      <c r="O104" s="529" t="str">
        <f>IF(N104&lt;&gt;"/",VLOOKUP(N104,COSTS_Wizard_Tower[#All],2),"/")</f>
        <v>/</v>
      </c>
      <c r="P104" s="94" t="str">
        <f>IF(N104&lt;&gt;"/",VLOOKUP(N104,COSTS_Wizard_Tower[#All],3),"/")</f>
        <v>/</v>
      </c>
      <c r="Q104" s="529">
        <f t="shared" si="51"/>
        <v>0</v>
      </c>
      <c r="R104" s="534">
        <f t="shared" si="52"/>
        <v>0</v>
      </c>
    </row>
    <row r="105" spans="1:18" ht="15" customHeight="1">
      <c r="A105" s="996">
        <v>3</v>
      </c>
      <c r="B105" s="997" t="str">
        <f>IF(Paramètres!O8=0,"",Paramètres!O8)</f>
        <v/>
      </c>
      <c r="C105" s="810">
        <f t="shared" si="56"/>
        <v>0</v>
      </c>
      <c r="D105" s="586">
        <f t="shared" si="53"/>
        <v>2</v>
      </c>
      <c r="E105" s="108">
        <f>IF(G$101="Error","Error",IF(AND($E$101&lt;&gt;"/",$E$101&gt;'Paramètres - Admin'!$A4),'Paramètres - Admin'!$A5,"/"))</f>
        <v>3</v>
      </c>
      <c r="F105" s="529">
        <f>IF(E105&lt;&gt;"/",VLOOKUP(E105,COSTS_Cannon[#All],2),"/")</f>
        <v>4000</v>
      </c>
      <c r="G105" s="94">
        <f>IF(E105&lt;&gt;"/",VLOOKUP(E105,COSTS_Cannon[#All],3),"/")</f>
        <v>0.75</v>
      </c>
      <c r="H105" s="529">
        <f t="shared" si="54"/>
        <v>8000</v>
      </c>
      <c r="I105" s="534">
        <f t="shared" si="55"/>
        <v>1.5</v>
      </c>
      <c r="J105" s="996">
        <v>6</v>
      </c>
      <c r="K105" s="997" t="str">
        <f>IF(Paramètres!S11=0,"",Paramètres!S11)</f>
        <v/>
      </c>
      <c r="L105" s="810">
        <f t="shared" si="49"/>
        <v>0</v>
      </c>
      <c r="M105" s="586" t="str">
        <f t="shared" si="50"/>
        <v>/</v>
      </c>
      <c r="N105" s="108" t="str">
        <f>IF(P$98="Error","Error",IF(AND($N$98&lt;&gt;"/",$N$98&gt;'Paramètres - Admin'!$A7),'Paramètres - Admin'!$A8,"/"))</f>
        <v>/</v>
      </c>
      <c r="O105" s="529" t="str">
        <f>IF(N105&lt;&gt;"/",VLOOKUP(N105,COSTS_Wizard_Tower[#All],2),"/")</f>
        <v>/</v>
      </c>
      <c r="P105" s="94" t="str">
        <f>IF(N105&lt;&gt;"/",VLOOKUP(N105,COSTS_Wizard_Tower[#All],3),"/")</f>
        <v>/</v>
      </c>
      <c r="Q105" s="529">
        <f t="shared" si="51"/>
        <v>0</v>
      </c>
      <c r="R105" s="534">
        <f t="shared" si="52"/>
        <v>0</v>
      </c>
    </row>
    <row r="106" spans="1:18" ht="15" customHeight="1">
      <c r="A106" s="996">
        <v>4</v>
      </c>
      <c r="B106" s="997" t="str">
        <f>IF(Paramètres!O9=0,"",Paramètres!O9)</f>
        <v/>
      </c>
      <c r="C106" s="810">
        <f t="shared" si="56"/>
        <v>0</v>
      </c>
      <c r="D106" s="586" t="str">
        <f t="shared" si="53"/>
        <v>/</v>
      </c>
      <c r="E106" s="108" t="str">
        <f>IF(G$101="Error","Error",IF(AND($E$101&lt;&gt;"/",$E$101&gt;'Paramètres - Admin'!$A5),'Paramètres - Admin'!$A6,"/"))</f>
        <v>/</v>
      </c>
      <c r="F106" s="529" t="str">
        <f>IF(E106&lt;&gt;"/",VLOOKUP(E106,COSTS_Cannon[#All],2),"/")</f>
        <v>/</v>
      </c>
      <c r="G106" s="94" t="str">
        <f>IF(E106&lt;&gt;"/",VLOOKUP(E106,COSTS_Cannon[#All],3),"/")</f>
        <v>/</v>
      </c>
      <c r="H106" s="529">
        <f t="shared" si="54"/>
        <v>0</v>
      </c>
      <c r="I106" s="534">
        <f t="shared" si="55"/>
        <v>0</v>
      </c>
      <c r="J106" s="996">
        <v>7</v>
      </c>
      <c r="K106" s="997" t="str">
        <f>IF(Paramètres!S12=0,"",Paramètres!S12)</f>
        <v/>
      </c>
      <c r="L106" s="810">
        <f t="shared" si="49"/>
        <v>0</v>
      </c>
      <c r="M106" s="586" t="str">
        <f t="shared" si="50"/>
        <v>/</v>
      </c>
      <c r="N106" s="108" t="str">
        <f>IF(P$98="Error","Error",IF(AND($N$98&lt;&gt;"/",$N$98&gt;'Paramètres - Admin'!$A8),'Paramètres - Admin'!$A9,"/"))</f>
        <v>/</v>
      </c>
      <c r="O106" s="529" t="str">
        <f>IF(N106&lt;&gt;"/",VLOOKUP(N106,COSTS_Wizard_Tower[#All],2),"/")</f>
        <v>/</v>
      </c>
      <c r="P106" s="94" t="str">
        <f>IF(N106&lt;&gt;"/",VLOOKUP(N106,COSTS_Wizard_Tower[#All],3),"/")</f>
        <v>/</v>
      </c>
      <c r="Q106" s="529">
        <f t="shared" si="51"/>
        <v>0</v>
      </c>
      <c r="R106" s="534">
        <f t="shared" si="52"/>
        <v>0</v>
      </c>
    </row>
    <row r="107" spans="1:18" ht="15" customHeight="1" thickBot="1">
      <c r="A107" s="996">
        <v>5</v>
      </c>
      <c r="B107" s="997" t="str">
        <f>IF(Paramètres!O10=0,"",Paramètres!O10)</f>
        <v/>
      </c>
      <c r="C107" s="810">
        <f t="shared" si="56"/>
        <v>0</v>
      </c>
      <c r="D107" s="586" t="str">
        <f t="shared" si="53"/>
        <v>/</v>
      </c>
      <c r="E107" s="108" t="str">
        <f>IF(G$101="Error","Error",IF(AND($E$101&lt;&gt;"/",$E$101&gt;'Paramètres - Admin'!$A6),'Paramètres - Admin'!$A7,"/"))</f>
        <v>/</v>
      </c>
      <c r="F107" s="529" t="str">
        <f>IF(E107&lt;&gt;"/",VLOOKUP(E107,COSTS_Cannon[#All],2),"/")</f>
        <v>/</v>
      </c>
      <c r="G107" s="94" t="str">
        <f>IF(E107&lt;&gt;"/",VLOOKUP(E107,COSTS_Cannon[#All],3),"/")</f>
        <v>/</v>
      </c>
      <c r="H107" s="529">
        <f t="shared" si="54"/>
        <v>0</v>
      </c>
      <c r="I107" s="534">
        <f t="shared" si="55"/>
        <v>0</v>
      </c>
      <c r="J107" s="998">
        <v>8</v>
      </c>
      <c r="K107" s="999" t="str">
        <f>IF(Paramètres!S13=0,"",Paramètres!S13)</f>
        <v/>
      </c>
      <c r="L107" s="811">
        <f t="shared" si="49"/>
        <v>0</v>
      </c>
      <c r="M107" s="587" t="str">
        <f t="shared" si="50"/>
        <v>/</v>
      </c>
      <c r="N107" s="116" t="str">
        <f>IF(P$98="Error","Error",IF(AND($N$98&lt;&gt;"/",$N$98&gt;'Paramètres - Admin'!$A9),'Paramètres - Admin'!$A10,"/"))</f>
        <v>/</v>
      </c>
      <c r="O107" s="118" t="str">
        <f>IF(N107&lt;&gt;"/",VLOOKUP(N107,COSTS_Wizard_Tower[#All],2),"/")</f>
        <v>/</v>
      </c>
      <c r="P107" s="114" t="str">
        <f>IF(N107&lt;&gt;"/",VLOOKUP(N107,COSTS_Wizard_Tower[#All],3),"/")</f>
        <v>/</v>
      </c>
      <c r="Q107" s="118">
        <f t="shared" si="51"/>
        <v>0</v>
      </c>
      <c r="R107" s="117">
        <f t="shared" si="52"/>
        <v>0</v>
      </c>
    </row>
    <row r="108" spans="1:18" ht="15" customHeight="1" thickBot="1">
      <c r="A108" s="996">
        <v>6</v>
      </c>
      <c r="B108" s="997" t="str">
        <f>IF(Paramètres!O11=0,"",Paramètres!O11)</f>
        <v/>
      </c>
      <c r="C108" s="810">
        <f t="shared" si="56"/>
        <v>0</v>
      </c>
      <c r="D108" s="586" t="str">
        <f t="shared" si="53"/>
        <v>/</v>
      </c>
      <c r="E108" s="108" t="str">
        <f>IF(G$101="Error","Error",IF(AND($E$101&lt;&gt;"/",$E$101&gt;'Paramètres - Admin'!$A7),'Paramètres - Admin'!$A8,"/"))</f>
        <v>/</v>
      </c>
      <c r="F108" s="529" t="str">
        <f>IF(E108&lt;&gt;"/",VLOOKUP(E108,COSTS_Cannon[#All],2),"/")</f>
        <v>/</v>
      </c>
      <c r="G108" s="94" t="str">
        <f>IF(E108&lt;&gt;"/",VLOOKUP(E108,COSTS_Cannon[#All],3),"/")</f>
        <v>/</v>
      </c>
      <c r="H108" s="529">
        <f t="shared" si="54"/>
        <v>0</v>
      </c>
      <c r="I108" s="534">
        <f t="shared" si="55"/>
        <v>0</v>
      </c>
      <c r="J108" s="998">
        <v>9</v>
      </c>
      <c r="K108" s="999" t="str">
        <f>IF(Paramètres!S14=0,"",Paramètres!S14)</f>
        <v/>
      </c>
      <c r="L108" s="811">
        <f t="shared" si="49"/>
        <v>0</v>
      </c>
      <c r="M108" s="587" t="str">
        <f t="shared" si="50"/>
        <v>/</v>
      </c>
      <c r="N108" s="116" t="str">
        <f>IF(P$98="Error","Error",IF(AND($N$98&lt;&gt;"/",$N$98&gt;'Paramètres - Admin'!$A10),'Paramètres - Admin'!$A11,"/"))</f>
        <v>/</v>
      </c>
      <c r="O108" s="118" t="str">
        <f>IF(N108&lt;&gt;"/",VLOOKUP(N108,COSTS_Wizard_Tower[#All],2),"/")</f>
        <v>/</v>
      </c>
      <c r="P108" s="114" t="str">
        <f>IF(N108&lt;&gt;"/",VLOOKUP(N108,COSTS_Wizard_Tower[#All],3),"/")</f>
        <v>/</v>
      </c>
      <c r="Q108" s="118">
        <f t="shared" si="51"/>
        <v>0</v>
      </c>
      <c r="R108" s="117">
        <f t="shared" si="52"/>
        <v>0</v>
      </c>
    </row>
    <row r="109" spans="1:18" ht="15" customHeight="1" thickBot="1">
      <c r="A109" s="996">
        <v>7</v>
      </c>
      <c r="B109" s="997" t="str">
        <f>IF(Paramètres!O12=0,"",Paramètres!O12)</f>
        <v/>
      </c>
      <c r="C109" s="810">
        <f t="shared" si="56"/>
        <v>0</v>
      </c>
      <c r="D109" s="586" t="str">
        <f t="shared" si="53"/>
        <v>/</v>
      </c>
      <c r="E109" s="108" t="str">
        <f>IF(G$101="Error","Error",IF(AND($E$101&lt;&gt;"/",$E$101&gt;'Paramètres - Admin'!$A8),'Paramètres - Admin'!$A9,"/"))</f>
        <v>/</v>
      </c>
      <c r="F109" s="529" t="str">
        <f>IF(E109&lt;&gt;"/",VLOOKUP(E109,COSTS_Cannon[#All],2),"/")</f>
        <v>/</v>
      </c>
      <c r="G109" s="94" t="str">
        <f>IF(E109&lt;&gt;"/",VLOOKUP(E109,COSTS_Cannon[#All],3),"/")</f>
        <v>/</v>
      </c>
      <c r="H109" s="529">
        <f t="shared" si="54"/>
        <v>0</v>
      </c>
      <c r="I109" s="534">
        <f t="shared" si="55"/>
        <v>0</v>
      </c>
      <c r="J109" s="967"/>
      <c r="K109" s="968"/>
      <c r="L109" s="968"/>
      <c r="M109" s="968"/>
      <c r="N109" s="968"/>
      <c r="O109" s="969"/>
      <c r="P109" s="523" t="s">
        <v>31</v>
      </c>
      <c r="Q109" s="227">
        <f>IF(P$98="Error","Error",SUM(Q100:Q108))</f>
        <v>0</v>
      </c>
      <c r="R109" s="546">
        <f>IF(P$98="Error","Error",SUM(R100:R108))</f>
        <v>0</v>
      </c>
    </row>
    <row r="110" spans="1:18" ht="15" customHeight="1">
      <c r="A110" s="996">
        <v>8</v>
      </c>
      <c r="B110" s="997" t="str">
        <f>IF(Paramètres!O13=0,"",Paramètres!O13)</f>
        <v/>
      </c>
      <c r="C110" s="810">
        <f t="shared" si="56"/>
        <v>0</v>
      </c>
      <c r="D110" s="586" t="str">
        <f t="shared" si="53"/>
        <v>/</v>
      </c>
      <c r="E110" s="108" t="str">
        <f>IF(G$101="Error","Error",IF(AND($E$101&lt;&gt;"/",$E$101&gt;'Paramètres - Admin'!$A9),'Paramètres - Admin'!$A10,"/"))</f>
        <v>/</v>
      </c>
      <c r="F110" s="529" t="str">
        <f>IF(E110&lt;&gt;"/",VLOOKUP(E110,COSTS_Cannon[#All],2),"/")</f>
        <v>/</v>
      </c>
      <c r="G110" s="94" t="str">
        <f>IF(E110&lt;&gt;"/",VLOOKUP(E110,COSTS_Cannon[#All],3),"/")</f>
        <v>/</v>
      </c>
      <c r="H110" s="529">
        <f t="shared" si="54"/>
        <v>0</v>
      </c>
      <c r="I110" s="534">
        <f t="shared" si="55"/>
        <v>0</v>
      </c>
      <c r="J110" s="1104" t="s">
        <v>201</v>
      </c>
      <c r="K110" s="1109"/>
      <c r="L110" s="1110"/>
      <c r="M110" s="80" t="s">
        <v>38</v>
      </c>
      <c r="N110" s="81" t="s">
        <v>39</v>
      </c>
      <c r="O110" s="218"/>
      <c r="P110" s="524" t="s">
        <v>256</v>
      </c>
      <c r="Q110" s="526" t="s">
        <v>361</v>
      </c>
      <c r="R110" s="525" t="s">
        <v>257</v>
      </c>
    </row>
    <row r="111" spans="1:18" ht="15" customHeight="1" thickBot="1">
      <c r="A111" s="996">
        <v>9</v>
      </c>
      <c r="B111" s="997" t="str">
        <f>IF(Paramètres!O14=0,"",Paramètres!O14)</f>
        <v/>
      </c>
      <c r="C111" s="810">
        <f t="shared" si="56"/>
        <v>0</v>
      </c>
      <c r="D111" s="586" t="str">
        <f t="shared" si="53"/>
        <v>/</v>
      </c>
      <c r="E111" s="108" t="str">
        <f>IF(G$101="Error","Error",IF(AND($E$101&lt;&gt;"/",$E$101&gt;'Paramètres - Admin'!$A10),'Paramètres - Admin'!$A11,"/"))</f>
        <v>/</v>
      </c>
      <c r="F111" s="529" t="str">
        <f>IF(E111&lt;&gt;"/",VLOOKUP(E111,COSTS_Cannon[#All],2),"/")</f>
        <v>/</v>
      </c>
      <c r="G111" s="94" t="str">
        <f>IF(E111&lt;&gt;"/",VLOOKUP(E111,COSTS_Cannon[#All],3),"/")</f>
        <v>/</v>
      </c>
      <c r="H111" s="529">
        <f t="shared" si="54"/>
        <v>0</v>
      </c>
      <c r="I111" s="534">
        <f t="shared" si="55"/>
        <v>0</v>
      </c>
      <c r="J111" s="1101"/>
      <c r="K111" s="1102"/>
      <c r="L111" s="1103"/>
      <c r="M111" s="88">
        <f>VLOOKUP($A$2,AVAILABLE_Buildings_Defensive[#All],MATCH(J110,AVAILABLE_Buildings_Defensive[#Headers],0))</f>
        <v>0</v>
      </c>
      <c r="N111" s="89">
        <f>VLOOKUP($A$2,AVAILABLE_Buildings_Defensive[#All],MATCH(J110,AVAILABLE_Buildings_Defensive[#Headers],0)+1)</f>
        <v>0</v>
      </c>
      <c r="O111" s="219"/>
      <c r="P111" s="96">
        <f>IF(SUM(K113:K120)&gt;M111,"Error",SUM(K113:K120))</f>
        <v>0</v>
      </c>
      <c r="Q111" s="97">
        <f>IF(P$111="Error","Error",M111-P111)</f>
        <v>0</v>
      </c>
      <c r="R111" s="206">
        <f>IF(P$111="Error","Error",SUM(M113:M120))</f>
        <v>0</v>
      </c>
    </row>
    <row r="112" spans="1:18" ht="15" customHeight="1" thickBot="1">
      <c r="A112" s="996">
        <v>10</v>
      </c>
      <c r="B112" s="997" t="str">
        <f>IF(Paramètres!O15=0,"",Paramètres!O15)</f>
        <v/>
      </c>
      <c r="C112" s="810">
        <f t="shared" si="56"/>
        <v>0</v>
      </c>
      <c r="D112" s="586" t="str">
        <f t="shared" si="53"/>
        <v>/</v>
      </c>
      <c r="E112" s="108" t="str">
        <f>IF(G$101="Error","Error",IF(AND($E$101&lt;&gt;"/",$E$101&gt;'Paramètres - Admin'!$A11),'Paramètres - Admin'!$A12,"/"))</f>
        <v>/</v>
      </c>
      <c r="F112" s="529" t="str">
        <f>IF(E112&lt;&gt;"/",VLOOKUP(E112,COSTS_Cannon[#All],2),"/")</f>
        <v>/</v>
      </c>
      <c r="G112" s="94" t="str">
        <f>IF(E112&lt;&gt;"/",VLOOKUP(E112,COSTS_Cannon[#All],3),"/")</f>
        <v>/</v>
      </c>
      <c r="H112" s="529">
        <f t="shared" si="54"/>
        <v>0</v>
      </c>
      <c r="I112" s="534">
        <f t="shared" si="55"/>
        <v>0</v>
      </c>
      <c r="J112" s="532" t="s">
        <v>30</v>
      </c>
      <c r="K112" s="355" t="s">
        <v>29</v>
      </c>
      <c r="L112" s="472"/>
      <c r="M112" s="220" t="s">
        <v>29</v>
      </c>
      <c r="N112" s="221" t="s">
        <v>30</v>
      </c>
      <c r="O112" s="544" t="s">
        <v>258</v>
      </c>
      <c r="P112" s="544" t="s">
        <v>259</v>
      </c>
      <c r="Q112" s="544" t="s">
        <v>232</v>
      </c>
      <c r="R112" s="545" t="s">
        <v>233</v>
      </c>
    </row>
    <row r="113" spans="1:18" ht="15" customHeight="1">
      <c r="A113" s="996">
        <v>11</v>
      </c>
      <c r="B113" s="997" t="str">
        <f>IF(Paramètres!O16=0,"",Paramètres!O16)</f>
        <v/>
      </c>
      <c r="C113" s="810">
        <f t="shared" si="56"/>
        <v>0</v>
      </c>
      <c r="D113" s="586" t="str">
        <f t="shared" si="53"/>
        <v>/</v>
      </c>
      <c r="E113" s="108" t="str">
        <f>IF(G$101="Error","Error",IF(AND($E$101&lt;&gt;"/",$E$101&gt;'Paramètres - Admin'!$A12),'Paramètres - Admin'!$A13,"/"))</f>
        <v>/</v>
      </c>
      <c r="F113" s="529" t="str">
        <f>IF(E113&lt;&gt;"/",VLOOKUP(E113,COSTS_Cannon[#All],2),"/")</f>
        <v>/</v>
      </c>
      <c r="G113" s="94" t="str">
        <f>IF(E113&lt;&gt;"/",VLOOKUP(E113,COSTS_Cannon[#All],3),"/")</f>
        <v>/</v>
      </c>
      <c r="H113" s="529">
        <f t="shared" si="54"/>
        <v>0</v>
      </c>
      <c r="I113" s="534">
        <f t="shared" si="55"/>
        <v>0</v>
      </c>
      <c r="J113" s="524">
        <v>1</v>
      </c>
      <c r="K113" s="995" t="str">
        <f>IF(Paramètres!U6=0,"",Paramètres!U6)</f>
        <v/>
      </c>
      <c r="L113" s="598">
        <f t="shared" ref="L113:L120" si="57">IF(L112&lt;&gt;0,L112+IF(AND(K112&lt;&gt;"",J112&lt;N$111),K112,0),IF(AND(K112&lt;&gt;"",J112&lt;N$111),K112,0))</f>
        <v>0</v>
      </c>
      <c r="M113" s="585" t="str">
        <f t="shared" ref="M113:M120" si="58">IF(N113&lt;&gt;"/",IF(P$111="Error","Error",$Q$111+L113),"/")</f>
        <v>/</v>
      </c>
      <c r="N113" s="469" t="str">
        <f>IF(P$111="Error","Error",IF(AND($N$111&lt;&gt;"/",$N$111&gt;'Paramètres - Admin'!$A2),'Paramètres - Admin'!$A3,"/"))</f>
        <v>/</v>
      </c>
      <c r="O113" s="86" t="str">
        <f>IF(N113&lt;&gt;"/",VLOOKUP(N113,COSTS_Hidden_Tesla[#All],2),"/")</f>
        <v>/</v>
      </c>
      <c r="P113" s="470" t="str">
        <f>IF(N113&lt;&gt;"/",VLOOKUP(N113,COSTS_Hidden_Tesla[#All],3),"/")</f>
        <v>/</v>
      </c>
      <c r="Q113" s="86">
        <f t="shared" ref="Q113:Q120" si="59">IF(P$111="Error","Error",IF(O113&lt;&gt;"/",M113*O113,0))</f>
        <v>0</v>
      </c>
      <c r="R113" s="471">
        <f t="shared" ref="R113:R120" si="60">IF(P$111="Error","Error",IF(P113&lt;&gt;"/",M113*P113,0))</f>
        <v>0</v>
      </c>
    </row>
    <row r="114" spans="1:18" ht="15" customHeight="1">
      <c r="A114" s="996">
        <v>12</v>
      </c>
      <c r="B114" s="997" t="str">
        <f>IF(Paramètres!O17=0,"",Paramètres!O17)</f>
        <v/>
      </c>
      <c r="C114" s="810">
        <f t="shared" si="56"/>
        <v>0</v>
      </c>
      <c r="D114" s="586" t="str">
        <f t="shared" si="53"/>
        <v>/</v>
      </c>
      <c r="E114" s="108" t="str">
        <f>IF(G$101="Error","Error",IF(AND($E$101&lt;&gt;"/",$E$101&gt;'Paramètres - Admin'!$A13),'Paramètres - Admin'!$A14,"/"))</f>
        <v>/</v>
      </c>
      <c r="F114" s="529" t="str">
        <f>IF(E114&lt;&gt;"/",VLOOKUP(E114,COSTS_Cannon[#All],2),"/")</f>
        <v>/</v>
      </c>
      <c r="G114" s="94" t="str">
        <f>IF(E114&lt;&gt;"/",VLOOKUP(E114,COSTS_Cannon[#All],3),"/")</f>
        <v>/</v>
      </c>
      <c r="H114" s="529">
        <f t="shared" si="54"/>
        <v>0</v>
      </c>
      <c r="I114" s="534">
        <f t="shared" si="55"/>
        <v>0</v>
      </c>
      <c r="J114" s="996">
        <v>2</v>
      </c>
      <c r="K114" s="997" t="str">
        <f>IF(Paramètres!U7=0,"",Paramètres!U7)</f>
        <v/>
      </c>
      <c r="L114" s="810">
        <f t="shared" si="57"/>
        <v>0</v>
      </c>
      <c r="M114" s="586" t="str">
        <f t="shared" si="58"/>
        <v>/</v>
      </c>
      <c r="N114" s="108" t="str">
        <f>IF(P$111="Error","Error",IF(AND($N$111&lt;&gt;"/",$N$111&gt;'Paramètres - Admin'!$A3),'Paramètres - Admin'!$A4,"/"))</f>
        <v>/</v>
      </c>
      <c r="O114" s="529" t="str">
        <f>IF(N114&lt;&gt;"/",VLOOKUP(N114,COSTS_Hidden_Tesla[#All],2),"/")</f>
        <v>/</v>
      </c>
      <c r="P114" s="94" t="str">
        <f>IF(N114&lt;&gt;"/",VLOOKUP(N114,COSTS_Hidden_Tesla[#All],3),"/")</f>
        <v>/</v>
      </c>
      <c r="Q114" s="529">
        <f t="shared" si="59"/>
        <v>0</v>
      </c>
      <c r="R114" s="534">
        <f t="shared" si="60"/>
        <v>0</v>
      </c>
    </row>
    <row r="115" spans="1:18" ht="15" customHeight="1" thickBot="1">
      <c r="A115" s="998">
        <v>13</v>
      </c>
      <c r="B115" s="999" t="str">
        <f>IF(Paramètres!O18=0,"",Paramètres!O18)</f>
        <v/>
      </c>
      <c r="C115" s="811">
        <f t="shared" si="56"/>
        <v>0</v>
      </c>
      <c r="D115" s="587" t="str">
        <f t="shared" si="53"/>
        <v>/</v>
      </c>
      <c r="E115" s="116" t="str">
        <f>IF(G$101="Error","Error",IF(AND($E$101&lt;&gt;"/",$E$101&gt;'Paramètres - Admin'!$A14),'Paramètres - Admin'!$A15,"/"))</f>
        <v>/</v>
      </c>
      <c r="F115" s="118" t="str">
        <f>IF(E115&lt;&gt;"/",VLOOKUP(E115,COSTS_Cannon[#All],2),"/")</f>
        <v>/</v>
      </c>
      <c r="G115" s="114" t="str">
        <f>IF(E115&lt;&gt;"/",VLOOKUP(E115,COSTS_Cannon[#All],3),"/")</f>
        <v>/</v>
      </c>
      <c r="H115" s="118">
        <f t="shared" si="54"/>
        <v>0</v>
      </c>
      <c r="I115" s="117">
        <f t="shared" si="55"/>
        <v>0</v>
      </c>
      <c r="J115" s="996">
        <v>3</v>
      </c>
      <c r="K115" s="997" t="str">
        <f>IF(Paramètres!U8=0,"",Paramètres!U8)</f>
        <v/>
      </c>
      <c r="L115" s="810">
        <f t="shared" si="57"/>
        <v>0</v>
      </c>
      <c r="M115" s="586" t="str">
        <f t="shared" si="58"/>
        <v>/</v>
      </c>
      <c r="N115" s="108" t="str">
        <f>IF(P$111="Error","Error",IF(AND($N$111&lt;&gt;"/",$N$111&gt;'Paramètres - Admin'!$A4),'Paramètres - Admin'!$A5,"/"))</f>
        <v>/</v>
      </c>
      <c r="O115" s="529" t="str">
        <f>IF(N115&lt;&gt;"/",VLOOKUP(N115,COSTS_Hidden_Tesla[#All],2),"/")</f>
        <v>/</v>
      </c>
      <c r="P115" s="94" t="str">
        <f>IF(N115&lt;&gt;"/",VLOOKUP(N115,COSTS_Hidden_Tesla[#All],3),"/")</f>
        <v>/</v>
      </c>
      <c r="Q115" s="529">
        <f t="shared" si="59"/>
        <v>0</v>
      </c>
      <c r="R115" s="534">
        <f t="shared" si="60"/>
        <v>0</v>
      </c>
    </row>
    <row r="116" spans="1:18" ht="15" customHeight="1" thickBot="1">
      <c r="A116" s="967"/>
      <c r="B116" s="968"/>
      <c r="C116" s="968"/>
      <c r="D116" s="968"/>
      <c r="E116" s="968"/>
      <c r="F116" s="969"/>
      <c r="G116" s="523" t="s">
        <v>31</v>
      </c>
      <c r="H116" s="227">
        <f>IF(G$101="Error","Error",SUM(H103:H115))</f>
        <v>10500</v>
      </c>
      <c r="I116" s="546">
        <f>IF(G$101="Error","Error",SUM(I103:I115))</f>
        <v>2.0333333333333332</v>
      </c>
      <c r="J116" s="996">
        <v>4</v>
      </c>
      <c r="K116" s="997" t="str">
        <f>IF(Paramètres!U9=0,"",Paramètres!U9)</f>
        <v/>
      </c>
      <c r="L116" s="810">
        <f t="shared" si="57"/>
        <v>0</v>
      </c>
      <c r="M116" s="586" t="str">
        <f t="shared" si="58"/>
        <v>/</v>
      </c>
      <c r="N116" s="108" t="str">
        <f>IF(P$111="Error","Error",IF(AND($N$111&lt;&gt;"/",$N$111&gt;'Paramètres - Admin'!$A5),'Paramètres - Admin'!$A6,"/"))</f>
        <v>/</v>
      </c>
      <c r="O116" s="529" t="str">
        <f>IF(N116&lt;&gt;"/",VLOOKUP(N116,COSTS_Hidden_Tesla[#All],2),"/")</f>
        <v>/</v>
      </c>
      <c r="P116" s="94" t="str">
        <f>IF(N116&lt;&gt;"/",VLOOKUP(N116,COSTS_Hidden_Tesla[#All],3),"/")</f>
        <v>/</v>
      </c>
      <c r="Q116" s="529">
        <f t="shared" si="59"/>
        <v>0</v>
      </c>
      <c r="R116" s="534">
        <f t="shared" si="60"/>
        <v>0</v>
      </c>
    </row>
    <row r="117" spans="1:18" ht="15" customHeight="1">
      <c r="A117" s="1104" t="s">
        <v>204</v>
      </c>
      <c r="B117" s="1109"/>
      <c r="C117" s="1110"/>
      <c r="D117" s="80" t="s">
        <v>38</v>
      </c>
      <c r="E117" s="81" t="s">
        <v>39</v>
      </c>
      <c r="F117" s="218"/>
      <c r="G117" s="524" t="s">
        <v>256</v>
      </c>
      <c r="H117" s="526" t="s">
        <v>361</v>
      </c>
      <c r="I117" s="525" t="s">
        <v>257</v>
      </c>
      <c r="J117" s="996">
        <v>5</v>
      </c>
      <c r="K117" s="997" t="str">
        <f>IF(Paramètres!U10=0,"",Paramètres!U10)</f>
        <v/>
      </c>
      <c r="L117" s="810">
        <f t="shared" si="57"/>
        <v>0</v>
      </c>
      <c r="M117" s="586" t="str">
        <f t="shared" si="58"/>
        <v>/</v>
      </c>
      <c r="N117" s="108" t="str">
        <f>IF(P$111="Error","Error",IF(AND($N$111&lt;&gt;"/",$N$111&gt;'Paramètres - Admin'!$A6),'Paramètres - Admin'!$A7,"/"))</f>
        <v>/</v>
      </c>
      <c r="O117" s="529" t="str">
        <f>IF(N117&lt;&gt;"/",VLOOKUP(N117,COSTS_Hidden_Tesla[#All],2),"/")</f>
        <v>/</v>
      </c>
      <c r="P117" s="94" t="str">
        <f>IF(N117&lt;&gt;"/",VLOOKUP(N117,COSTS_Hidden_Tesla[#All],3),"/")</f>
        <v>/</v>
      </c>
      <c r="Q117" s="529">
        <f t="shared" si="59"/>
        <v>0</v>
      </c>
      <c r="R117" s="534">
        <f t="shared" si="60"/>
        <v>0</v>
      </c>
    </row>
    <row r="118" spans="1:18" ht="15" customHeight="1" thickBot="1">
      <c r="A118" s="1101"/>
      <c r="B118" s="1102"/>
      <c r="C118" s="1103"/>
      <c r="D118" s="88">
        <f>VLOOKUP($A$2,AVAILABLE_Buildings_Defensive[#All],MATCH(A117,AVAILABLE_Buildings_Defensive[#Headers],0))</f>
        <v>1</v>
      </c>
      <c r="E118" s="89">
        <f>VLOOKUP($A$2,AVAILABLE_Buildings_Defensive[#All],MATCH(A117,AVAILABLE_Buildings_Defensive[#Headers],0)+1)</f>
        <v>2</v>
      </c>
      <c r="F118" s="219"/>
      <c r="G118" s="96">
        <f>IF(SUM(B120:B132)&gt;D118,"Error",SUM(B120:B132))</f>
        <v>0</v>
      </c>
      <c r="H118" s="97">
        <f>IF(G$118="Error","Error",D118-G118)</f>
        <v>1</v>
      </c>
      <c r="I118" s="206">
        <f>IF(G$118="Error","Error",SUM(D120:D132))</f>
        <v>2</v>
      </c>
      <c r="J118" s="996">
        <v>6</v>
      </c>
      <c r="K118" s="997" t="str">
        <f>IF(Paramètres!U11=0,"",Paramètres!U11)</f>
        <v/>
      </c>
      <c r="L118" s="810">
        <f t="shared" si="57"/>
        <v>0</v>
      </c>
      <c r="M118" s="586" t="str">
        <f t="shared" si="58"/>
        <v>/</v>
      </c>
      <c r="N118" s="108" t="str">
        <f>IF(P$111="Error","Error",IF(AND($N$111&lt;&gt;"/",$N$111&gt;'Paramètres - Admin'!$A7),'Paramètres - Admin'!$A8,"/"))</f>
        <v>/</v>
      </c>
      <c r="O118" s="529" t="str">
        <f>IF(N118&lt;&gt;"/",VLOOKUP(N118,COSTS_Hidden_Tesla[#All],2),"/")</f>
        <v>/</v>
      </c>
      <c r="P118" s="94" t="str">
        <f>IF(N118&lt;&gt;"/",VLOOKUP(N118,COSTS_Hidden_Tesla[#All],3),"/")</f>
        <v>/</v>
      </c>
      <c r="Q118" s="529">
        <f t="shared" si="59"/>
        <v>0</v>
      </c>
      <c r="R118" s="534">
        <f t="shared" si="60"/>
        <v>0</v>
      </c>
    </row>
    <row r="119" spans="1:18" ht="15" customHeight="1" thickBot="1">
      <c r="A119" s="532" t="s">
        <v>30</v>
      </c>
      <c r="B119" s="355" t="s">
        <v>29</v>
      </c>
      <c r="C119" s="472"/>
      <c r="D119" s="220" t="s">
        <v>29</v>
      </c>
      <c r="E119" s="221" t="s">
        <v>30</v>
      </c>
      <c r="F119" s="544" t="s">
        <v>258</v>
      </c>
      <c r="G119" s="544" t="s">
        <v>259</v>
      </c>
      <c r="H119" s="544" t="s">
        <v>232</v>
      </c>
      <c r="I119" s="545" t="s">
        <v>233</v>
      </c>
      <c r="J119" s="996">
        <v>7</v>
      </c>
      <c r="K119" s="997" t="str">
        <f>IF(Paramètres!U12=0,"",Paramètres!U12)</f>
        <v/>
      </c>
      <c r="L119" s="810">
        <f t="shared" si="57"/>
        <v>0</v>
      </c>
      <c r="M119" s="586" t="str">
        <f t="shared" si="58"/>
        <v>/</v>
      </c>
      <c r="N119" s="108" t="str">
        <f>IF(P$111="Error","Error",IF(AND($N$111&lt;&gt;"/",$N$111&gt;'Paramètres - Admin'!$A8),'Paramètres - Admin'!$A9,"/"))</f>
        <v>/</v>
      </c>
      <c r="O119" s="529" t="str">
        <f>IF(N119&lt;&gt;"/",VLOOKUP(N119,COSTS_Hidden_Tesla[#All],2),"/")</f>
        <v>/</v>
      </c>
      <c r="P119" s="94" t="str">
        <f>IF(N119&lt;&gt;"/",VLOOKUP(N119,COSTS_Hidden_Tesla[#All],3),"/")</f>
        <v>/</v>
      </c>
      <c r="Q119" s="529">
        <f t="shared" si="59"/>
        <v>0</v>
      </c>
      <c r="R119" s="534">
        <f t="shared" si="60"/>
        <v>0</v>
      </c>
    </row>
    <row r="120" spans="1:18" ht="15" customHeight="1" thickBot="1">
      <c r="A120" s="524">
        <v>1</v>
      </c>
      <c r="B120" s="995" t="str">
        <f>IF(Paramètres!P6=0,"",Paramètres!P6)</f>
        <v/>
      </c>
      <c r="C120" s="598">
        <f t="shared" ref="C120:C132" si="61">IF(C119&lt;&gt;0,C119+IF(AND(B119&lt;&gt;"",A119&lt;$E$118),B119,0),IF(AND(B119&lt;&gt;"",A119&lt;$E$118),B119,0))</f>
        <v>0</v>
      </c>
      <c r="D120" s="585">
        <f t="shared" ref="D120:D132" si="62">IF(E120&lt;&gt;"/",IF(G$118="Error","Error",$H$118+C120),"/")</f>
        <v>1</v>
      </c>
      <c r="E120" s="469">
        <f>IF(G$118="Error","Error",IF(AND($E$118&lt;&gt;"/",$E$118&gt;'Paramètres - Admin'!$A2),'Paramètres - Admin'!$A3,"/"))</f>
        <v>1</v>
      </c>
      <c r="F120" s="86">
        <f>IF(E120&lt;&gt;"/",VLOOKUP(E120,COSTS_Archer_Tower[#All],2),"/")</f>
        <v>1000</v>
      </c>
      <c r="G120" s="470">
        <f>IF(E120&lt;&gt;"/",VLOOKUP(E120,COSTS_Archer_Tower[#All],3),"/")</f>
        <v>0.25</v>
      </c>
      <c r="H120" s="86">
        <f t="shared" ref="H120:H132" si="63">IF(G$118="Error","Error",IF(F120&lt;&gt;"/",D120*F120,0))</f>
        <v>1000</v>
      </c>
      <c r="I120" s="471">
        <f t="shared" ref="I120:I132" si="64">IF(G$118="Error","Error",IF(G120&lt;&gt;"/",D120*G120,0))</f>
        <v>0.25</v>
      </c>
      <c r="J120" s="998">
        <v>8</v>
      </c>
      <c r="K120" s="999" t="str">
        <f>IF(Paramètres!U13=0,"",Paramètres!U13)</f>
        <v/>
      </c>
      <c r="L120" s="811">
        <f t="shared" si="57"/>
        <v>0</v>
      </c>
      <c r="M120" s="587" t="str">
        <f t="shared" si="58"/>
        <v>/</v>
      </c>
      <c r="N120" s="116" t="str">
        <f>IF(P$111="Error","Error",IF(AND($N$111&lt;&gt;"/",$N$111&gt;'Paramètres - Admin'!$A9),'Paramètres - Admin'!$A10,"/"))</f>
        <v>/</v>
      </c>
      <c r="O120" s="118" t="str">
        <f>IF(N120&lt;&gt;"/",VLOOKUP(N120,COSTS_Hidden_Tesla[#All],2),"/")</f>
        <v>/</v>
      </c>
      <c r="P120" s="114" t="str">
        <f>IF(N120&lt;&gt;"/",VLOOKUP(N120,COSTS_Hidden_Tesla[#All],3),"/")</f>
        <v>/</v>
      </c>
      <c r="Q120" s="118">
        <f t="shared" si="59"/>
        <v>0</v>
      </c>
      <c r="R120" s="117">
        <f t="shared" si="60"/>
        <v>0</v>
      </c>
    </row>
    <row r="121" spans="1:18" ht="15" customHeight="1" thickBot="1">
      <c r="A121" s="996">
        <v>2</v>
      </c>
      <c r="B121" s="997" t="str">
        <f>IF(Paramètres!P7=0,"",Paramètres!P7)</f>
        <v/>
      </c>
      <c r="C121" s="810">
        <f t="shared" si="61"/>
        <v>0</v>
      </c>
      <c r="D121" s="586">
        <f t="shared" si="62"/>
        <v>1</v>
      </c>
      <c r="E121" s="108">
        <f>IF(G$118="Error","Error",IF(AND($E$118&lt;&gt;"/",$E$118&gt;'Paramètres - Admin'!$A3),'Paramètres - Admin'!$A4,"/"))</f>
        <v>2</v>
      </c>
      <c r="F121" s="529">
        <f>IF(E121&lt;&gt;"/",VLOOKUP(E121,COSTS_Archer_Tower[#All],2),"/")</f>
        <v>2000</v>
      </c>
      <c r="G121" s="94">
        <f>IF(E121&lt;&gt;"/",VLOOKUP(E121,COSTS_Archer_Tower[#All],3),"/")</f>
        <v>0.5</v>
      </c>
      <c r="H121" s="529">
        <f t="shared" si="63"/>
        <v>2000</v>
      </c>
      <c r="I121" s="534">
        <f t="shared" si="64"/>
        <v>0.5</v>
      </c>
      <c r="J121" s="967"/>
      <c r="K121" s="968"/>
      <c r="L121" s="968"/>
      <c r="M121" s="968"/>
      <c r="N121" s="968"/>
      <c r="O121" s="969"/>
      <c r="P121" s="523" t="s">
        <v>31</v>
      </c>
      <c r="Q121" s="227">
        <f>IF(P$111="Error","Error",SUM(Q113:Q120))</f>
        <v>0</v>
      </c>
      <c r="R121" s="546">
        <f>IF(P$111="Error","Error",SUM(R113:R120))</f>
        <v>0</v>
      </c>
    </row>
    <row r="122" spans="1:18" ht="15" customHeight="1">
      <c r="A122" s="996">
        <v>3</v>
      </c>
      <c r="B122" s="997" t="str">
        <f>IF(Paramètres!P8=0,"",Paramètres!P8)</f>
        <v/>
      </c>
      <c r="C122" s="810">
        <f t="shared" si="61"/>
        <v>0</v>
      </c>
      <c r="D122" s="586" t="str">
        <f t="shared" si="62"/>
        <v>/</v>
      </c>
      <c r="E122" s="108" t="str">
        <f>IF(G$118="Error","Error",IF(AND($E$118&lt;&gt;"/",$E$118&gt;'Paramètres - Admin'!$A4),'Paramètres - Admin'!$A5,"/"))</f>
        <v>/</v>
      </c>
      <c r="F122" s="529" t="str">
        <f>IF(E122&lt;&gt;"/",VLOOKUP(E122,COSTS_Archer_Tower[#All],2),"/")</f>
        <v>/</v>
      </c>
      <c r="G122" s="94" t="str">
        <f>IF(E122&lt;&gt;"/",VLOOKUP(E122,COSTS_Archer_Tower[#All],3),"/")</f>
        <v>/</v>
      </c>
      <c r="H122" s="529">
        <f t="shared" si="63"/>
        <v>0</v>
      </c>
      <c r="I122" s="534">
        <f t="shared" si="64"/>
        <v>0</v>
      </c>
      <c r="J122" s="1104" t="s">
        <v>200</v>
      </c>
      <c r="K122" s="1109"/>
      <c r="L122" s="1110"/>
      <c r="M122" s="80" t="s">
        <v>38</v>
      </c>
      <c r="N122" s="81" t="s">
        <v>39</v>
      </c>
      <c r="O122" s="218"/>
      <c r="P122" s="524" t="s">
        <v>256</v>
      </c>
      <c r="Q122" s="526" t="s">
        <v>361</v>
      </c>
      <c r="R122" s="525" t="s">
        <v>257</v>
      </c>
    </row>
    <row r="123" spans="1:18" ht="15" customHeight="1" thickBot="1">
      <c r="A123" s="996">
        <v>4</v>
      </c>
      <c r="B123" s="997" t="str">
        <f>IF(Paramètres!P9=0,"",Paramètres!P9)</f>
        <v/>
      </c>
      <c r="C123" s="810">
        <f t="shared" si="61"/>
        <v>0</v>
      </c>
      <c r="D123" s="586" t="str">
        <f t="shared" si="62"/>
        <v>/</v>
      </c>
      <c r="E123" s="108" t="str">
        <f>IF(G$118="Error","Error",IF(AND($E$118&lt;&gt;"/",$E$118&gt;'Paramètres - Admin'!$A5),'Paramètres - Admin'!$A6,"/"))</f>
        <v>/</v>
      </c>
      <c r="F123" s="529" t="str">
        <f>IF(E123&lt;&gt;"/",VLOOKUP(E123,COSTS_Archer_Tower[#All],2),"/")</f>
        <v>/</v>
      </c>
      <c r="G123" s="94" t="str">
        <f>IF(E123&lt;&gt;"/",VLOOKUP(E123,COSTS_Archer_Tower[#All],3),"/")</f>
        <v>/</v>
      </c>
      <c r="H123" s="529">
        <f t="shared" si="63"/>
        <v>0</v>
      </c>
      <c r="I123" s="534">
        <f t="shared" si="64"/>
        <v>0</v>
      </c>
      <c r="J123" s="1101"/>
      <c r="K123" s="1102"/>
      <c r="L123" s="1103"/>
      <c r="M123" s="88">
        <f>VLOOKUP($A$2,AVAILABLE_Buildings_Defensive[#All],MATCH(J122,AVAILABLE_Buildings_Defensive[#Headers],0))</f>
        <v>0</v>
      </c>
      <c r="N123" s="89">
        <f>VLOOKUP($A$2,AVAILABLE_Buildings_Defensive[#All],MATCH(J122,AVAILABLE_Buildings_Defensive[#Headers],0)+1)</f>
        <v>0</v>
      </c>
      <c r="O123" s="219"/>
      <c r="P123" s="96">
        <f>IF(SUM(K125:K128)&gt;M123,"Error",SUM(K125:K128))</f>
        <v>0</v>
      </c>
      <c r="Q123" s="97">
        <f>IF(P$123="Error","Error",M123-P123)</f>
        <v>0</v>
      </c>
      <c r="R123" s="206">
        <f>IF(P$123="Error","Error",SUM(M125:M128))</f>
        <v>0</v>
      </c>
    </row>
    <row r="124" spans="1:18" ht="15" customHeight="1" thickBot="1">
      <c r="A124" s="996">
        <v>5</v>
      </c>
      <c r="B124" s="997" t="str">
        <f>IF(Paramètres!P10=0,"",Paramètres!P10)</f>
        <v/>
      </c>
      <c r="C124" s="810">
        <f t="shared" si="61"/>
        <v>0</v>
      </c>
      <c r="D124" s="586" t="str">
        <f t="shared" si="62"/>
        <v>/</v>
      </c>
      <c r="E124" s="108" t="str">
        <f>IF(G$118="Error","Error",IF(AND($E$118&lt;&gt;"/",$E$118&gt;'Paramètres - Admin'!$A6),'Paramètres - Admin'!$A7,"/"))</f>
        <v>/</v>
      </c>
      <c r="F124" s="529" t="str">
        <f>IF(E124&lt;&gt;"/",VLOOKUP(E124,COSTS_Archer_Tower[#All],2),"/")</f>
        <v>/</v>
      </c>
      <c r="G124" s="94" t="str">
        <f>IF(E124&lt;&gt;"/",VLOOKUP(E124,COSTS_Archer_Tower[#All],3),"/")</f>
        <v>/</v>
      </c>
      <c r="H124" s="529">
        <f t="shared" si="63"/>
        <v>0</v>
      </c>
      <c r="I124" s="534">
        <f t="shared" si="64"/>
        <v>0</v>
      </c>
      <c r="J124" s="532" t="s">
        <v>30</v>
      </c>
      <c r="K124" s="355" t="s">
        <v>29</v>
      </c>
      <c r="L124" s="472"/>
      <c r="M124" s="220" t="s">
        <v>29</v>
      </c>
      <c r="N124" s="221" t="s">
        <v>30</v>
      </c>
      <c r="O124" s="544" t="s">
        <v>258</v>
      </c>
      <c r="P124" s="544" t="s">
        <v>259</v>
      </c>
      <c r="Q124" s="544" t="s">
        <v>232</v>
      </c>
      <c r="R124" s="545" t="s">
        <v>233</v>
      </c>
    </row>
    <row r="125" spans="1:18" ht="15" customHeight="1">
      <c r="A125" s="996">
        <v>6</v>
      </c>
      <c r="B125" s="997" t="str">
        <f>IF(Paramètres!P11=0,"",Paramètres!P11)</f>
        <v/>
      </c>
      <c r="C125" s="810">
        <f t="shared" si="61"/>
        <v>0</v>
      </c>
      <c r="D125" s="586" t="str">
        <f t="shared" si="62"/>
        <v>/</v>
      </c>
      <c r="E125" s="108" t="str">
        <f>IF(G$118="Error","Error",IF(AND($E$118&lt;&gt;"/",$E$118&gt;'Paramètres - Admin'!$A7),'Paramètres - Admin'!$A8,"/"))</f>
        <v>/</v>
      </c>
      <c r="F125" s="529" t="str">
        <f>IF(E125&lt;&gt;"/",VLOOKUP(E125,COSTS_Archer_Tower[#All],2),"/")</f>
        <v>/</v>
      </c>
      <c r="G125" s="94" t="str">
        <f>IF(E125&lt;&gt;"/",VLOOKUP(E125,COSTS_Archer_Tower[#All],3),"/")</f>
        <v>/</v>
      </c>
      <c r="H125" s="529">
        <f t="shared" si="63"/>
        <v>0</v>
      </c>
      <c r="I125" s="534">
        <f t="shared" si="64"/>
        <v>0</v>
      </c>
      <c r="J125" s="524">
        <v>1</v>
      </c>
      <c r="K125" s="995" t="str">
        <f>IF(Paramètres!V6=0,"",Paramètres!V6)</f>
        <v/>
      </c>
      <c r="L125" s="598">
        <f>IF(L124&lt;&gt;0,L124+IF(AND(K124&lt;&gt;"",J124&lt;N$123),K124,0),IF(AND(K124&lt;&gt;"",J124&lt;N$123),K124,0))</f>
        <v>0</v>
      </c>
      <c r="M125" s="585" t="str">
        <f>IF(N125&lt;&gt;"/",IF(P$123="Error","Error",$Q$123+L125),"/")</f>
        <v>/</v>
      </c>
      <c r="N125" s="469" t="str">
        <f>IF(P$123="Error","Error",IF(AND($N$123&lt;&gt;"/",$N$123&gt;'Paramètres - Admin'!$A2),'Paramètres - Admin'!$A3,"/"))</f>
        <v>/</v>
      </c>
      <c r="O125" s="86" t="str">
        <f>IF(N125&lt;&gt;"/",VLOOKUP(N125,COSTS_XBow[#All],2),"/")</f>
        <v>/</v>
      </c>
      <c r="P125" s="470" t="str">
        <f>IF(N125&lt;&gt;"/",VLOOKUP(N125,COSTS_XBow[#All],3),"/")</f>
        <v>/</v>
      </c>
      <c r="Q125" s="86">
        <f>IF(P$123="Error","Error",IF(O125&lt;&gt;"/",M125*O125,0))</f>
        <v>0</v>
      </c>
      <c r="R125" s="471">
        <f>IF(P$123="Error","Error",IF(P125&lt;&gt;"/",M125*P125,0))</f>
        <v>0</v>
      </c>
    </row>
    <row r="126" spans="1:18" ht="15" customHeight="1">
      <c r="A126" s="996">
        <v>7</v>
      </c>
      <c r="B126" s="997" t="str">
        <f>IF(Paramètres!P12=0,"",Paramètres!P12)</f>
        <v/>
      </c>
      <c r="C126" s="810">
        <f t="shared" si="61"/>
        <v>0</v>
      </c>
      <c r="D126" s="586" t="str">
        <f t="shared" si="62"/>
        <v>/</v>
      </c>
      <c r="E126" s="108" t="str">
        <f>IF(G$118="Error","Error",IF(AND($E$118&lt;&gt;"/",$E$118&gt;'Paramètres - Admin'!$A8),'Paramètres - Admin'!$A9,"/"))</f>
        <v>/</v>
      </c>
      <c r="F126" s="529" t="str">
        <f>IF(E126&lt;&gt;"/",VLOOKUP(E126,COSTS_Archer_Tower[#All],2),"/")</f>
        <v>/</v>
      </c>
      <c r="G126" s="94" t="str">
        <f>IF(E126&lt;&gt;"/",VLOOKUP(E126,COSTS_Archer_Tower[#All],3),"/")</f>
        <v>/</v>
      </c>
      <c r="H126" s="529">
        <f t="shared" si="63"/>
        <v>0</v>
      </c>
      <c r="I126" s="534">
        <f t="shared" si="64"/>
        <v>0</v>
      </c>
      <c r="J126" s="996">
        <v>2</v>
      </c>
      <c r="K126" s="997" t="str">
        <f>IF(Paramètres!V7=0,"",Paramètres!V7)</f>
        <v/>
      </c>
      <c r="L126" s="810">
        <f>IF(L125&lt;&gt;0,L125+IF(AND(K125&lt;&gt;"",J125&lt;N$123),K125,0),IF(AND(K125&lt;&gt;"",J125&lt;N$123),K125,0))</f>
        <v>0</v>
      </c>
      <c r="M126" s="586" t="str">
        <f>IF(N126&lt;&gt;"/",IF(P$123="Error","Error",$Q$123+L126),"/")</f>
        <v>/</v>
      </c>
      <c r="N126" s="108" t="str">
        <f>IF(P$123="Error","Error",IF(AND($N$123&lt;&gt;"/",$N$123&gt;'Paramètres - Admin'!$A3),'Paramètres - Admin'!$A4,"/"))</f>
        <v>/</v>
      </c>
      <c r="O126" s="529" t="str">
        <f>IF(N126&lt;&gt;"/",VLOOKUP(N126,COSTS_XBow[#All],2),"/")</f>
        <v>/</v>
      </c>
      <c r="P126" s="94" t="str">
        <f>IF(N126&lt;&gt;"/",VLOOKUP(N126,COSTS_XBow[#All],3),"/")</f>
        <v>/</v>
      </c>
      <c r="Q126" s="529">
        <f>IF(P$123="Error","Error",IF(O126&lt;&gt;"/",M126*O126,0))</f>
        <v>0</v>
      </c>
      <c r="R126" s="534">
        <f>IF(P$123="Error","Error",IF(P126&lt;&gt;"/",M126*P126,0))</f>
        <v>0</v>
      </c>
    </row>
    <row r="127" spans="1:18" ht="15" customHeight="1">
      <c r="A127" s="996">
        <v>8</v>
      </c>
      <c r="B127" s="997" t="str">
        <f>IF(Paramètres!P13=0,"",Paramètres!P13)</f>
        <v/>
      </c>
      <c r="C127" s="810">
        <f t="shared" si="61"/>
        <v>0</v>
      </c>
      <c r="D127" s="586" t="str">
        <f t="shared" si="62"/>
        <v>/</v>
      </c>
      <c r="E127" s="108" t="str">
        <f>IF(G$118="Error","Error",IF(AND($E$118&lt;&gt;"/",$E$118&gt;'Paramètres - Admin'!$A9),'Paramètres - Admin'!$A10,"/"))</f>
        <v>/</v>
      </c>
      <c r="F127" s="529" t="str">
        <f>IF(E127&lt;&gt;"/",VLOOKUP(E127,COSTS_Archer_Tower[#All],2),"/")</f>
        <v>/</v>
      </c>
      <c r="G127" s="94" t="str">
        <f>IF(E127&lt;&gt;"/",VLOOKUP(E127,COSTS_Archer_Tower[#All],3),"/")</f>
        <v>/</v>
      </c>
      <c r="H127" s="529">
        <f t="shared" si="63"/>
        <v>0</v>
      </c>
      <c r="I127" s="534">
        <f t="shared" si="64"/>
        <v>0</v>
      </c>
      <c r="J127" s="996">
        <v>3</v>
      </c>
      <c r="K127" s="997" t="str">
        <f>IF(Paramètres!V8=0,"",Paramètres!V8)</f>
        <v/>
      </c>
      <c r="L127" s="810">
        <f>IF(L126&lt;&gt;0,L126+IF(AND(K126&lt;&gt;"",J126&lt;N$123),K126,0),IF(AND(K126&lt;&gt;"",J126&lt;N$123),K126,0))</f>
        <v>0</v>
      </c>
      <c r="M127" s="586" t="str">
        <f>IF(N127&lt;&gt;"/",IF(P$123="Error","Error",$Q$123+L127),"/")</f>
        <v>/</v>
      </c>
      <c r="N127" s="108" t="str">
        <f>IF(P$123="Error","Error",IF(AND($N$123&lt;&gt;"/",$N$123&gt;'Paramètres - Admin'!$A4),'Paramètres - Admin'!$A5,"/"))</f>
        <v>/</v>
      </c>
      <c r="O127" s="529" t="str">
        <f>IF(N127&lt;&gt;"/",VLOOKUP(N127,COSTS_XBow[#All],2),"/")</f>
        <v>/</v>
      </c>
      <c r="P127" s="94" t="str">
        <f>IF(N127&lt;&gt;"/",VLOOKUP(N127,COSTS_XBow[#All],3),"/")</f>
        <v>/</v>
      </c>
      <c r="Q127" s="529">
        <f>IF(P$123="Error","Error",IF(O127&lt;&gt;"/",M127*O127,0))</f>
        <v>0</v>
      </c>
      <c r="R127" s="534">
        <f>IF(P$123="Error","Error",IF(P127&lt;&gt;"/",M127*P127,0))</f>
        <v>0</v>
      </c>
    </row>
    <row r="128" spans="1:18" ht="15" customHeight="1" thickBot="1">
      <c r="A128" s="996">
        <v>9</v>
      </c>
      <c r="B128" s="997" t="str">
        <f>IF(Paramètres!P14=0,"",Paramètres!P14)</f>
        <v/>
      </c>
      <c r="C128" s="810">
        <f t="shared" si="61"/>
        <v>0</v>
      </c>
      <c r="D128" s="586" t="str">
        <f t="shared" si="62"/>
        <v>/</v>
      </c>
      <c r="E128" s="108" t="str">
        <f>IF(G$118="Error","Error",IF(AND($E$118&lt;&gt;"/",$E$118&gt;'Paramètres - Admin'!$A10),'Paramètres - Admin'!$A11,"/"))</f>
        <v>/</v>
      </c>
      <c r="F128" s="529" t="str">
        <f>IF(E128&lt;&gt;"/",VLOOKUP(E128,COSTS_Archer_Tower[#All],2),"/")</f>
        <v>/</v>
      </c>
      <c r="G128" s="94" t="str">
        <f>IF(E128&lt;&gt;"/",VLOOKUP(E128,COSTS_Archer_Tower[#All],3),"/")</f>
        <v>/</v>
      </c>
      <c r="H128" s="529">
        <f t="shared" si="63"/>
        <v>0</v>
      </c>
      <c r="I128" s="534">
        <f t="shared" si="64"/>
        <v>0</v>
      </c>
      <c r="J128" s="998">
        <v>4</v>
      </c>
      <c r="K128" s="999" t="str">
        <f>IF(Paramètres!V9=0,"",Paramètres!V9)</f>
        <v/>
      </c>
      <c r="L128" s="811">
        <f>IF(L127&lt;&gt;0,L127+IF(AND(K127&lt;&gt;"",J127&lt;N$123),K127,0),IF(AND(K127&lt;&gt;"",J127&lt;N$123),K127,0))</f>
        <v>0</v>
      </c>
      <c r="M128" s="587" t="str">
        <f>IF(N128&lt;&gt;"/",IF(P$123="Error","Error",$Q$123+L128),"/")</f>
        <v>/</v>
      </c>
      <c r="N128" s="116" t="str">
        <f>IF(P$123="Error","Error",IF(AND($N$123&lt;&gt;"/",$N$123&gt;'Paramètres - Admin'!$A5),'Paramètres - Admin'!$A6,"/"))</f>
        <v>/</v>
      </c>
      <c r="O128" s="118" t="str">
        <f>IF(N128&lt;&gt;"/",VLOOKUP(N128,COSTS_XBow[#All],2),"/")</f>
        <v>/</v>
      </c>
      <c r="P128" s="114" t="str">
        <f>IF(N128&lt;&gt;"/",VLOOKUP(N128,COSTS_XBow[#All],3),"/")</f>
        <v>/</v>
      </c>
      <c r="Q128" s="118">
        <f>IF(P$123="Error","Error",IF(O128&lt;&gt;"/",M128*O128,0))</f>
        <v>0</v>
      </c>
      <c r="R128" s="117">
        <f>IF(P$123="Error","Error",IF(P128&lt;&gt;"/",M128*P128,0))</f>
        <v>0</v>
      </c>
    </row>
    <row r="129" spans="1:18" ht="15" customHeight="1" thickBot="1">
      <c r="A129" s="996">
        <v>10</v>
      </c>
      <c r="B129" s="997" t="str">
        <f>IF(Paramètres!P15=0,"",Paramètres!P15)</f>
        <v/>
      </c>
      <c r="C129" s="810">
        <f t="shared" si="61"/>
        <v>0</v>
      </c>
      <c r="D129" s="586" t="str">
        <f t="shared" si="62"/>
        <v>/</v>
      </c>
      <c r="E129" s="108" t="str">
        <f>IF(G$118="Error","Error",IF(AND($E$118&lt;&gt;"/",$E$118&gt;'Paramètres - Admin'!$A11),'Paramètres - Admin'!$A12,"/"))</f>
        <v>/</v>
      </c>
      <c r="F129" s="529" t="str">
        <f>IF(E129&lt;&gt;"/",VLOOKUP(E129,COSTS_Archer_Tower[#All],2),"/")</f>
        <v>/</v>
      </c>
      <c r="G129" s="94" t="str">
        <f>IF(E129&lt;&gt;"/",VLOOKUP(E129,COSTS_Archer_Tower[#All],3),"/")</f>
        <v>/</v>
      </c>
      <c r="H129" s="529">
        <f t="shared" si="63"/>
        <v>0</v>
      </c>
      <c r="I129" s="534">
        <f t="shared" si="64"/>
        <v>0</v>
      </c>
      <c r="J129" s="967"/>
      <c r="K129" s="968"/>
      <c r="L129" s="968"/>
      <c r="M129" s="968"/>
      <c r="N129" s="968"/>
      <c r="O129" s="969"/>
      <c r="P129" s="523" t="s">
        <v>31</v>
      </c>
      <c r="Q129" s="227">
        <f>IF(P$123="Error","Error",SUM(Q125:Q128))</f>
        <v>0</v>
      </c>
      <c r="R129" s="546">
        <f>IF(P$123="Error","Error",SUM(R125:R128))</f>
        <v>0</v>
      </c>
    </row>
    <row r="130" spans="1:18" ht="15" customHeight="1">
      <c r="A130" s="996">
        <v>11</v>
      </c>
      <c r="B130" s="997" t="str">
        <f>IF(Paramètres!P16=0,"",Paramètres!P16)</f>
        <v/>
      </c>
      <c r="C130" s="810">
        <f t="shared" si="61"/>
        <v>0</v>
      </c>
      <c r="D130" s="586" t="str">
        <f t="shared" si="62"/>
        <v>/</v>
      </c>
      <c r="E130" s="108" t="str">
        <f>IF(G$118="Error","Error",IF(AND($E$118&lt;&gt;"/",$E$118&gt;'Paramètres - Admin'!$A12),'Paramètres - Admin'!$A13,"/"))</f>
        <v>/</v>
      </c>
      <c r="F130" s="529" t="str">
        <f>IF(E130&lt;&gt;"/",VLOOKUP(E130,COSTS_Archer_Tower[#All],2),"/")</f>
        <v>/</v>
      </c>
      <c r="G130" s="94" t="str">
        <f>IF(E130&lt;&gt;"/",VLOOKUP(E130,COSTS_Archer_Tower[#All],3),"/")</f>
        <v>/</v>
      </c>
      <c r="H130" s="529">
        <f t="shared" si="63"/>
        <v>0</v>
      </c>
      <c r="I130" s="534">
        <f t="shared" si="64"/>
        <v>0</v>
      </c>
      <c r="J130" s="1098" t="s">
        <v>199</v>
      </c>
      <c r="K130" s="1099"/>
      <c r="L130" s="1100"/>
      <c r="M130" s="589" t="s">
        <v>38</v>
      </c>
      <c r="N130" s="590" t="s">
        <v>39</v>
      </c>
      <c r="O130" s="591"/>
      <c r="P130" s="589" t="s">
        <v>256</v>
      </c>
      <c r="Q130" s="592" t="s">
        <v>361</v>
      </c>
      <c r="R130" s="590" t="s">
        <v>257</v>
      </c>
    </row>
    <row r="131" spans="1:18" ht="15" customHeight="1" thickBot="1">
      <c r="A131" s="996">
        <v>12</v>
      </c>
      <c r="B131" s="997" t="str">
        <f>IF(Paramètres!P17=0,"",Paramètres!P17)</f>
        <v/>
      </c>
      <c r="C131" s="810">
        <f t="shared" si="61"/>
        <v>0</v>
      </c>
      <c r="D131" s="586" t="str">
        <f t="shared" si="62"/>
        <v>/</v>
      </c>
      <c r="E131" s="108" t="str">
        <f>IF(G$118="Error","Error",IF(AND($E$118&lt;&gt;"/",$E$118&gt;'Paramètres - Admin'!$A13),'Paramètres - Admin'!$A14,"/"))</f>
        <v>/</v>
      </c>
      <c r="F131" s="529" t="str">
        <f>IF(E131&lt;&gt;"/",VLOOKUP(E131,COSTS_Archer_Tower[#All],2),"/")</f>
        <v>/</v>
      </c>
      <c r="G131" s="94" t="str">
        <f>IF(E131&lt;&gt;"/",VLOOKUP(E131,COSTS_Archer_Tower[#All],3),"/")</f>
        <v>/</v>
      </c>
      <c r="H131" s="529">
        <f t="shared" si="63"/>
        <v>0</v>
      </c>
      <c r="I131" s="534">
        <f t="shared" si="64"/>
        <v>0</v>
      </c>
      <c r="J131" s="1101"/>
      <c r="K131" s="1102"/>
      <c r="L131" s="1103"/>
      <c r="M131" s="88">
        <f>VLOOKUP($A$2,AVAILABLE_Buildings_Defensive[#All],MATCH(J130,AVAILABLE_Buildings_Defensive[#Headers],0))</f>
        <v>0</v>
      </c>
      <c r="N131" s="89">
        <f>VLOOKUP($A$2,AVAILABLE_Buildings_Defensive[#All],MATCH(J130,AVAILABLE_Buildings_Defensive[#Headers],0)+1)</f>
        <v>0</v>
      </c>
      <c r="O131" s="219"/>
      <c r="P131" s="96">
        <f>IF(SUM(K133:K135)&gt;M131,"Error",SUM(K133:K135))</f>
        <v>0</v>
      </c>
      <c r="Q131" s="97">
        <f>IF(P$131="Error","Error",M131-P131)</f>
        <v>0</v>
      </c>
      <c r="R131" s="206">
        <f>IF(P$131="Error","Error",SUM(M133:M135))</f>
        <v>0</v>
      </c>
    </row>
    <row r="132" spans="1:18" ht="15" customHeight="1" thickBot="1">
      <c r="A132" s="998">
        <v>13</v>
      </c>
      <c r="B132" s="999" t="str">
        <f>IF(Paramètres!P18=0,"",Paramètres!P18)</f>
        <v/>
      </c>
      <c r="C132" s="811">
        <f t="shared" si="61"/>
        <v>0</v>
      </c>
      <c r="D132" s="587" t="str">
        <f t="shared" si="62"/>
        <v>/</v>
      </c>
      <c r="E132" s="116" t="str">
        <f>IF(G$118="Error","Error",IF(AND($E$118&lt;&gt;"/",$E$118&gt;'Paramètres - Admin'!$A14),'Paramètres - Admin'!$A15,"/"))</f>
        <v>/</v>
      </c>
      <c r="F132" s="118" t="str">
        <f>IF(E132&lt;&gt;"/",VLOOKUP(E132,COSTS_Archer_Tower[#All],2),"/")</f>
        <v>/</v>
      </c>
      <c r="G132" s="114" t="str">
        <f>IF(E132&lt;&gt;"/",VLOOKUP(E132,COSTS_Archer_Tower[#All],3),"/")</f>
        <v>/</v>
      </c>
      <c r="H132" s="118">
        <f t="shared" si="63"/>
        <v>0</v>
      </c>
      <c r="I132" s="117">
        <f t="shared" si="64"/>
        <v>0</v>
      </c>
      <c r="J132" s="532" t="s">
        <v>30</v>
      </c>
      <c r="K132" s="355" t="s">
        <v>29</v>
      </c>
      <c r="L132" s="472"/>
      <c r="M132" s="220" t="s">
        <v>29</v>
      </c>
      <c r="N132" s="221" t="s">
        <v>30</v>
      </c>
      <c r="O132" s="544" t="s">
        <v>258</v>
      </c>
      <c r="P132" s="544" t="s">
        <v>259</v>
      </c>
      <c r="Q132" s="544" t="s">
        <v>232</v>
      </c>
      <c r="R132" s="545" t="s">
        <v>233</v>
      </c>
    </row>
    <row r="133" spans="1:18" ht="15" customHeight="1" thickBot="1">
      <c r="A133" s="964"/>
      <c r="B133" s="965"/>
      <c r="C133" s="965"/>
      <c r="D133" s="965"/>
      <c r="E133" s="965"/>
      <c r="F133" s="966"/>
      <c r="G133" s="278" t="s">
        <v>31</v>
      </c>
      <c r="H133" s="104">
        <f>IF(G$118="Error","Error",SUM(H120:H132))</f>
        <v>3000</v>
      </c>
      <c r="I133" s="597">
        <f>IF(G$118="Error","Error",SUM(I120:I132))</f>
        <v>0.75</v>
      </c>
      <c r="J133" s="536">
        <v>1</v>
      </c>
      <c r="K133" s="107" t="str">
        <f>IF(Paramètres!X6=0,"",Paramètres!X6)</f>
        <v/>
      </c>
      <c r="L133" s="588">
        <f>IF(L132&lt;&gt;0,L132+IF(AND(K132&lt;&gt;"",J132&lt;N$131),K132,0),IF(AND(K132&lt;&gt;"",J132&lt;N$131),K132,0))</f>
        <v>0</v>
      </c>
      <c r="M133" s="585" t="str">
        <f>IF(N133&lt;&gt;"/",IF(P$131="Error","Error",$Q$131+L133),"/")</f>
        <v>/</v>
      </c>
      <c r="N133" s="469" t="str">
        <f>IF(P$131="Error","Error",IF(AND($N$131&lt;&gt;"/",$N$131&gt;'Paramètres - Admin'!$A2),'Paramètres - Admin'!$A3,"/"))</f>
        <v>/</v>
      </c>
      <c r="O133" s="86" t="str">
        <f>IF(N133&lt;&gt;"/",VLOOKUP(N133,COSTS_Inferno_Tower[#All],2),"/")</f>
        <v>/</v>
      </c>
      <c r="P133" s="470" t="str">
        <f>IF(N133&lt;&gt;"/",VLOOKUP(N133,COSTS_Inferno_Tower[#All],3),"/")</f>
        <v>/</v>
      </c>
      <c r="Q133" s="86">
        <f>IF(P$131="Error","Error",IF(O133&lt;&gt;"/",M133*O133,0))</f>
        <v>0</v>
      </c>
      <c r="R133" s="471">
        <f>IF(P$131="Error","Error",IF(P133&lt;&gt;"/",M133*P133,0))</f>
        <v>0</v>
      </c>
    </row>
    <row r="134" spans="1:18" ht="15" customHeight="1" thickBot="1">
      <c r="A134" s="1104" t="s">
        <v>203</v>
      </c>
      <c r="B134" s="1109"/>
      <c r="C134" s="1110"/>
      <c r="D134" s="80" t="s">
        <v>38</v>
      </c>
      <c r="E134" s="81" t="s">
        <v>39</v>
      </c>
      <c r="F134" s="218"/>
      <c r="G134" s="524" t="s">
        <v>256</v>
      </c>
      <c r="H134" s="526" t="s">
        <v>361</v>
      </c>
      <c r="I134" s="525" t="s">
        <v>257</v>
      </c>
      <c r="J134" s="536">
        <v>2</v>
      </c>
      <c r="K134" s="110" t="str">
        <f>IF(Paramètres!X7=0,"",Paramètres!X7)</f>
        <v/>
      </c>
      <c r="L134" s="588">
        <f>IF(L133&lt;&gt;0,L133+IF(AND(K133&lt;&gt;"",J133&lt;N$131),K133,0),IF(AND(K133&lt;&gt;"",J133&lt;N$131),K133,0))</f>
        <v>0</v>
      </c>
      <c r="M134" s="586" t="str">
        <f>IF(N134&lt;&gt;"/",IF(P$131="Error","Error",$Q$131+L134),"/")</f>
        <v>/</v>
      </c>
      <c r="N134" s="108" t="str">
        <f>IF(P$131="Error","Error",IF(AND($N$131&lt;&gt;"/",$N$131&gt;'Paramètres - Admin'!$A3),'Paramètres - Admin'!$A4,"/"))</f>
        <v>/</v>
      </c>
      <c r="O134" s="529" t="str">
        <f>IF(N134&lt;&gt;"/",VLOOKUP(N134,COSTS_Inferno_Tower[#All],2),"/")</f>
        <v>/</v>
      </c>
      <c r="P134" s="94" t="str">
        <f>IF(N134&lt;&gt;"/",VLOOKUP(N134,COSTS_Inferno_Tower[#All],3),"/")</f>
        <v>/</v>
      </c>
      <c r="Q134" s="529">
        <f>IF(P$131="Error","Error",IF(O134&lt;&gt;"/",M134*O134,0))</f>
        <v>0</v>
      </c>
      <c r="R134" s="534">
        <f>IF(P$131="Error","Error",IF(P134&lt;&gt;"/",M134*P134,0))</f>
        <v>0</v>
      </c>
    </row>
    <row r="135" spans="1:18" ht="15" customHeight="1" thickBot="1">
      <c r="A135" s="1101"/>
      <c r="B135" s="1102"/>
      <c r="C135" s="1103"/>
      <c r="D135" s="88">
        <f>VLOOKUP($A$2,AVAILABLE_Buildings_Defensive[#All],MATCH(A134,AVAILABLE_Buildings_Defensive[#Headers],0))</f>
        <v>0</v>
      </c>
      <c r="E135" s="89">
        <f>VLOOKUP($A$2,AVAILABLE_Buildings_Defensive[#All],MATCH(A134,AVAILABLE_Buildings_Defensive[#Headers],0)+1)</f>
        <v>0</v>
      </c>
      <c r="F135" s="219"/>
      <c r="G135" s="96">
        <f>IF(SUM(B137:B144)&gt;D135,"Error",SUM(B137:B144))</f>
        <v>0</v>
      </c>
      <c r="H135" s="97">
        <f>IF(G$135="Error","Error",D135-G135)</f>
        <v>0</v>
      </c>
      <c r="I135" s="206">
        <f>IF(G$135="Error","Error",SUM(D137:D144))</f>
        <v>0</v>
      </c>
      <c r="J135" s="129">
        <v>3</v>
      </c>
      <c r="K135" s="115" t="str">
        <f>IF(Paramètres!X8=0,"",Paramètres!X8)</f>
        <v/>
      </c>
      <c r="L135" s="588">
        <f>IF(L134&lt;&gt;0,L134+IF(AND(K134&lt;&gt;"",J134&lt;N$131),K134,0),IF(AND(K134&lt;&gt;"",J134&lt;N$131),K134,0))</f>
        <v>0</v>
      </c>
      <c r="M135" s="587" t="str">
        <f>IF(N135&lt;&gt;"/",IF(P$131="Error","Error",$Q$131+L135),"/")</f>
        <v>/</v>
      </c>
      <c r="N135" s="116" t="str">
        <f>IF(P$131="Error","Error",IF(AND($N$131&lt;&gt;"/",$N$131&gt;'Paramètres - Admin'!$A4),'Paramètres - Admin'!$A5,"/"))</f>
        <v>/</v>
      </c>
      <c r="O135" s="118" t="str">
        <f>IF(N135&lt;&gt;"/",VLOOKUP(N135,COSTS_Inferno_Tower[#All],2),"/")</f>
        <v>/</v>
      </c>
      <c r="P135" s="595" t="str">
        <f>IF(N135&lt;&gt;"/",VLOOKUP(N135,COSTS_Inferno_Tower[#All],3),"/")</f>
        <v>/</v>
      </c>
      <c r="Q135" s="98">
        <f>IF(P$131="Error","Error",IF(O135&lt;&gt;"/",M135*O135,0))</f>
        <v>0</v>
      </c>
      <c r="R135" s="596">
        <f>IF(P$131="Error","Error",IF(P135&lt;&gt;"/",M135*P135,0))</f>
        <v>0</v>
      </c>
    </row>
    <row r="136" spans="1:18" ht="15" customHeight="1" thickBot="1">
      <c r="A136" s="532" t="s">
        <v>30</v>
      </c>
      <c r="B136" s="355" t="s">
        <v>29</v>
      </c>
      <c r="C136" s="472"/>
      <c r="D136" s="220" t="s">
        <v>29</v>
      </c>
      <c r="E136" s="221" t="s">
        <v>30</v>
      </c>
      <c r="F136" s="544" t="s">
        <v>258</v>
      </c>
      <c r="G136" s="544" t="s">
        <v>259</v>
      </c>
      <c r="H136" s="544" t="s">
        <v>232</v>
      </c>
      <c r="I136" s="545" t="s">
        <v>233</v>
      </c>
      <c r="J136" s="967"/>
      <c r="K136" s="968"/>
      <c r="L136" s="968"/>
      <c r="M136" s="968"/>
      <c r="N136" s="968"/>
      <c r="O136" s="969"/>
      <c r="P136" s="278" t="s">
        <v>31</v>
      </c>
      <c r="Q136" s="104">
        <f>IF(P$131="Error","Error",SUM(Q133:Q135))</f>
        <v>0</v>
      </c>
      <c r="R136" s="597">
        <f>IF(P$131="Error","Error",SUM(R133:R135))</f>
        <v>0</v>
      </c>
    </row>
    <row r="137" spans="1:18" ht="15" customHeight="1">
      <c r="A137" s="524">
        <v>1</v>
      </c>
      <c r="B137" s="995" t="str">
        <f>IF(Paramètres!Q6=0,"",Paramètres!Q6)</f>
        <v/>
      </c>
      <c r="C137" s="598">
        <f>IF(C136&lt;&gt;0,C136+IF(AND(B136&lt;&gt;"",A136&lt;E$135),B136,0),IF(AND(B136&lt;&gt;"",A136&lt;E$135),B136,0))</f>
        <v>0</v>
      </c>
      <c r="D137" s="585" t="str">
        <f t="shared" ref="D137:D144" si="65">IF(E137&lt;&gt;"/",IF(G$135="Error","Error",$H$135+C137),"/")</f>
        <v>/</v>
      </c>
      <c r="E137" s="469" t="str">
        <f>IF(G$135="Error","Error",IF(AND($E$135&lt;&gt;"/",$E$135&gt;'Paramètres - Admin'!$A2),'Paramètres - Admin'!$A3,"/"))</f>
        <v>/</v>
      </c>
      <c r="F137" s="86" t="str">
        <f>IF(E137&lt;&gt;"/",VLOOKUP(E137,COSTS_Mortar[#All],2),"/")</f>
        <v>/</v>
      </c>
      <c r="G137" s="470" t="str">
        <f>IF(E137&lt;&gt;"/",VLOOKUP(E137,COSTS_Mortar[#All],3),"/")</f>
        <v>/</v>
      </c>
      <c r="H137" s="86">
        <f t="shared" ref="H137:H144" si="66">IF(G$135="Error","Error",IF(F137&lt;&gt;"/",D137*F137,0))</f>
        <v>0</v>
      </c>
      <c r="I137" s="471">
        <f t="shared" ref="I137:I144" si="67">IF(G$135="Error","Error",IF(G137&lt;&gt;"/",D137*G137,0))</f>
        <v>0</v>
      </c>
      <c r="J137" s="1104" t="s">
        <v>643</v>
      </c>
      <c r="K137" s="1109"/>
      <c r="L137" s="1110"/>
      <c r="M137" s="524" t="s">
        <v>38</v>
      </c>
      <c r="N137" s="525" t="s">
        <v>39</v>
      </c>
      <c r="O137" s="539"/>
      <c r="P137" s="524" t="s">
        <v>256</v>
      </c>
      <c r="Q137" s="526" t="s">
        <v>361</v>
      </c>
      <c r="R137" s="525" t="s">
        <v>257</v>
      </c>
    </row>
    <row r="138" spans="1:18" ht="15" customHeight="1" thickBot="1">
      <c r="A138" s="996">
        <v>2</v>
      </c>
      <c r="B138" s="997" t="str">
        <f>IF(Paramètres!Q7=0,"",Paramètres!Q7)</f>
        <v/>
      </c>
      <c r="C138" s="810">
        <f t="shared" ref="C138:C144" si="68">IF(C137&lt;&gt;0,C137+IF(AND(B137&lt;&gt;"",A137&lt;E$135),B137,0),IF(AND(B137&lt;&gt;"",A137&lt;E$135),B137,0))</f>
        <v>0</v>
      </c>
      <c r="D138" s="586" t="str">
        <f t="shared" si="65"/>
        <v>/</v>
      </c>
      <c r="E138" s="108" t="str">
        <f>IF(G$135="Error","Error",IF(AND($E$135&lt;&gt;"/",$E$135&gt;'Paramètres - Admin'!$A3),'Paramètres - Admin'!$A4,"/"))</f>
        <v>/</v>
      </c>
      <c r="F138" s="529" t="str">
        <f>IF(E138&lt;&gt;"/",VLOOKUP(E138,COSTS_Mortar[#All],2),"/")</f>
        <v>/</v>
      </c>
      <c r="G138" s="94" t="str">
        <f>IF(E138&lt;&gt;"/",VLOOKUP(E138,COSTS_Mortar[#All],3),"/")</f>
        <v>/</v>
      </c>
      <c r="H138" s="529">
        <f t="shared" si="66"/>
        <v>0</v>
      </c>
      <c r="I138" s="534">
        <f t="shared" si="67"/>
        <v>0</v>
      </c>
      <c r="J138" s="1101"/>
      <c r="K138" s="1102"/>
      <c r="L138" s="1103"/>
      <c r="M138" s="527">
        <f>VLOOKUP($A$2,AVAILABLE_Buildings_Defensive[#All],MATCH(J137,AVAILABLE_Buildings_Defensive[#Headers],0))</f>
        <v>0</v>
      </c>
      <c r="N138" s="528">
        <f>VLOOKUP($A$2,AVAILABLE_Buildings_Defensive[#All],MATCH(J137,AVAILABLE_Buildings_Defensive[#Headers],0)+1)</f>
        <v>0</v>
      </c>
      <c r="O138" s="540"/>
      <c r="P138" s="530">
        <f>IF(SUM(K140:K145)&gt;M138,"Error",SUM(K140:K145))</f>
        <v>0</v>
      </c>
      <c r="Q138" s="531">
        <f>IF(P$138="Error","Error",M138-P138)</f>
        <v>0</v>
      </c>
      <c r="R138" s="538" t="e">
        <f>IF(P$138="Error","Error",SUM(#REF!))</f>
        <v>#REF!</v>
      </c>
    </row>
    <row r="139" spans="1:18" ht="15" customHeight="1" thickBot="1">
      <c r="A139" s="996">
        <v>3</v>
      </c>
      <c r="B139" s="997" t="str">
        <f>IF(Paramètres!Q8=0,"",Paramètres!Q8)</f>
        <v/>
      </c>
      <c r="C139" s="810">
        <f t="shared" si="68"/>
        <v>0</v>
      </c>
      <c r="D139" s="586" t="str">
        <f t="shared" si="65"/>
        <v>/</v>
      </c>
      <c r="E139" s="108" t="str">
        <f>IF(G$135="Error","Error",IF(AND($E$135&lt;&gt;"/",$E$135&gt;'Paramètres - Admin'!$A4),'Paramètres - Admin'!$A5,"/"))</f>
        <v>/</v>
      </c>
      <c r="F139" s="529" t="str">
        <f>IF(E139&lt;&gt;"/",VLOOKUP(E139,COSTS_Mortar[#All],2),"/")</f>
        <v>/</v>
      </c>
      <c r="G139" s="94" t="str">
        <f>IF(E139&lt;&gt;"/",VLOOKUP(E139,COSTS_Mortar[#All],3),"/")</f>
        <v>/</v>
      </c>
      <c r="H139" s="529">
        <f t="shared" si="66"/>
        <v>0</v>
      </c>
      <c r="I139" s="534">
        <f t="shared" si="67"/>
        <v>0</v>
      </c>
      <c r="J139" s="532" t="s">
        <v>30</v>
      </c>
      <c r="K139" s="355" t="s">
        <v>29</v>
      </c>
      <c r="L139" s="472"/>
      <c r="M139" s="542" t="s">
        <v>29</v>
      </c>
      <c r="N139" s="543" t="s">
        <v>30</v>
      </c>
      <c r="O139" s="544" t="s">
        <v>258</v>
      </c>
      <c r="P139" s="544" t="s">
        <v>259</v>
      </c>
      <c r="Q139" s="544" t="s">
        <v>232</v>
      </c>
      <c r="R139" s="545" t="s">
        <v>233</v>
      </c>
    </row>
    <row r="140" spans="1:18" ht="15" customHeight="1">
      <c r="A140" s="996">
        <v>4</v>
      </c>
      <c r="B140" s="997" t="str">
        <f>IF(Paramètres!Q9=0,"",Paramètres!Q9)</f>
        <v/>
      </c>
      <c r="C140" s="810">
        <f t="shared" si="68"/>
        <v>0</v>
      </c>
      <c r="D140" s="586" t="str">
        <f t="shared" si="65"/>
        <v>/</v>
      </c>
      <c r="E140" s="108" t="str">
        <f>IF(G$135="Error","Error",IF(AND($E$135&lt;&gt;"/",$E$135&gt;'Paramètres - Admin'!$A5),'Paramètres - Admin'!$A6,"/"))</f>
        <v>/</v>
      </c>
      <c r="F140" s="529" t="str">
        <f>IF(E140&lt;&gt;"/",VLOOKUP(E140,COSTS_Mortar[#All],2),"/")</f>
        <v>/</v>
      </c>
      <c r="G140" s="94" t="str">
        <f>IF(E140&lt;&gt;"/",VLOOKUP(E140,COSTS_Mortar[#All],3),"/")</f>
        <v>/</v>
      </c>
      <c r="H140" s="529">
        <f t="shared" si="66"/>
        <v>0</v>
      </c>
      <c r="I140" s="534">
        <f t="shared" si="67"/>
        <v>0</v>
      </c>
      <c r="J140" s="524">
        <v>1</v>
      </c>
      <c r="K140" s="995" t="str">
        <f>IF(Paramètres!T6=0,"",Paramètres!T6)</f>
        <v/>
      </c>
      <c r="L140" s="598">
        <f t="shared" ref="L140:L145" si="69">IF(L139&lt;&gt;0,L139+IF(AND(K139&lt;&gt;"",J139&lt;N$138),K139,0),IF(AND(K139&lt;&gt;"",J139&lt;N$138),K139,0))</f>
        <v>0</v>
      </c>
      <c r="M140" s="585" t="str">
        <f t="shared" ref="M140:M145" si="70">IF(N140&lt;&gt;"/",IF(P$138="Error","Error",$Q$138+L140),"/")</f>
        <v>/</v>
      </c>
      <c r="N140" s="469" t="str">
        <f>IF(P$138="Error","Error",IF(AND($N$138&lt;&gt;"/",$N$138&gt;'Paramètres - Admin'!$A2),'Paramètres - Admin'!$A3,"/"))</f>
        <v>/</v>
      </c>
      <c r="O140" s="86" t="str">
        <f>IF(N140&lt;&gt;"/",VLOOKUP(N140,COSTS_Air_Sweeper[#All],2),"/")</f>
        <v>/</v>
      </c>
      <c r="P140" s="470" t="str">
        <f>IF(N140&lt;&gt;"/",VLOOKUP(N140,COSTS_Air_Sweeper[#All],3),"/")</f>
        <v>/</v>
      </c>
      <c r="Q140" s="86">
        <f t="shared" ref="Q140:Q145" si="71">IF(P$138="Error","Error",IF(O140&lt;&gt;"/",M140*O140,0))</f>
        <v>0</v>
      </c>
      <c r="R140" s="471">
        <f t="shared" ref="R140:R145" si="72">IF(P$138="Error","Error",IF(P140&lt;&gt;"/",M140*P140,0))</f>
        <v>0</v>
      </c>
    </row>
    <row r="141" spans="1:18" ht="15" customHeight="1">
      <c r="A141" s="996">
        <v>5</v>
      </c>
      <c r="B141" s="997" t="str">
        <f>IF(Paramètres!Q10=0,"",Paramètres!Q10)</f>
        <v/>
      </c>
      <c r="C141" s="810">
        <f t="shared" si="68"/>
        <v>0</v>
      </c>
      <c r="D141" s="586" t="str">
        <f t="shared" si="65"/>
        <v>/</v>
      </c>
      <c r="E141" s="108" t="str">
        <f>IF(G$135="Error","Error",IF(AND($E$135&lt;&gt;"/",$E$135&gt;'Paramètres - Admin'!$A6),'Paramètres - Admin'!$A7,"/"))</f>
        <v>/</v>
      </c>
      <c r="F141" s="529" t="str">
        <f>IF(E141&lt;&gt;"/",VLOOKUP(E141,COSTS_Mortar[#All],2),"/")</f>
        <v>/</v>
      </c>
      <c r="G141" s="94" t="str">
        <f>IF(E141&lt;&gt;"/",VLOOKUP(E141,COSTS_Mortar[#All],3),"/")</f>
        <v>/</v>
      </c>
      <c r="H141" s="529">
        <f t="shared" si="66"/>
        <v>0</v>
      </c>
      <c r="I141" s="534">
        <f t="shared" si="67"/>
        <v>0</v>
      </c>
      <c r="J141" s="996">
        <v>2</v>
      </c>
      <c r="K141" s="997" t="str">
        <f>IF(Paramètres!T7=0,"",Paramètres!T7)</f>
        <v/>
      </c>
      <c r="L141" s="810">
        <f t="shared" si="69"/>
        <v>0</v>
      </c>
      <c r="M141" s="586" t="str">
        <f t="shared" si="70"/>
        <v>/</v>
      </c>
      <c r="N141" s="108" t="str">
        <f>IF(P$138="Error","Error",IF(AND($N$138&lt;&gt;"/",$N$138&gt;'Paramètres - Admin'!$A3),'Paramètres - Admin'!$A4,"/"))</f>
        <v>/</v>
      </c>
      <c r="O141" s="529" t="str">
        <f>IF(N141&lt;&gt;"/",VLOOKUP(N141,COSTS_Air_Sweeper[#All],2),"/")</f>
        <v>/</v>
      </c>
      <c r="P141" s="94" t="str">
        <f>IF(N141&lt;&gt;"/",VLOOKUP(N141,COSTS_Air_Sweeper[#All],3),"/")</f>
        <v>/</v>
      </c>
      <c r="Q141" s="529">
        <f t="shared" si="71"/>
        <v>0</v>
      </c>
      <c r="R141" s="534">
        <f t="shared" si="72"/>
        <v>0</v>
      </c>
    </row>
    <row r="142" spans="1:18" ht="15" customHeight="1">
      <c r="A142" s="996">
        <v>6</v>
      </c>
      <c r="B142" s="997" t="str">
        <f>IF(Paramètres!Q11=0,"",Paramètres!Q11)</f>
        <v/>
      </c>
      <c r="C142" s="810">
        <f t="shared" si="68"/>
        <v>0</v>
      </c>
      <c r="D142" s="586" t="str">
        <f t="shared" si="65"/>
        <v>/</v>
      </c>
      <c r="E142" s="108" t="str">
        <f>IF(G$135="Error","Error",IF(AND($E$135&lt;&gt;"/",$E$135&gt;'Paramètres - Admin'!$A7),'Paramètres - Admin'!$A8,"/"))</f>
        <v>/</v>
      </c>
      <c r="F142" s="529" t="str">
        <f>IF(E142&lt;&gt;"/",VLOOKUP(E142,COSTS_Mortar[#All],2),"/")</f>
        <v>/</v>
      </c>
      <c r="G142" s="94" t="str">
        <f>IF(E142&lt;&gt;"/",VLOOKUP(E142,COSTS_Mortar[#All],3),"/")</f>
        <v>/</v>
      </c>
      <c r="H142" s="529">
        <f t="shared" si="66"/>
        <v>0</v>
      </c>
      <c r="I142" s="534">
        <f t="shared" si="67"/>
        <v>0</v>
      </c>
      <c r="J142" s="996">
        <v>3</v>
      </c>
      <c r="K142" s="997" t="str">
        <f>IF(Paramètres!T8=0,"",Paramètres!T8)</f>
        <v/>
      </c>
      <c r="L142" s="810">
        <f t="shared" si="69"/>
        <v>0</v>
      </c>
      <c r="M142" s="586" t="str">
        <f t="shared" si="70"/>
        <v>/</v>
      </c>
      <c r="N142" s="108" t="str">
        <f>IF(P$138="Error","Error",IF(AND($N$138&lt;&gt;"/",$N$138&gt;'Paramètres - Admin'!$A4),'Paramètres - Admin'!$A5,"/"))</f>
        <v>/</v>
      </c>
      <c r="O142" s="529" t="str">
        <f>IF(N142&lt;&gt;"/",VLOOKUP(N142,COSTS_Air_Sweeper[#All],2),"/")</f>
        <v>/</v>
      </c>
      <c r="P142" s="94" t="str">
        <f>IF(N142&lt;&gt;"/",VLOOKUP(N142,COSTS_Air_Sweeper[#All],3),"/")</f>
        <v>/</v>
      </c>
      <c r="Q142" s="529">
        <f t="shared" si="71"/>
        <v>0</v>
      </c>
      <c r="R142" s="534">
        <f t="shared" si="72"/>
        <v>0</v>
      </c>
    </row>
    <row r="143" spans="1:18" ht="15" customHeight="1">
      <c r="A143" s="996">
        <v>7</v>
      </c>
      <c r="B143" s="997" t="str">
        <f>IF(Paramètres!Q12=0,"",Paramètres!Q12)</f>
        <v/>
      </c>
      <c r="C143" s="810">
        <f t="shared" si="68"/>
        <v>0</v>
      </c>
      <c r="D143" s="586" t="str">
        <f t="shared" si="65"/>
        <v>/</v>
      </c>
      <c r="E143" s="108" t="str">
        <f>IF(G$135="Error","Error",IF(AND($E$135&lt;&gt;"/",$E$135&gt;'Paramètres - Admin'!$A8),'Paramètres - Admin'!$A9,"/"))</f>
        <v>/</v>
      </c>
      <c r="F143" s="529" t="str">
        <f>IF(E143&lt;&gt;"/",VLOOKUP(E143,COSTS_Mortar[#All],2),"/")</f>
        <v>/</v>
      </c>
      <c r="G143" s="94" t="str">
        <f>IF(E143&lt;&gt;"/",VLOOKUP(E143,COSTS_Mortar[#All],3),"/")</f>
        <v>/</v>
      </c>
      <c r="H143" s="529">
        <f t="shared" si="66"/>
        <v>0</v>
      </c>
      <c r="I143" s="534">
        <f t="shared" si="67"/>
        <v>0</v>
      </c>
      <c r="J143" s="996">
        <v>4</v>
      </c>
      <c r="K143" s="997" t="str">
        <f>IF(Paramètres!T9=0,"",Paramètres!T9)</f>
        <v/>
      </c>
      <c r="L143" s="810">
        <f t="shared" si="69"/>
        <v>0</v>
      </c>
      <c r="M143" s="586" t="str">
        <f t="shared" si="70"/>
        <v>/</v>
      </c>
      <c r="N143" s="108" t="str">
        <f>IF(P$138="Error","Error",IF(AND($N$138&lt;&gt;"/",$N$138&gt;'Paramètres - Admin'!$A5),'Paramètres - Admin'!$A6,"/"))</f>
        <v>/</v>
      </c>
      <c r="O143" s="529" t="str">
        <f>IF(N143&lt;&gt;"/",VLOOKUP(N143,COSTS_Air_Sweeper[#All],2),"/")</f>
        <v>/</v>
      </c>
      <c r="P143" s="94" t="str">
        <f>IF(N143&lt;&gt;"/",VLOOKUP(N143,COSTS_Air_Sweeper[#All],3),"/")</f>
        <v>/</v>
      </c>
      <c r="Q143" s="529">
        <f t="shared" si="71"/>
        <v>0</v>
      </c>
      <c r="R143" s="534">
        <f t="shared" si="72"/>
        <v>0</v>
      </c>
    </row>
    <row r="144" spans="1:18" ht="15" customHeight="1" thickBot="1">
      <c r="A144" s="998">
        <v>8</v>
      </c>
      <c r="B144" s="999" t="str">
        <f>IF(Paramètres!Q13=0,"",Paramètres!Q13)</f>
        <v/>
      </c>
      <c r="C144" s="811">
        <f t="shared" si="68"/>
        <v>0</v>
      </c>
      <c r="D144" s="587" t="str">
        <f t="shared" si="65"/>
        <v>/</v>
      </c>
      <c r="E144" s="116" t="str">
        <f>IF(G$135="Error","Error",IF(AND($E$135&lt;&gt;"/",$E$135&gt;'Paramètres - Admin'!$A9),'Paramètres - Admin'!$A10,"/"))</f>
        <v>/</v>
      </c>
      <c r="F144" s="118" t="str">
        <f>IF(E144&lt;&gt;"/",VLOOKUP(E144,COSTS_Mortar[#All],2),"/")</f>
        <v>/</v>
      </c>
      <c r="G144" s="114" t="str">
        <f>IF(E144&lt;&gt;"/",VLOOKUP(E144,COSTS_Mortar[#All],3),"/")</f>
        <v>/</v>
      </c>
      <c r="H144" s="118">
        <f t="shared" si="66"/>
        <v>0</v>
      </c>
      <c r="I144" s="117">
        <f t="shared" si="67"/>
        <v>0</v>
      </c>
      <c r="J144" s="996">
        <v>5</v>
      </c>
      <c r="K144" s="997" t="str">
        <f>IF(Paramètres!T10=0,"",Paramètres!T10)</f>
        <v/>
      </c>
      <c r="L144" s="810">
        <f t="shared" si="69"/>
        <v>0</v>
      </c>
      <c r="M144" s="586" t="str">
        <f t="shared" si="70"/>
        <v>/</v>
      </c>
      <c r="N144" s="108" t="str">
        <f>IF(P$138="Error","Error",IF(AND($N$138&lt;&gt;"/",$N$138&gt;'Paramètres - Admin'!$A6),'Paramètres - Admin'!$A7,"/"))</f>
        <v>/</v>
      </c>
      <c r="O144" s="529" t="str">
        <f>IF(N144&lt;&gt;"/",VLOOKUP(N144,COSTS_Air_Sweeper[#All],2),"/")</f>
        <v>/</v>
      </c>
      <c r="P144" s="94" t="str">
        <f>IF(N144&lt;&gt;"/",VLOOKUP(N144,COSTS_Air_Sweeper[#All],3),"/")</f>
        <v>/</v>
      </c>
      <c r="Q144" s="529">
        <f t="shared" si="71"/>
        <v>0</v>
      </c>
      <c r="R144" s="534">
        <f t="shared" si="72"/>
        <v>0</v>
      </c>
    </row>
    <row r="145" spans="1:20" ht="15" customHeight="1" thickBot="1">
      <c r="A145" s="967"/>
      <c r="B145" s="968"/>
      <c r="C145" s="968"/>
      <c r="D145" s="968"/>
      <c r="E145" s="968"/>
      <c r="F145" s="969"/>
      <c r="G145" s="523" t="s">
        <v>31</v>
      </c>
      <c r="H145" s="227">
        <f>IF(G$135="Error","Error",SUM(H137:H144))</f>
        <v>0</v>
      </c>
      <c r="I145" s="546">
        <f>IF(G$135="Error","Error",SUM(I137:I144))</f>
        <v>0</v>
      </c>
      <c r="J145" s="998">
        <v>6</v>
      </c>
      <c r="K145" s="999" t="str">
        <f>IF(Paramètres!T11=0,"",Paramètres!T11)</f>
        <v/>
      </c>
      <c r="L145" s="811">
        <f t="shared" si="69"/>
        <v>0</v>
      </c>
      <c r="M145" s="587" t="str">
        <f t="shared" si="70"/>
        <v>/</v>
      </c>
      <c r="N145" s="116" t="str">
        <f>IF(P$138="Error","Error",IF(AND($N$138&lt;&gt;"/",$N$138&gt;'Paramètres - Admin'!$A7),'Paramètres - Admin'!$A8,"/"))</f>
        <v>/</v>
      </c>
      <c r="O145" s="118" t="str">
        <f>IF(N145&lt;&gt;"/",VLOOKUP(N145,COSTS_Air_Sweeper[#All],2),"/")</f>
        <v>/</v>
      </c>
      <c r="P145" s="114" t="str">
        <f>IF(N145&lt;&gt;"/",VLOOKUP(N145,COSTS_Air_Sweeper[#All],3),"/")</f>
        <v>/</v>
      </c>
      <c r="Q145" s="118">
        <f t="shared" si="71"/>
        <v>0</v>
      </c>
      <c r="R145" s="117">
        <f t="shared" si="72"/>
        <v>0</v>
      </c>
    </row>
    <row r="146" spans="1:20" ht="15" customHeight="1" thickBot="1">
      <c r="A146" s="1098" t="s">
        <v>747</v>
      </c>
      <c r="B146" s="1099"/>
      <c r="C146" s="1100"/>
      <c r="D146" s="589" t="s">
        <v>38</v>
      </c>
      <c r="E146" s="590" t="s">
        <v>39</v>
      </c>
      <c r="F146" s="591"/>
      <c r="G146" s="589" t="s">
        <v>256</v>
      </c>
      <c r="H146" s="592" t="s">
        <v>361</v>
      </c>
      <c r="I146" s="590" t="s">
        <v>257</v>
      </c>
      <c r="J146" s="137"/>
      <c r="K146" s="137"/>
      <c r="L146" s="137"/>
      <c r="M146" s="137"/>
      <c r="N146" s="137"/>
      <c r="O146" s="137"/>
      <c r="P146" s="523" t="s">
        <v>31</v>
      </c>
      <c r="Q146" s="227">
        <f>IF(P$138="Error","Error",SUM(Q140:Q145))</f>
        <v>0</v>
      </c>
      <c r="R146" s="546">
        <f>IF(P$138="Error","Error",SUM(R140:R145))</f>
        <v>0</v>
      </c>
      <c r="S146" s="137"/>
      <c r="T146" s="137"/>
    </row>
    <row r="147" spans="1:20" s="537" customFormat="1" ht="15" customHeight="1" thickBot="1">
      <c r="A147" s="1101"/>
      <c r="B147" s="1102"/>
      <c r="C147" s="1103"/>
      <c r="D147" s="527">
        <f>VLOOKUP($A$2,AVAILABLE_Buildings_Defensive[#All],MATCH(A146,AVAILABLE_Buildings_Defensive[#Headers],0))</f>
        <v>0</v>
      </c>
      <c r="E147" s="528">
        <f>VLOOKUP($A$2,AVAILABLE_Buildings_Defensive[#All],MATCH(A146,AVAILABLE_Buildings_Defensive[#Headers],0)+1)</f>
        <v>0</v>
      </c>
      <c r="F147" s="540"/>
      <c r="G147" s="530">
        <f>IF(SUM(B149:B150)&gt;D147,"Error",SUM(B149:B150))</f>
        <v>0</v>
      </c>
      <c r="H147" s="531">
        <f>IF(D$147="Error","Error",D147-G147)</f>
        <v>0</v>
      </c>
      <c r="I147" s="538">
        <f>IF(G$147="Error","Error",SUM(D149:D150))</f>
        <v>0</v>
      </c>
      <c r="L147" s="137"/>
      <c r="M147" s="137"/>
      <c r="N147" s="137"/>
      <c r="O147" s="137"/>
      <c r="P147" s="137"/>
      <c r="Q147" s="137"/>
      <c r="R147" s="137"/>
      <c r="S147" s="137"/>
      <c r="T147" s="137"/>
    </row>
    <row r="148" spans="1:20" s="537" customFormat="1" ht="15" customHeight="1" thickBot="1">
      <c r="A148" s="532" t="s">
        <v>30</v>
      </c>
      <c r="B148" s="355" t="s">
        <v>29</v>
      </c>
      <c r="C148" s="472"/>
      <c r="D148" s="542" t="s">
        <v>29</v>
      </c>
      <c r="E148" s="543" t="s">
        <v>30</v>
      </c>
      <c r="F148" s="544" t="s">
        <v>258</v>
      </c>
      <c r="G148" s="544" t="s">
        <v>259</v>
      </c>
      <c r="H148" s="544" t="s">
        <v>232</v>
      </c>
      <c r="I148" s="545" t="s">
        <v>233</v>
      </c>
      <c r="L148" s="137"/>
      <c r="M148" s="137"/>
      <c r="N148" s="137"/>
      <c r="O148" s="137"/>
      <c r="P148" s="137"/>
      <c r="Q148" s="137"/>
      <c r="R148" s="137"/>
      <c r="S148" s="137"/>
      <c r="T148" s="137"/>
    </row>
    <row r="149" spans="1:20" s="537" customFormat="1" ht="15" customHeight="1">
      <c r="A149" s="524">
        <v>1</v>
      </c>
      <c r="B149" s="995" t="str">
        <f>IF(Paramètres!X6=0,"",Paramètres!X6)</f>
        <v/>
      </c>
      <c r="C149" s="598">
        <f>IF(C148&lt;&gt;0,C148+IF(AND(B148&lt;&gt;"",A148&lt;E$147),B148,0),IF(AND(B148&lt;&gt;"",A148&lt;E$147),B148,0))</f>
        <v>0</v>
      </c>
      <c r="D149" s="585" t="str">
        <f>IF(E149&lt;&gt;"/",IF(G$147="Error","Error",$H$147+C149),"/")</f>
        <v>/</v>
      </c>
      <c r="E149" s="469" t="str">
        <f>IF(G$147="Error","Error",IF(AND($E$147&lt;&gt;"/",$E$147&gt;'Paramètres - Admin'!$A2),'Paramètres - Admin'!$A3,"/"))</f>
        <v>/</v>
      </c>
      <c r="F149" s="86" t="str">
        <f>IF(E149&lt;&gt;"/",VLOOKUP(E149,COSTS_Defense_Aigle[#All],2),"/")</f>
        <v>/</v>
      </c>
      <c r="G149" s="470" t="str">
        <f>IF(E149&lt;&gt;"/",VLOOKUP(E149,COSTS_Defense_Aigle[#All],3),"/")</f>
        <v>/</v>
      </c>
      <c r="H149" s="86">
        <f>IF(G$110="Error","Error",IF(F149&lt;&gt;"/",D149*F149,0))</f>
        <v>0</v>
      </c>
      <c r="I149" s="471">
        <f>IF(G$110="Error","Error",IF(G149&lt;&gt;"/",D149*G149,0))</f>
        <v>0</v>
      </c>
      <c r="L149" s="137"/>
      <c r="M149" s="137"/>
      <c r="N149" s="137"/>
      <c r="O149" s="137"/>
      <c r="P149" s="137"/>
      <c r="Q149" s="137"/>
      <c r="R149" s="137"/>
      <c r="S149" s="137"/>
      <c r="T149" s="137"/>
    </row>
    <row r="150" spans="1:20" s="537" customFormat="1" ht="15" customHeight="1" thickBot="1">
      <c r="A150" s="998">
        <v>2</v>
      </c>
      <c r="B150" s="999" t="str">
        <f>IF(Paramètres!X7=0,"",Paramètres!X7)</f>
        <v/>
      </c>
      <c r="C150" s="811">
        <f>IF(C149&lt;&gt;0,C149+IF(AND(B149&lt;&gt;"",A149&lt;E$147),B149,0),IF(AND(B149&lt;&gt;"",A149&lt;E$147),B149,0))</f>
        <v>0</v>
      </c>
      <c r="D150" s="587" t="str">
        <f>IF(E150&lt;&gt;"/",IF(G$147="Error","Error",$H$147+C150),"/")</f>
        <v>/</v>
      </c>
      <c r="E150" s="116" t="str">
        <f>IF(G$147="Error","Error",IF(AND($E$147&lt;&gt;"/",$E$147&gt;'Paramètres - Admin'!$A3),'Paramètres - Admin'!$A4,"/"))</f>
        <v>/</v>
      </c>
      <c r="F150" s="118" t="str">
        <f>IF(E150&lt;&gt;"/",VLOOKUP(E150,COSTS_Defense_Aigle[#All],2),"/")</f>
        <v>/</v>
      </c>
      <c r="G150" s="114" t="str">
        <f>IF(E150&lt;&gt;"/",VLOOKUP(E150,COSTS_Defense_Aigle[#All],3),"/")</f>
        <v>/</v>
      </c>
      <c r="H150" s="118">
        <f>IF(G$147="Error","Error",IF(F150&lt;&gt;"/",D150*F150,0))</f>
        <v>0</v>
      </c>
      <c r="I150" s="117">
        <f>IF(G$147="Error","Error",IF(G150&lt;&gt;"/",D150*G150,0))</f>
        <v>0</v>
      </c>
      <c r="L150" s="137"/>
      <c r="M150" s="137"/>
      <c r="N150" s="137"/>
      <c r="O150" s="137"/>
      <c r="P150" s="137"/>
      <c r="Q150" s="137"/>
      <c r="R150" s="137"/>
      <c r="S150" s="137"/>
      <c r="T150" s="137"/>
    </row>
    <row r="151" spans="1:20" ht="20.100000000000001" customHeight="1" thickBot="1">
      <c r="A151" s="967"/>
      <c r="B151" s="968"/>
      <c r="C151" s="968"/>
      <c r="D151" s="968"/>
      <c r="E151" s="968"/>
      <c r="F151" s="969"/>
      <c r="G151" s="523" t="s">
        <v>31</v>
      </c>
      <c r="H151" s="227">
        <f>IF(G$130="Error","Error",SUM(H149:H150))</f>
        <v>0</v>
      </c>
      <c r="I151" s="546">
        <f>IF(G$130="Error","Error",SUM(I149:I150))</f>
        <v>0</v>
      </c>
    </row>
    <row r="152" spans="1:20" ht="15" customHeight="1" thickBot="1">
      <c r="A152" s="131"/>
      <c r="B152" s="131"/>
      <c r="C152" s="131"/>
      <c r="D152" s="131"/>
      <c r="E152" s="131"/>
      <c r="F152" s="131"/>
    </row>
    <row r="153" spans="1:20" s="537" customFormat="1" ht="19.5" customHeight="1" thickBot="1">
      <c r="A153" s="1096" t="s">
        <v>582</v>
      </c>
      <c r="B153" s="1097"/>
      <c r="C153" s="1097"/>
      <c r="D153" s="1097"/>
      <c r="E153" s="1097"/>
      <c r="F153" s="1097"/>
      <c r="G153" s="1097"/>
      <c r="H153" s="1097"/>
      <c r="I153" s="1097"/>
      <c r="J153" s="1097"/>
      <c r="K153" s="1097"/>
      <c r="L153" s="1097"/>
      <c r="M153" s="1097"/>
      <c r="N153" s="1097"/>
      <c r="O153" s="1097"/>
      <c r="P153" s="1097"/>
      <c r="Q153" s="1097"/>
      <c r="R153" s="1097"/>
    </row>
    <row r="154" spans="1:20" ht="15" customHeight="1">
      <c r="A154" s="1104" t="s">
        <v>561</v>
      </c>
      <c r="B154" s="1109"/>
      <c r="C154" s="1110"/>
      <c r="D154" s="524" t="s">
        <v>38</v>
      </c>
      <c r="E154" s="525" t="s">
        <v>39</v>
      </c>
      <c r="F154" s="539"/>
      <c r="G154" s="524" t="s">
        <v>256</v>
      </c>
      <c r="H154" s="526" t="s">
        <v>361</v>
      </c>
      <c r="I154" s="525" t="s">
        <v>257</v>
      </c>
      <c r="J154" s="1104" t="s">
        <v>560</v>
      </c>
      <c r="K154" s="1109"/>
      <c r="L154" s="1110"/>
      <c r="M154" s="524" t="s">
        <v>38</v>
      </c>
      <c r="N154" s="525" t="s">
        <v>39</v>
      </c>
      <c r="O154" s="539"/>
      <c r="P154" s="524" t="s">
        <v>256</v>
      </c>
      <c r="Q154" s="526" t="s">
        <v>361</v>
      </c>
      <c r="R154" s="525" t="s">
        <v>257</v>
      </c>
    </row>
    <row r="155" spans="1:20" ht="15" customHeight="1" thickBot="1">
      <c r="A155" s="1101"/>
      <c r="B155" s="1102"/>
      <c r="C155" s="1103"/>
      <c r="D155" s="527">
        <f>VLOOKUP($A$2,AVAILABLE_Traps[#All],MATCH(A154,AVAILABLE_Traps[#Headers],0))</f>
        <v>0</v>
      </c>
      <c r="E155" s="528">
        <f>VLOOKUP($A$2,AVAILABLE_Traps[#All],MATCH(A154,AVAILABLE_Traps[#Headers],0)+1)</f>
        <v>0</v>
      </c>
      <c r="F155" s="540"/>
      <c r="G155" s="530">
        <f>IF(SUM(B157:B162)&gt;D155,"Error",SUM(B157:B162))</f>
        <v>0</v>
      </c>
      <c r="H155" s="531">
        <f>IF(G$155="Error","Error",D155-G155)</f>
        <v>0</v>
      </c>
      <c r="I155" s="538">
        <f>IF(G$155="Error","Error",SUM(D157:D162))</f>
        <v>0</v>
      </c>
      <c r="J155" s="1101"/>
      <c r="K155" s="1102"/>
      <c r="L155" s="1103"/>
      <c r="M155" s="527">
        <f>VLOOKUP($A$2,AVAILABLE_Traps[#All],MATCH(J154,AVAILABLE_Traps[#Headers],0))</f>
        <v>0</v>
      </c>
      <c r="N155" s="528">
        <f>VLOOKUP($A$2,AVAILABLE_Traps[#All],MATCH(J154,AVAILABLE_Traps[#Headers],0)+1)</f>
        <v>0</v>
      </c>
      <c r="O155" s="540"/>
      <c r="P155" s="530">
        <f>IF(SUM(K157:K160)&gt;M155,"Error",SUM(K157:K160))</f>
        <v>0</v>
      </c>
      <c r="Q155" s="531">
        <f>IF(P$155="Error","Error",M155-P155)</f>
        <v>0</v>
      </c>
      <c r="R155" s="538">
        <f>IF(P$155="Error","Error",SUM(M157:M160))</f>
        <v>0</v>
      </c>
    </row>
    <row r="156" spans="1:20" ht="15" customHeight="1" thickBot="1">
      <c r="A156" s="532" t="s">
        <v>30</v>
      </c>
      <c r="B156" s="535" t="s">
        <v>29</v>
      </c>
      <c r="C156" s="533"/>
      <c r="D156" s="542" t="s">
        <v>29</v>
      </c>
      <c r="E156" s="543" t="s">
        <v>30</v>
      </c>
      <c r="F156" s="544" t="s">
        <v>258</v>
      </c>
      <c r="G156" s="544" t="s">
        <v>259</v>
      </c>
      <c r="H156" s="544" t="s">
        <v>232</v>
      </c>
      <c r="I156" s="545" t="s">
        <v>233</v>
      </c>
      <c r="J156" s="532" t="s">
        <v>30</v>
      </c>
      <c r="K156" s="535" t="s">
        <v>29</v>
      </c>
      <c r="L156" s="533"/>
      <c r="M156" s="542" t="s">
        <v>29</v>
      </c>
      <c r="N156" s="543" t="s">
        <v>30</v>
      </c>
      <c r="O156" s="544" t="s">
        <v>258</v>
      </c>
      <c r="P156" s="544" t="s">
        <v>259</v>
      </c>
      <c r="Q156" s="544" t="s">
        <v>232</v>
      </c>
      <c r="R156" s="545" t="s">
        <v>233</v>
      </c>
    </row>
    <row r="157" spans="1:20" ht="15" customHeight="1">
      <c r="A157" s="524">
        <v>1</v>
      </c>
      <c r="B157" s="995" t="str">
        <f>IF(Paramètres!Y6=0,"",Paramètres!Y6)</f>
        <v/>
      </c>
      <c r="C157" s="598">
        <f t="shared" ref="C157:C162" si="73">IF(C156&lt;&gt;0,C156+IF(AND(B156&lt;&gt;"",A156&lt;E$155),B156,0),IF(AND(B156&lt;&gt;"",A156&lt;E$155),B156,0))</f>
        <v>0</v>
      </c>
      <c r="D157" s="585" t="str">
        <f t="shared" ref="D157:D162" si="74">IF(E157&lt;&gt;"/",IF($G$155="Error","Error",$H$155+C157),"/")</f>
        <v>/</v>
      </c>
      <c r="E157" s="469" t="str">
        <f>IF(G$155="Error","Error",IF(AND($E$155&lt;&gt;"/",$E$155&gt;'Paramètres - Admin'!$A2),'Paramètres - Admin'!$A3,"/"))</f>
        <v>/</v>
      </c>
      <c r="F157" s="86" t="str">
        <f>IF(E157&lt;&gt;"/",VLOOKUP(E157,COSTS_Bomb[#All],2),"/")</f>
        <v>/</v>
      </c>
      <c r="G157" s="470" t="str">
        <f>IF(E157&lt;&gt;"/",VLOOKUP(E157,COSTS_Bomb[#All],3),"/")</f>
        <v>/</v>
      </c>
      <c r="H157" s="86">
        <f t="shared" ref="H157:H162" si="75">IF(G$155="Error","Error",IF(F157&lt;&gt;"/",D157*F157,0))</f>
        <v>0</v>
      </c>
      <c r="I157" s="471">
        <f>IF(G$155="Error","Error",IF(G157&lt;&gt;"/",D157*G157,0))</f>
        <v>0</v>
      </c>
      <c r="J157" s="524">
        <v>1</v>
      </c>
      <c r="K157" s="995" t="str">
        <f>IF(Paramètres!AB6=0,"",Paramètres!AB6)</f>
        <v/>
      </c>
      <c r="L157" s="598">
        <f>IF(L156&lt;&gt;0,L156+IF(AND(K156&lt;&gt;"",J156&lt;N$155),K156,0),IF(AND(K156&lt;&gt;"",J156&lt;N$155),K156,0))</f>
        <v>0</v>
      </c>
      <c r="M157" s="585" t="str">
        <f>IF(N157&lt;&gt;"/",IF($P$155="Error","Error",$Q$155+L157),"/")</f>
        <v>/</v>
      </c>
      <c r="N157" s="469" t="str">
        <f>IF(P$155="Error","Error",IF(AND($N$155&lt;&gt;"/",$N$155&gt;'Paramètres - Admin'!$A2),'Paramètres - Admin'!$A3,"/"))</f>
        <v>/</v>
      </c>
      <c r="O157" s="86" t="str">
        <f>IF(N157&lt;&gt;"/",VLOOKUP(N157,COST_Air_Bomb[#All],2),"/")</f>
        <v>/</v>
      </c>
      <c r="P157" s="470" t="str">
        <f>IF(N157&lt;&gt;"/",VLOOKUP(N157,COST_Air_Bomb[#All],3),"/")</f>
        <v>/</v>
      </c>
      <c r="Q157" s="86">
        <f>IF(P$155="Error","Error",IF(O157&lt;&gt;"/",M157*O157,0))</f>
        <v>0</v>
      </c>
      <c r="R157" s="471">
        <f>IF(P$155="Error","Error",IF(P157&lt;&gt;"/",M157*P157,0))</f>
        <v>0</v>
      </c>
    </row>
    <row r="158" spans="1:20" ht="15" customHeight="1">
      <c r="A158" s="996">
        <v>2</v>
      </c>
      <c r="B158" s="997" t="str">
        <f>IF(Paramètres!Y7=0,"",Paramètres!Y7)</f>
        <v/>
      </c>
      <c r="C158" s="810">
        <f t="shared" si="73"/>
        <v>0</v>
      </c>
      <c r="D158" s="586" t="str">
        <f t="shared" si="74"/>
        <v>/</v>
      </c>
      <c r="E158" s="108" t="str">
        <f>IF(G$155="Error","Error",IF(AND($E$155&lt;&gt;"/",$E$155&gt;'Paramètres - Admin'!$A3),'Paramètres - Admin'!$A4,"/"))</f>
        <v>/</v>
      </c>
      <c r="F158" s="529" t="str">
        <f>IF(E158&lt;&gt;"/",VLOOKUP(E158,COSTS_Bomb[#All],2),"/")</f>
        <v>/</v>
      </c>
      <c r="G158" s="94" t="str">
        <f>IF(E158&lt;&gt;"/",VLOOKUP(E158,COSTS_Bomb[#All],3),"/")</f>
        <v>/</v>
      </c>
      <c r="H158" s="529">
        <f t="shared" si="75"/>
        <v>0</v>
      </c>
      <c r="I158" s="534">
        <f>IF(G$86="Error","Error",IF(G158&lt;&gt;"/",D158*G158,0))</f>
        <v>0</v>
      </c>
      <c r="J158" s="996">
        <v>2</v>
      </c>
      <c r="K158" s="997" t="str">
        <f>IF(Paramètres!AB7=0,"",Paramètres!AB7)</f>
        <v/>
      </c>
      <c r="L158" s="810">
        <f>IF(L157&lt;&gt;0,L157+IF(AND(K157&lt;&gt;"",J157&lt;N$155),K157,0),IF(AND(K157&lt;&gt;"",J157&lt;N$155),K157,0))</f>
        <v>0</v>
      </c>
      <c r="M158" s="586" t="str">
        <f>IF(N158&lt;&gt;"/",IF($P$155="Error","Error",$Q$155+L158),"/")</f>
        <v>/</v>
      </c>
      <c r="N158" s="108" t="str">
        <f>IF(P$155="Error","Error",IF(AND($N$155&lt;&gt;"/",$N$155&gt;'Paramètres - Admin'!$A3),'Paramètres - Admin'!$A4,"/"))</f>
        <v>/</v>
      </c>
      <c r="O158" s="529" t="str">
        <f>IF(N158&lt;&gt;"/",VLOOKUP(N158,COST_Air_Bomb[#All],2),"/")</f>
        <v>/</v>
      </c>
      <c r="P158" s="94" t="str">
        <f>IF(N158&lt;&gt;"/",VLOOKUP(N158,COST_Air_Bomb[#All],3),"/")</f>
        <v>/</v>
      </c>
      <c r="Q158" s="529">
        <f>IF(P$155="Error","Error",IF(O158&lt;&gt;"/",M158*O158,0))</f>
        <v>0</v>
      </c>
      <c r="R158" s="534">
        <f>IF(P$155="Error","Error",IF(P158&lt;&gt;"/",M158*P158,0))</f>
        <v>0</v>
      </c>
    </row>
    <row r="159" spans="1:20" ht="15" customHeight="1">
      <c r="A159" s="996">
        <v>3</v>
      </c>
      <c r="B159" s="997" t="str">
        <f>IF(Paramètres!Y8=0,"",Paramètres!Y8)</f>
        <v/>
      </c>
      <c r="C159" s="810">
        <f t="shared" si="73"/>
        <v>0</v>
      </c>
      <c r="D159" s="586" t="str">
        <f t="shared" si="74"/>
        <v>/</v>
      </c>
      <c r="E159" s="108" t="str">
        <f>IF(G$155="Error","Error",IF(AND($E$155&lt;&gt;"/",$E$155&gt;'Paramètres - Admin'!$A4),'Paramètres - Admin'!$A5,"/"))</f>
        <v>/</v>
      </c>
      <c r="F159" s="529" t="str">
        <f>IF(E159&lt;&gt;"/",VLOOKUP(E159,COSTS_Bomb[#All],2),"/")</f>
        <v>/</v>
      </c>
      <c r="G159" s="94" t="str">
        <f>IF(E159&lt;&gt;"/",VLOOKUP(E159,COSTS_Bomb[#All],3),"/")</f>
        <v>/</v>
      </c>
      <c r="H159" s="529">
        <f t="shared" si="75"/>
        <v>0</v>
      </c>
      <c r="I159" s="534">
        <f>IF(G$86="Error","Error",IF(G159&lt;&gt;"/",D159*G159,0))</f>
        <v>0</v>
      </c>
      <c r="J159" s="996">
        <v>3</v>
      </c>
      <c r="K159" s="997" t="str">
        <f>IF(Paramètres!AB8=0,"",Paramètres!AB8)</f>
        <v/>
      </c>
      <c r="L159" s="810">
        <f>IF(L158&lt;&gt;0,L158+IF(AND(K158&lt;&gt;"",J158&lt;N$155),K158,0),IF(AND(K158&lt;&gt;"",J158&lt;N$155),K158,0))</f>
        <v>0</v>
      </c>
      <c r="M159" s="586" t="str">
        <f>IF(N159&lt;&gt;"/",IF($P$155="Error","Error",$Q$155+L159),"/")</f>
        <v>/</v>
      </c>
      <c r="N159" s="108" t="str">
        <f>IF(P$155="Error","Error",IF(AND($N$155&lt;&gt;"/",$N$155&gt;'Paramètres - Admin'!$A4),'Paramètres - Admin'!$A5,"/"))</f>
        <v>/</v>
      </c>
      <c r="O159" s="529" t="str">
        <f>IF(N159&lt;&gt;"/",VLOOKUP(N159,COST_Air_Bomb[#All],2),"/")</f>
        <v>/</v>
      </c>
      <c r="P159" s="94" t="str">
        <f>IF(N159&lt;&gt;"/",VLOOKUP(N159,COST_Air_Bomb[#All],3),"/")</f>
        <v>/</v>
      </c>
      <c r="Q159" s="529">
        <f>IF(P$155="Error","Error",IF(O159&lt;&gt;"/",M159*O159,0))</f>
        <v>0</v>
      </c>
      <c r="R159" s="534">
        <f>IF(P$155="Error","Error",IF(P159&lt;&gt;"/",M159*P159,0))</f>
        <v>0</v>
      </c>
    </row>
    <row r="160" spans="1:20" ht="15" customHeight="1" thickBot="1">
      <c r="A160" s="996">
        <v>4</v>
      </c>
      <c r="B160" s="997" t="str">
        <f>IF(Paramètres!Y9=0,"",Paramètres!Y9)</f>
        <v/>
      </c>
      <c r="C160" s="810">
        <f t="shared" si="73"/>
        <v>0</v>
      </c>
      <c r="D160" s="586" t="str">
        <f t="shared" si="74"/>
        <v>/</v>
      </c>
      <c r="E160" s="108" t="str">
        <f>IF(G$155="Error","Error",IF(AND($E$155&lt;&gt;"/",$E$155&gt;'Paramètres - Admin'!$A5),'Paramètres - Admin'!$A6,"/"))</f>
        <v>/</v>
      </c>
      <c r="F160" s="529" t="str">
        <f>IF(E160&lt;&gt;"/",VLOOKUP(E160,COSTS_Bomb[#All],2),"/")</f>
        <v>/</v>
      </c>
      <c r="G160" s="94" t="str">
        <f>IF(E160&lt;&gt;"/",VLOOKUP(E160,COSTS_Bomb[#All],3),"/")</f>
        <v>/</v>
      </c>
      <c r="H160" s="529">
        <f t="shared" si="75"/>
        <v>0</v>
      </c>
      <c r="I160" s="534">
        <f>IF(G$86="Error","Error",IF(G160&lt;&gt;"/",D160*G160,0))</f>
        <v>0</v>
      </c>
      <c r="J160" s="998">
        <v>4</v>
      </c>
      <c r="K160" s="999" t="str">
        <f>IF(Paramètres!AB9=0,"",Paramètres!AB9)</f>
        <v/>
      </c>
      <c r="L160" s="811">
        <f>IF(L159&lt;&gt;0,L159+IF(AND(K159&lt;&gt;"",J159&lt;N$155),K159,0),IF(AND(K159&lt;&gt;"",J159&lt;N$155),K159,0))</f>
        <v>0</v>
      </c>
      <c r="M160" s="587" t="str">
        <f>IF(N160&lt;&gt;"/",IF($P$155="Error","Error",$Q$155+L160),"/")</f>
        <v>/</v>
      </c>
      <c r="N160" s="116" t="str">
        <f>IF(P$155="Error","Error",IF(AND($N$155&lt;&gt;"/",$N$155&gt;'Paramètres - Admin'!$A5),'Paramètres - Admin'!$A6,"/"))</f>
        <v>/</v>
      </c>
      <c r="O160" s="118" t="str">
        <f>IF(N160&lt;&gt;"/",VLOOKUP(N160,COST_Air_Bomb[#All],2),"/")</f>
        <v>/</v>
      </c>
      <c r="P160" s="114" t="str">
        <f>IF(N160&lt;&gt;"/",VLOOKUP(N160,COST_Air_Bomb[#All],3),"/")</f>
        <v>/</v>
      </c>
      <c r="Q160" s="118">
        <f>IF(P$155="Error","Error",IF(O160&lt;&gt;"/",M160*O160,0))</f>
        <v>0</v>
      </c>
      <c r="R160" s="117">
        <f>IF(P$155="Error","Error",IF(P160&lt;&gt;"/",M160*P160,0))</f>
        <v>0</v>
      </c>
    </row>
    <row r="161" spans="1:51" ht="15" customHeight="1" thickBot="1">
      <c r="A161" s="996">
        <v>5</v>
      </c>
      <c r="B161" s="997" t="str">
        <f>IF(Paramètres!Y10=0,"",Paramètres!Y10)</f>
        <v/>
      </c>
      <c r="C161" s="810">
        <f t="shared" si="73"/>
        <v>0</v>
      </c>
      <c r="D161" s="586" t="str">
        <f t="shared" si="74"/>
        <v>/</v>
      </c>
      <c r="E161" s="108" t="str">
        <f>IF(G$155="Error","Error",IF(AND($E$155&lt;&gt;"/",$E$155&gt;'Paramètres - Admin'!$A6),'Paramètres - Admin'!$A7,"/"))</f>
        <v>/</v>
      </c>
      <c r="F161" s="529" t="str">
        <f>IF(E161&lt;&gt;"/",VLOOKUP(E161,COSTS_Bomb[#All],2),"/")</f>
        <v>/</v>
      </c>
      <c r="G161" s="94" t="str">
        <f>IF(E161&lt;&gt;"/",VLOOKUP(E161,COSTS_Bomb[#All],3),"/")</f>
        <v>/</v>
      </c>
      <c r="H161" s="529">
        <f t="shared" si="75"/>
        <v>0</v>
      </c>
      <c r="I161" s="534">
        <f>IF(G$86="Error","Error",IF(G161&lt;&gt;"/",D161*G161,0))</f>
        <v>0</v>
      </c>
      <c r="J161" s="964"/>
      <c r="K161" s="965"/>
      <c r="L161" s="965"/>
      <c r="M161" s="965"/>
      <c r="N161" s="965"/>
      <c r="O161" s="966"/>
      <c r="P161" s="278" t="s">
        <v>31</v>
      </c>
      <c r="Q161" s="104">
        <f>IF(P$155="Error","Error",SUM(Q157:Q160))</f>
        <v>0</v>
      </c>
      <c r="R161" s="597">
        <f>IF(P$155="Error","Error",SUM(R157:R160))</f>
        <v>0</v>
      </c>
    </row>
    <row r="162" spans="1:51" ht="15" customHeight="1" thickBot="1">
      <c r="A162" s="998">
        <v>6</v>
      </c>
      <c r="B162" s="999" t="str">
        <f>IF(Paramètres!Y11=0,"",Paramètres!Y11)</f>
        <v/>
      </c>
      <c r="C162" s="811">
        <f t="shared" si="73"/>
        <v>0</v>
      </c>
      <c r="D162" s="587" t="str">
        <f t="shared" si="74"/>
        <v>/</v>
      </c>
      <c r="E162" s="116" t="str">
        <f>IF(G$155="Error","Error",IF(AND($E$155&lt;&gt;"/",$E$155&gt;'Paramètres - Admin'!$A7),'Paramètres - Admin'!$A8,"/"))</f>
        <v>/</v>
      </c>
      <c r="F162" s="118" t="str">
        <f>IF(E162&lt;&gt;"/",VLOOKUP(E162,COSTS_Bomb[#All],2),"/")</f>
        <v>/</v>
      </c>
      <c r="G162" s="114" t="str">
        <f>IF(E162&lt;&gt;"/",VLOOKUP(E162,COSTS_Bomb[#All],3),"/")</f>
        <v>/</v>
      </c>
      <c r="H162" s="118">
        <f t="shared" si="75"/>
        <v>0</v>
      </c>
      <c r="I162" s="117">
        <f>IF(G$155="Error","Error",IF(G162&lt;&gt;"/",D162*G162,0))</f>
        <v>0</v>
      </c>
      <c r="J162" s="1104" t="s">
        <v>562</v>
      </c>
      <c r="K162" s="1109"/>
      <c r="L162" s="1110"/>
      <c r="M162" s="524" t="s">
        <v>38</v>
      </c>
      <c r="N162" s="525" t="s">
        <v>39</v>
      </c>
      <c r="O162" s="539"/>
      <c r="P162" s="524" t="s">
        <v>256</v>
      </c>
      <c r="Q162" s="526" t="s">
        <v>361</v>
      </c>
      <c r="R162" s="525" t="s">
        <v>257</v>
      </c>
    </row>
    <row r="163" spans="1:51" ht="15" customHeight="1" thickBot="1">
      <c r="A163" s="964"/>
      <c r="B163" s="965"/>
      <c r="C163" s="965"/>
      <c r="D163" s="965"/>
      <c r="E163" s="965"/>
      <c r="F163" s="966"/>
      <c r="G163" s="278" t="s">
        <v>31</v>
      </c>
      <c r="H163" s="104">
        <f>IF(G$155="Error","Error",SUM(H157:H162))</f>
        <v>0</v>
      </c>
      <c r="I163" s="597">
        <f>IF(G$155="Error","Error",SUM(I157:I162))</f>
        <v>0</v>
      </c>
      <c r="J163" s="1101"/>
      <c r="K163" s="1102"/>
      <c r="L163" s="1103"/>
      <c r="M163" s="527">
        <f>VLOOKUP($A$2,AVAILABLE_Traps[#All],MATCH(J162,AVAILABLE_Traps[#Headers],0))</f>
        <v>0</v>
      </c>
      <c r="N163" s="528">
        <f>VLOOKUP($A$2,AVAILABLE_Traps[#All],MATCH(J162,AVAILABLE_Traps[#Headers],0)+1)</f>
        <v>0</v>
      </c>
      <c r="O163" s="540"/>
      <c r="P163" s="530">
        <f>IF(SUM(K165:K167)&gt;M163,"Error",SUM(K165:K167))</f>
        <v>0</v>
      </c>
      <c r="Q163" s="531">
        <f>IF(P$163="Error","Error",M163-P163)</f>
        <v>0</v>
      </c>
      <c r="R163" s="538">
        <f>IF(P$163="Error","Error",SUM(M165:M167))</f>
        <v>0</v>
      </c>
    </row>
    <row r="164" spans="1:51" ht="15" customHeight="1" thickBot="1">
      <c r="A164" s="1104" t="s">
        <v>559</v>
      </c>
      <c r="B164" s="1109"/>
      <c r="C164" s="1110"/>
      <c r="D164" s="524" t="s">
        <v>38</v>
      </c>
      <c r="E164" s="525" t="s">
        <v>39</v>
      </c>
      <c r="F164" s="539"/>
      <c r="G164" s="524" t="s">
        <v>256</v>
      </c>
      <c r="H164" s="526" t="s">
        <v>361</v>
      </c>
      <c r="I164" s="525" t="s">
        <v>257</v>
      </c>
      <c r="J164" s="532" t="s">
        <v>30</v>
      </c>
      <c r="K164" s="535" t="s">
        <v>29</v>
      </c>
      <c r="L164" s="533"/>
      <c r="M164" s="542" t="s">
        <v>29</v>
      </c>
      <c r="N164" s="543" t="s">
        <v>30</v>
      </c>
      <c r="O164" s="544" t="s">
        <v>258</v>
      </c>
      <c r="P164" s="544" t="s">
        <v>259</v>
      </c>
      <c r="Q164" s="544" t="s">
        <v>232</v>
      </c>
      <c r="R164" s="545" t="s">
        <v>233</v>
      </c>
    </row>
    <row r="165" spans="1:51" ht="15" customHeight="1" thickBot="1">
      <c r="A165" s="1101"/>
      <c r="B165" s="1102"/>
      <c r="C165" s="1103"/>
      <c r="D165" s="527">
        <f>VLOOKUP($A$2,AVAILABLE_Traps[#All],MATCH(A164,AVAILABLE_Traps[#Headers],0))</f>
        <v>0</v>
      </c>
      <c r="E165" s="528">
        <f>VLOOKUP($A$2,AVAILABLE_Traps[#All],MATCH(A164,AVAILABLE_Traps[#Headers],0)+1)</f>
        <v>0</v>
      </c>
      <c r="F165" s="540"/>
      <c r="G165" s="530">
        <f>IF(SUM(B167:B167)&gt;D165,"Error",SUM(B167:B167))</f>
        <v>0</v>
      </c>
      <c r="H165" s="531">
        <f>IF(G$165="Error","Error",D165-G165)</f>
        <v>0</v>
      </c>
      <c r="I165" s="538">
        <f>IF(G$165="Error","Error",SUM(D167:D167))</f>
        <v>0</v>
      </c>
      <c r="J165" s="524">
        <v>1</v>
      </c>
      <c r="K165" s="995" t="str">
        <f>IF(Paramètres!AC6=0,"",Paramètres!AC6)</f>
        <v/>
      </c>
      <c r="L165" s="598">
        <f>IF(L164&lt;&gt;0,L164+IF(AND(K164&lt;&gt;"",J164&lt;N$163),K164,0),IF(AND(K164&lt;&gt;"",J164&lt;N$163),K164,0))</f>
        <v>0</v>
      </c>
      <c r="M165" s="585" t="str">
        <f>IF(N165&lt;&gt;"/",IF($P$163="Error","Error",$Q$163+L165),"/")</f>
        <v>/</v>
      </c>
      <c r="N165" s="469" t="str">
        <f>IF(P$163="Error","Error",IF(AND($N$163&lt;&gt;"/",$N$163&gt;'Paramètres - Admin'!$A2),'Paramètres - Admin'!$A3,"/"))</f>
        <v>/</v>
      </c>
      <c r="O165" s="86" t="str">
        <f>IF(N165&lt;&gt;"/",VLOOKUP(N165,COST_Seeking_Air_Mine[#All],2),"/")</f>
        <v>/</v>
      </c>
      <c r="P165" s="470" t="str">
        <f>IF(N165&lt;&gt;"/",VLOOKUP(N165,COST_Seeking_Air_Mine[#All],3),"/")</f>
        <v>/</v>
      </c>
      <c r="Q165" s="86">
        <f>IF(P$163="Error","Error",IF(O165&lt;&gt;"/",M165*O165,0))</f>
        <v>0</v>
      </c>
      <c r="R165" s="471">
        <f>IF(P$163="Error","Error",IF(P165&lt;&gt;"/",M165*P165,0))</f>
        <v>0</v>
      </c>
    </row>
    <row r="166" spans="1:51" ht="15" customHeight="1" thickBot="1">
      <c r="A166" s="532" t="s">
        <v>30</v>
      </c>
      <c r="B166" s="535" t="s">
        <v>29</v>
      </c>
      <c r="C166" s="533"/>
      <c r="D166" s="542" t="s">
        <v>29</v>
      </c>
      <c r="E166" s="543" t="s">
        <v>30</v>
      </c>
      <c r="F166" s="544" t="s">
        <v>258</v>
      </c>
      <c r="G166" s="544" t="s">
        <v>259</v>
      </c>
      <c r="H166" s="544" t="s">
        <v>232</v>
      </c>
      <c r="I166" s="545" t="s">
        <v>233</v>
      </c>
      <c r="J166" s="996">
        <v>2</v>
      </c>
      <c r="K166" s="997" t="str">
        <f>IF(Paramètres!AC7=0,"",Paramètres!AC7)</f>
        <v/>
      </c>
      <c r="L166" s="810">
        <f>IF(L165&lt;&gt;0,L165+IF(AND(K165&lt;&gt;"",J165&lt;N$163),K165,0),IF(AND(K165&lt;&gt;"",J165&lt;N$163),K165,0))</f>
        <v>0</v>
      </c>
      <c r="M166" s="586" t="str">
        <f>IF(N166&lt;&gt;"/",IF($P$163="Error","Error",$Q$163+L166),"/")</f>
        <v>/</v>
      </c>
      <c r="N166" s="108" t="str">
        <f>IF(P$163="Error","Error",IF(AND($N$163&lt;&gt;"/",$N$163&gt;'Paramètres - Admin'!$A3),'Paramètres - Admin'!$A4,"/"))</f>
        <v>/</v>
      </c>
      <c r="O166" s="529" t="str">
        <f>IF(N166&lt;&gt;"/",VLOOKUP(N166,COST_Seeking_Air_Mine[#All],2),"/")</f>
        <v>/</v>
      </c>
      <c r="P166" s="94" t="str">
        <f>IF(N166&lt;&gt;"/",VLOOKUP(N166,COST_Seeking_Air_Mine[#All],3),"/")</f>
        <v>/</v>
      </c>
      <c r="Q166" s="529">
        <f>IF(P$163="Error","Error",IF(O166&lt;&gt;"/",M166*O166,0))</f>
        <v>0</v>
      </c>
      <c r="R166" s="534">
        <f>IF(P$163="Error","Error",IF(P166&lt;&gt;"/",M166*P166,0))</f>
        <v>0</v>
      </c>
      <c r="AO166" s="537"/>
      <c r="AP166" s="537"/>
      <c r="AQ166" s="537"/>
      <c r="AR166" s="537"/>
      <c r="AS166" s="537"/>
      <c r="AT166" s="537"/>
      <c r="AU166" s="537"/>
      <c r="AV166" s="537"/>
      <c r="AW166" s="537"/>
      <c r="AX166" s="537"/>
      <c r="AY166" s="537"/>
    </row>
    <row r="167" spans="1:51" ht="15" customHeight="1" thickBot="1">
      <c r="A167" s="278">
        <v>1</v>
      </c>
      <c r="B167" s="1001" t="str">
        <f>IF(Paramètres!Z6=0,"",Paramètres!Z6)</f>
        <v/>
      </c>
      <c r="C167" s="1002">
        <f>IF(C166&lt;&gt;0,C166+IF(AND(B166&lt;&gt;"",A166&lt;E$165),B166,0),IF(AND(B166&lt;&gt;"",A166&lt;E$165),B166,0))</f>
        <v>0</v>
      </c>
      <c r="D167" s="1003" t="str">
        <f>IF(E167&lt;&gt;"/",IF($G$165="Error","Error",$H$165+C167),"/")</f>
        <v>/</v>
      </c>
      <c r="E167" s="1004" t="str">
        <f>IF(G$165="Error","Error",IF(AND($E$165&lt;&gt;"/",$E$165&gt;'Paramètres - Admin'!$A2),'Paramètres - Admin'!$A3,"/"))</f>
        <v>/</v>
      </c>
      <c r="F167" s="1005" t="str">
        <f>IF(E167&lt;&gt;"/",VLOOKUP(E167,COSTS_Spring_Trap[#All],2),"/")</f>
        <v>/</v>
      </c>
      <c r="G167" s="1006" t="str">
        <f>IF(E167&lt;&gt;"/",VLOOKUP(E167,COSTS_Spring_Trap[#All],3),"/")</f>
        <v>/</v>
      </c>
      <c r="H167" s="1005">
        <f>IF(G$165="Error","Error",IF(F167&lt;&gt;"/",D167*F167,0))</f>
        <v>0</v>
      </c>
      <c r="I167" s="1007">
        <f>IF(G$165="Error","Error",IF(G167&lt;&gt;"/",D167*G167,0))</f>
        <v>0</v>
      </c>
      <c r="J167" s="998">
        <v>3</v>
      </c>
      <c r="K167" s="999" t="str">
        <f>IF(Paramètres!AC8=0,"",Paramètres!AC8)</f>
        <v/>
      </c>
      <c r="L167" s="811">
        <f>IF(L166&lt;&gt;0,L166+IF(AND(K166&lt;&gt;"",J166&lt;N$163),K166,0),IF(AND(K166&lt;&gt;"",J166&lt;N$163),K166,0))</f>
        <v>0</v>
      </c>
      <c r="M167" s="587" t="str">
        <f>IF(N167&lt;&gt;"/",IF($P$163="Error","Error",$Q$163+L167),"/")</f>
        <v>/</v>
      </c>
      <c r="N167" s="116" t="str">
        <f>IF(P$163="Error","Error",IF(AND($N$163&lt;&gt;"/",$N$163&gt;'Paramètres - Admin'!$A4),'Paramètres - Admin'!$A5,"/"))</f>
        <v>/</v>
      </c>
      <c r="O167" s="118" t="str">
        <f>IF(N167&lt;&gt;"/",VLOOKUP(N167,COST_Seeking_Air_Mine[#All],2),"/")</f>
        <v>/</v>
      </c>
      <c r="P167" s="114" t="str">
        <f>IF(N167&lt;&gt;"/",VLOOKUP(N167,COST_Seeking_Air_Mine[#All],3),"/")</f>
        <v>/</v>
      </c>
      <c r="Q167" s="118">
        <f>IF(P$163="Error","Error",IF(O167&lt;&gt;"/",M167*O167,0))</f>
        <v>0</v>
      </c>
      <c r="R167" s="117">
        <f>IF(P$163="Error","Error",IF(P167&lt;&gt;"/",M167*P167,0))</f>
        <v>0</v>
      </c>
      <c r="AO167" s="537"/>
      <c r="AP167" s="537"/>
      <c r="AQ167" s="537"/>
      <c r="AR167" s="537"/>
      <c r="AS167" s="537"/>
      <c r="AT167" s="537"/>
      <c r="AU167" s="537"/>
      <c r="AV167" s="537"/>
      <c r="AW167" s="537"/>
      <c r="AX167" s="537"/>
      <c r="AY167" s="537"/>
    </row>
    <row r="168" spans="1:51" s="537" customFormat="1" ht="15" customHeight="1" thickBot="1">
      <c r="A168" s="964"/>
      <c r="B168" s="965"/>
      <c r="C168" s="965"/>
      <c r="D168" s="965"/>
      <c r="E168" s="965"/>
      <c r="F168" s="966"/>
      <c r="G168" s="278" t="s">
        <v>31</v>
      </c>
      <c r="H168" s="104">
        <f>IF(G$165="Error","Error",SUM(H167:H167))</f>
        <v>0</v>
      </c>
      <c r="I168" s="597">
        <f>IF(G$165="Error","Error",SUM(I167:I167))</f>
        <v>0</v>
      </c>
      <c r="J168" s="964"/>
      <c r="K168" s="965"/>
      <c r="L168" s="965"/>
      <c r="M168" s="965"/>
      <c r="N168" s="965"/>
      <c r="O168" s="966"/>
      <c r="P168" s="278" t="s">
        <v>31</v>
      </c>
      <c r="Q168" s="104">
        <f>IF(P$163="Error","Error",SUM(Q165:Q167))</f>
        <v>0</v>
      </c>
      <c r="R168" s="597">
        <f>IF(P$163="Error","Error",SUM(R165:R167))</f>
        <v>0</v>
      </c>
    </row>
    <row r="169" spans="1:51" s="537" customFormat="1" ht="15" customHeight="1">
      <c r="A169" s="1104" t="s">
        <v>558</v>
      </c>
      <c r="B169" s="1109"/>
      <c r="C169" s="1110"/>
      <c r="D169" s="524" t="s">
        <v>38</v>
      </c>
      <c r="E169" s="525" t="s">
        <v>39</v>
      </c>
      <c r="F169" s="539"/>
      <c r="G169" s="524" t="s">
        <v>256</v>
      </c>
      <c r="H169" s="526" t="s">
        <v>361</v>
      </c>
      <c r="I169" s="525" t="s">
        <v>257</v>
      </c>
      <c r="J169" s="1104" t="s">
        <v>564</v>
      </c>
      <c r="K169" s="1109"/>
      <c r="L169" s="1110"/>
      <c r="M169" s="524" t="s">
        <v>38</v>
      </c>
      <c r="N169" s="525" t="s">
        <v>39</v>
      </c>
      <c r="O169" s="539"/>
      <c r="P169" s="524" t="s">
        <v>256</v>
      </c>
      <c r="Q169" s="526" t="s">
        <v>361</v>
      </c>
      <c r="R169" s="525" t="s">
        <v>257</v>
      </c>
    </row>
    <row r="170" spans="1:51" s="537" customFormat="1" ht="15" customHeight="1" thickBot="1">
      <c r="A170" s="1101"/>
      <c r="B170" s="1102"/>
      <c r="C170" s="1103"/>
      <c r="D170" s="527">
        <f>VLOOKUP($A$2,AVAILABLE_Traps[#All],MATCH(A169,AVAILABLE_Traps[#Headers],0))</f>
        <v>0</v>
      </c>
      <c r="E170" s="528">
        <f>VLOOKUP($A$2,AVAILABLE_Traps[#All],MATCH(A169,AVAILABLE_Traps[#Headers],0)+1)</f>
        <v>0</v>
      </c>
      <c r="F170" s="540"/>
      <c r="G170" s="530">
        <f>IF(SUM(B172:B175)&gt;D170,"Error",SUM(B172:B175))</f>
        <v>0</v>
      </c>
      <c r="H170" s="531">
        <f>IF(G$170="Error","Error",D170-G170)</f>
        <v>0</v>
      </c>
      <c r="I170" s="538">
        <f>IF(G$170="Error","Error",SUM(D172:D175))</f>
        <v>0</v>
      </c>
      <c r="J170" s="1101"/>
      <c r="K170" s="1102"/>
      <c r="L170" s="1103"/>
      <c r="M170" s="527">
        <f>VLOOKUP($A$2,AVAILABLE_Traps[#All],MATCH(J169,AVAILABLE_Traps[#Headers],0))</f>
        <v>0</v>
      </c>
      <c r="N170" s="528">
        <f>VLOOKUP($A$2,AVAILABLE_Traps[#All],MATCH(J169,AVAILABLE_Traps[#Headers],0)+1)</f>
        <v>0</v>
      </c>
      <c r="O170" s="540"/>
      <c r="P170" s="530">
        <f>IF(SUM(K172:K174)&gt;M170,"Error",SUM(K172:K174))</f>
        <v>0</v>
      </c>
      <c r="Q170" s="531">
        <f>IF(P$170="Error","Error",M170-P170)</f>
        <v>0</v>
      </c>
      <c r="R170" s="538">
        <f>IF(P$170="Error","Error",SUM(M172:M174))</f>
        <v>0</v>
      </c>
    </row>
    <row r="171" spans="1:51" s="537" customFormat="1" ht="15" customHeight="1" thickBot="1">
      <c r="A171" s="532" t="s">
        <v>30</v>
      </c>
      <c r="B171" s="535" t="s">
        <v>29</v>
      </c>
      <c r="C171" s="533"/>
      <c r="D171" s="542" t="s">
        <v>29</v>
      </c>
      <c r="E171" s="543" t="s">
        <v>30</v>
      </c>
      <c r="F171" s="544" t="s">
        <v>258</v>
      </c>
      <c r="G171" s="544" t="s">
        <v>259</v>
      </c>
      <c r="H171" s="544" t="s">
        <v>232</v>
      </c>
      <c r="I171" s="545" t="s">
        <v>233</v>
      </c>
      <c r="J171" s="532" t="s">
        <v>30</v>
      </c>
      <c r="K171" s="535" t="s">
        <v>29</v>
      </c>
      <c r="L171" s="533"/>
      <c r="M171" s="542" t="s">
        <v>29</v>
      </c>
      <c r="N171" s="543" t="s">
        <v>30</v>
      </c>
      <c r="O171" s="544" t="s">
        <v>258</v>
      </c>
      <c r="P171" s="544" t="s">
        <v>259</v>
      </c>
      <c r="Q171" s="544" t="s">
        <v>232</v>
      </c>
      <c r="R171" s="545" t="s">
        <v>233</v>
      </c>
    </row>
    <row r="172" spans="1:51" s="537" customFormat="1" ht="15" customHeight="1">
      <c r="A172" s="524">
        <v>1</v>
      </c>
      <c r="B172" s="995" t="str">
        <f>IF(Paramètres!AA6=0,"",Paramètres!AA6)</f>
        <v/>
      </c>
      <c r="C172" s="598">
        <f>IF(C171&lt;&gt;0,C171+IF(AND(B171&lt;&gt;"",A171&lt;E$170),B171,0),IF(AND(B171&lt;&gt;"",A171&lt;E$170),B171,0))</f>
        <v>0</v>
      </c>
      <c r="D172" s="585" t="str">
        <f>IF(E172&lt;&gt;"/",IF($G$170="Error","Error",$H$170+C172),"/")</f>
        <v>/</v>
      </c>
      <c r="E172" s="469" t="str">
        <f>IF(G$170="Error","Error",IF(AND($E$170&lt;&gt;"/",$E$170&gt;'Paramètres - Admin'!$A2),'Paramètres - Admin'!$A3,"/"))</f>
        <v>/</v>
      </c>
      <c r="F172" s="86" t="str">
        <f>IF(E172&lt;&gt;"/",VLOOKUP(E172,COSTS_Giant_Bomb[#All],2),"/")</f>
        <v>/</v>
      </c>
      <c r="G172" s="470" t="str">
        <f>IF(E172&lt;&gt;"/",VLOOKUP(E172,COSTS_Giant_Bomb[#All],3),"/")</f>
        <v>/</v>
      </c>
      <c r="H172" s="86">
        <f>IF(G$170="Error","Error",IF(F172&lt;&gt;"/",D172*F172,0))</f>
        <v>0</v>
      </c>
      <c r="I172" s="471">
        <f>IF(G$170="Error","Error",IF(G172&lt;&gt;"/",D172*G172,0))</f>
        <v>0</v>
      </c>
      <c r="J172" s="524">
        <v>1</v>
      </c>
      <c r="K172" s="995" t="str">
        <f>IF(Paramètres!AD6=0,"",Paramètres!AD6)</f>
        <v/>
      </c>
      <c r="L172" s="598">
        <f>IF(L171&lt;&gt;0,L171+IF(AND(K171&lt;&gt;"",J171&lt;N$170),K171,0),IF(AND(K171&lt;&gt;"",J171&lt;N$170),K171,0))</f>
        <v>0</v>
      </c>
      <c r="M172" s="585" t="str">
        <f>IF(N172&lt;&gt;"/",IF($P$170="Error","Error",$Q$170+L172),"/")</f>
        <v>/</v>
      </c>
      <c r="N172" s="469" t="str">
        <f>IF(P$170="Error","Error",IF(AND($N$170&lt;&gt;"/",$N$170&gt;'Paramètres - Admin'!$A2),'Paramètres - Admin'!$A3,"/"))</f>
        <v>/</v>
      </c>
      <c r="O172" s="86" t="str">
        <f>IF(N172&lt;&gt;"/",VLOOKUP(N172,COST_Skeleton_Trap[#All],2),"/")</f>
        <v>/</v>
      </c>
      <c r="P172" s="470" t="str">
        <f>IF(N172&lt;&gt;"/",VLOOKUP(N172,COST_Skeleton_Trap[#All],3),"/")</f>
        <v>/</v>
      </c>
      <c r="Q172" s="86">
        <f>IF(P$170="Error","Error",IF(O172&lt;&gt;"/",M172*O172,0))</f>
        <v>0</v>
      </c>
      <c r="R172" s="471">
        <f>IF(P$170="Error","Error",IF(P172&lt;&gt;"/",M172*P172,0))</f>
        <v>0</v>
      </c>
    </row>
    <row r="173" spans="1:51" s="537" customFormat="1" ht="15" customHeight="1">
      <c r="A173" s="996">
        <v>2</v>
      </c>
      <c r="B173" s="997" t="str">
        <f>IF(Paramètres!AA7=0,"",Paramètres!AA7)</f>
        <v/>
      </c>
      <c r="C173" s="810">
        <f>IF(C172&lt;&gt;0,C172+IF(AND(B172&lt;&gt;"",A172&lt;E$170),B172,0),IF(AND(B172&lt;&gt;"",A172&lt;E$170),B172,0))</f>
        <v>0</v>
      </c>
      <c r="D173" s="586" t="str">
        <f>IF(E173&lt;&gt;"/",IF($G$170="Error","Error",$H$170+C173),"/")</f>
        <v>/</v>
      </c>
      <c r="E173" s="108" t="str">
        <f>IF(G$170="Error","Error",IF(AND($E$170&lt;&gt;"/",$E$170&gt;'Paramètres - Admin'!$A3),'Paramètres - Admin'!$A4,"/"))</f>
        <v>/</v>
      </c>
      <c r="F173" s="529" t="str">
        <f>IF(E173&lt;&gt;"/",VLOOKUP(E173,COSTS_Giant_Bomb[#All],2),"/")</f>
        <v>/</v>
      </c>
      <c r="G173" s="94" t="str">
        <f>IF(E173&lt;&gt;"/",VLOOKUP(E173,COSTS_Giant_Bomb[#All],3),"/")</f>
        <v>/</v>
      </c>
      <c r="H173" s="529">
        <f>IF(G$170="Error","Error",IF(F173&lt;&gt;"/",D173*F173,0))</f>
        <v>0</v>
      </c>
      <c r="I173" s="534">
        <f>IF(G$170="Error","Error",IF(G173&lt;&gt;"/",D173*G173,0))</f>
        <v>0</v>
      </c>
      <c r="J173" s="996">
        <v>2</v>
      </c>
      <c r="K173" s="997" t="str">
        <f>IF(Paramètres!AD7=0,"",Paramètres!AD7)</f>
        <v/>
      </c>
      <c r="L173" s="810">
        <f>IF(L172&lt;&gt;0,L172+IF(AND(K172&lt;&gt;"",J172&lt;N$170),K172,0),IF(AND(K172&lt;&gt;"",J172&lt;N$170),K172,0))</f>
        <v>0</v>
      </c>
      <c r="M173" s="586" t="str">
        <f>IF(N173&lt;&gt;"/",IF($P$170="Error","Error",$Q$170+L173),"/")</f>
        <v>/</v>
      </c>
      <c r="N173" s="108" t="str">
        <f>IF(P$170="Error","Error",IF(AND($N$170&lt;&gt;"/",$N$170&gt;'Paramètres - Admin'!$A3),'Paramètres - Admin'!$A4,"/"))</f>
        <v>/</v>
      </c>
      <c r="O173" s="529" t="str">
        <f>IF(N173&lt;&gt;"/",VLOOKUP(N173,COST_Skeleton_Trap[#All],2),"/")</f>
        <v>/</v>
      </c>
      <c r="P173" s="94" t="str">
        <f>IF(N173&lt;&gt;"/",VLOOKUP(N173,COST_Skeleton_Trap[#All],3),"/")</f>
        <v>/</v>
      </c>
      <c r="Q173" s="529">
        <f>IF(P$170="Error","Error",IF(O173&lt;&gt;"/",M173*O173,0))</f>
        <v>0</v>
      </c>
      <c r="R173" s="534">
        <f>IF(P$170="Error","Error",IF(P173&lt;&gt;"/",M173*P173,0))</f>
        <v>0</v>
      </c>
    </row>
    <row r="174" spans="1:51" s="537" customFormat="1" ht="15" customHeight="1" thickBot="1">
      <c r="A174" s="996">
        <v>3</v>
      </c>
      <c r="B174" s="997" t="str">
        <f>IF(Paramètres!AA8=0,"",Paramètres!AA8)</f>
        <v/>
      </c>
      <c r="C174" s="810">
        <f>IF(C173&lt;&gt;0,C173+IF(AND(B173&lt;&gt;"",A173&lt;E$170),B173,0),IF(AND(B173&lt;&gt;"",A173&lt;E$170),B173,0))</f>
        <v>0</v>
      </c>
      <c r="D174" s="586" t="str">
        <f>IF(E174&lt;&gt;"/",IF($G$170="Error","Error",$H$170+C174),"/")</f>
        <v>/</v>
      </c>
      <c r="E174" s="108" t="str">
        <f>IF(G$170="Error","Error",IF(AND($E$170&lt;&gt;"/",$E$170&gt;'Paramètres - Admin'!$A4),'Paramètres - Admin'!$A5,"/"))</f>
        <v>/</v>
      </c>
      <c r="F174" s="529" t="str">
        <f>IF(E174&lt;&gt;"/",VLOOKUP(E174,COSTS_Giant_Bomb[#All],2),"/")</f>
        <v>/</v>
      </c>
      <c r="G174" s="94" t="str">
        <f>IF(E174&lt;&gt;"/",VLOOKUP(E174,COSTS_Giant_Bomb[#All],3),"/")</f>
        <v>/</v>
      </c>
      <c r="H174" s="529">
        <f>IF(G$170="Error","Error",IF(F174&lt;&gt;"/",D174*F174,0))</f>
        <v>0</v>
      </c>
      <c r="I174" s="534">
        <f>IF(G$170="Error","Error",IF(G174&lt;&gt;"/",D174*G174,0))</f>
        <v>0</v>
      </c>
      <c r="J174" s="998">
        <v>3</v>
      </c>
      <c r="K174" s="999" t="str">
        <f>IF(Paramètres!AD8=0,"",Paramètres!AD8)</f>
        <v/>
      </c>
      <c r="L174" s="811">
        <f>IF(L173&lt;&gt;0,L173+IF(AND(K173&lt;&gt;"",J173&lt;N$170),K173,0),IF(AND(K173&lt;&gt;"",J173&lt;N$170),K173,0))</f>
        <v>0</v>
      </c>
      <c r="M174" s="587" t="str">
        <f>IF(N174&lt;&gt;"/",IF($P$170="Error","Error",$Q$170+L174),"/")</f>
        <v>/</v>
      </c>
      <c r="N174" s="116" t="str">
        <f>IF(P$170="Error","Error",IF(AND($N$170&lt;&gt;"/",$N$170&gt;'Paramètres - Admin'!$A4),'Paramètres - Admin'!$A5,"/"))</f>
        <v>/</v>
      </c>
      <c r="O174" s="118" t="str">
        <f>IF(N174&lt;&gt;"/",VLOOKUP(N174,COST_Skeleton_Trap[#All],2),"/")</f>
        <v>/</v>
      </c>
      <c r="P174" s="114" t="str">
        <f>IF(N174&lt;&gt;"/",VLOOKUP(N174,COST_Skeleton_Trap[#All],3),"/")</f>
        <v>/</v>
      </c>
      <c r="Q174" s="118">
        <f>IF(P$170="Error","Error",IF(O174&lt;&gt;"/",M174*O174,0))</f>
        <v>0</v>
      </c>
      <c r="R174" s="117">
        <f>IF(P$170="Error","Error",IF(P174&lt;&gt;"/",M174*P174,0))</f>
        <v>0</v>
      </c>
    </row>
    <row r="175" spans="1:51" s="537" customFormat="1" ht="15" customHeight="1" thickBot="1">
      <c r="A175" s="998">
        <v>4</v>
      </c>
      <c r="B175" s="999" t="str">
        <f>IF(Paramètres!AA9=0,"",Paramètres!AA9)</f>
        <v/>
      </c>
      <c r="C175" s="811">
        <f>IF(C174&lt;&gt;0,C174+IF(AND(B174&lt;&gt;"",A174&lt;E$170),B174,0),IF(AND(B174&lt;&gt;"",A174&lt;E$170),B174,0))</f>
        <v>0</v>
      </c>
      <c r="D175" s="587" t="str">
        <f>IF(E175&lt;&gt;"/",IF($G$170="Error","Error",$H$170+C175),"/")</f>
        <v>/</v>
      </c>
      <c r="E175" s="116" t="str">
        <f>IF(G$170="Error","Error",IF(AND($E$170&lt;&gt;"/",$E$170&gt;'Paramètres - Admin'!$A5),'Paramètres - Admin'!$A6,"/"))</f>
        <v>/</v>
      </c>
      <c r="F175" s="118" t="str">
        <f>IF(E175&lt;&gt;"/",VLOOKUP(E175,COSTS_Giant_Bomb[#All],2),"/")</f>
        <v>/</v>
      </c>
      <c r="G175" s="114" t="str">
        <f>IF(E175&lt;&gt;"/",VLOOKUP(E175,COSTS_Giant_Bomb[#All],3),"/")</f>
        <v>/</v>
      </c>
      <c r="H175" s="118">
        <f>IF(G$170="Error","Error",IF(F175&lt;&gt;"/",D175*F175,0))</f>
        <v>0</v>
      </c>
      <c r="I175" s="117">
        <f>IF(G$170="Error","Error",IF(G175&lt;&gt;"/",D175*G175,0))</f>
        <v>0</v>
      </c>
      <c r="J175" s="964"/>
      <c r="K175" s="965"/>
      <c r="L175" s="965"/>
      <c r="M175" s="965"/>
      <c r="N175" s="965"/>
      <c r="O175" s="966"/>
      <c r="P175" s="278" t="s">
        <v>31</v>
      </c>
      <c r="Q175" s="104">
        <f>IF(P$170="Error","Error",SUM(Q172:Q174))</f>
        <v>0</v>
      </c>
      <c r="R175" s="597">
        <f>IF(P$170="Error","Error",SUM(R172:R174))</f>
        <v>0</v>
      </c>
    </row>
    <row r="176" spans="1:51" s="537" customFormat="1" ht="15" customHeight="1" thickBot="1">
      <c r="A176" s="964"/>
      <c r="B176" s="965"/>
      <c r="C176" s="965"/>
      <c r="D176" s="965"/>
      <c r="E176" s="965"/>
      <c r="F176" s="966"/>
      <c r="G176" s="278" t="s">
        <v>31</v>
      </c>
      <c r="H176" s="104">
        <f>IF(G$170="Error","Error",SUM(H172:H175))</f>
        <v>0</v>
      </c>
      <c r="I176" s="597">
        <f>IF(G$170="Error","Error",SUM(I172:I175))</f>
        <v>0</v>
      </c>
      <c r="L176" s="131"/>
      <c r="M176" s="131"/>
      <c r="N176" s="131"/>
      <c r="O176" s="131"/>
      <c r="P176" s="131"/>
      <c r="Q176" s="131"/>
      <c r="R176" s="131"/>
      <c r="S176" s="131"/>
      <c r="T176" s="131"/>
      <c r="U176" s="131"/>
      <c r="V176" s="131"/>
    </row>
    <row r="177" spans="1:51" s="537" customFormat="1" ht="15" customHeight="1" thickBot="1"/>
    <row r="178" spans="1:51" s="537" customFormat="1" ht="19.5" customHeight="1" thickBot="1">
      <c r="A178" s="1096" t="s">
        <v>180</v>
      </c>
      <c r="B178" s="1097"/>
      <c r="C178" s="1097"/>
      <c r="D178" s="1097"/>
      <c r="E178" s="1097"/>
      <c r="F178" s="1097"/>
      <c r="G178" s="1097"/>
      <c r="H178" s="1097"/>
      <c r="I178" s="1097"/>
      <c r="J178" s="1097"/>
      <c r="K178" s="1097"/>
      <c r="L178" s="1097"/>
      <c r="M178" s="1097"/>
      <c r="N178" s="1097"/>
      <c r="O178" s="1097"/>
      <c r="P178" s="1097"/>
      <c r="Q178" s="1097"/>
      <c r="R178" s="1097"/>
    </row>
    <row r="179" spans="1:51" s="537" customFormat="1" ht="15" customHeight="1">
      <c r="A179" s="1104" t="s">
        <v>198</v>
      </c>
      <c r="B179" s="1109"/>
      <c r="C179" s="1110"/>
      <c r="D179" s="80" t="s">
        <v>38</v>
      </c>
      <c r="E179" s="81" t="s">
        <v>39</v>
      </c>
      <c r="F179" s="82"/>
      <c r="G179" s="524" t="s">
        <v>256</v>
      </c>
      <c r="H179" s="526" t="s">
        <v>361</v>
      </c>
      <c r="I179" s="525" t="s">
        <v>257</v>
      </c>
      <c r="J179" s="1104" t="s">
        <v>197</v>
      </c>
      <c r="K179" s="1109"/>
      <c r="L179" s="1110"/>
      <c r="M179" s="80" t="s">
        <v>38</v>
      </c>
      <c r="N179" s="81" t="s">
        <v>39</v>
      </c>
      <c r="O179" s="82"/>
      <c r="P179" s="524" t="s">
        <v>256</v>
      </c>
      <c r="Q179" s="526" t="s">
        <v>361</v>
      </c>
      <c r="R179" s="525" t="s">
        <v>257</v>
      </c>
    </row>
    <row r="180" spans="1:51" s="537" customFormat="1" ht="15" customHeight="1" thickBot="1">
      <c r="A180" s="1101"/>
      <c r="B180" s="1102"/>
      <c r="C180" s="1103"/>
      <c r="D180" s="527">
        <f>VLOOKUP($A$2,AVAILABLE_Buildings_Other[#All],MATCH(A179,AVAILABLE_Buildings_Other[#Headers],0))</f>
        <v>0</v>
      </c>
      <c r="E180" s="528">
        <f>VLOOKUP($A$2,AVAILABLE_Buildings_Other[#All],MATCH(A179,AVAILABLE_Buildings_Other[#Headers],0)+1)</f>
        <v>0</v>
      </c>
      <c r="F180" s="205"/>
      <c r="G180" s="96">
        <f>IF(SUM(B182:B187)&gt;D180,"Error",SUM(B182:B187))</f>
        <v>0</v>
      </c>
      <c r="H180" s="97">
        <f>IF(G$180="Error","Error",D180-G180)</f>
        <v>0</v>
      </c>
      <c r="I180" s="206">
        <f>IF(G$180="Error","Error",SUM(D182:D187))</f>
        <v>0</v>
      </c>
      <c r="J180" s="1101"/>
      <c r="K180" s="1102"/>
      <c r="L180" s="1103"/>
      <c r="M180" s="88">
        <f>VLOOKUP($A$2,AVAILABLE_Buildings_Other[#All],MATCH(J179,AVAILABLE_Buildings_Other[#Headers],0))</f>
        <v>1</v>
      </c>
      <c r="N180" s="89">
        <f>VLOOKUP($A$2,AVAILABLE_Buildings_Other[#All],MATCH(J179,AVAILABLE_Buildings_Other[#Headers],0)+1)</f>
        <v>3</v>
      </c>
      <c r="O180" s="205"/>
      <c r="P180" s="96">
        <f>IF(SUM(K182:K192)&gt;M180,"Error",SUM(K182:K192))</f>
        <v>1</v>
      </c>
      <c r="Q180" s="97">
        <f>IF(P$180="Error","Error",M180-P180)</f>
        <v>0</v>
      </c>
      <c r="R180" s="206">
        <f>IF(P$180="Error","Error",SUM(M182:M191))</f>
        <v>1</v>
      </c>
    </row>
    <row r="181" spans="1:51" s="537" customFormat="1" ht="15" customHeight="1" thickBot="1">
      <c r="A181" s="99" t="s">
        <v>30</v>
      </c>
      <c r="B181" s="100" t="s">
        <v>29</v>
      </c>
      <c r="C181" s="578"/>
      <c r="D181" s="467" t="s">
        <v>29</v>
      </c>
      <c r="E181" s="468" t="s">
        <v>30</v>
      </c>
      <c r="F181" s="230" t="s">
        <v>258</v>
      </c>
      <c r="G181" s="230" t="s">
        <v>259</v>
      </c>
      <c r="H181" s="230" t="s">
        <v>232</v>
      </c>
      <c r="I181" s="231" t="s">
        <v>233</v>
      </c>
      <c r="J181" s="208" t="s">
        <v>30</v>
      </c>
      <c r="K181" s="100" t="s">
        <v>29</v>
      </c>
      <c r="L181" s="578"/>
      <c r="M181" s="467" t="s">
        <v>29</v>
      </c>
      <c r="N181" s="468" t="s">
        <v>30</v>
      </c>
      <c r="O181" s="230" t="s">
        <v>258</v>
      </c>
      <c r="P181" s="230" t="s">
        <v>259</v>
      </c>
      <c r="Q181" s="230" t="s">
        <v>232</v>
      </c>
      <c r="R181" s="231" t="s">
        <v>233</v>
      </c>
    </row>
    <row r="182" spans="1:51" s="537" customFormat="1" ht="15" customHeight="1">
      <c r="A182" s="524">
        <v>1</v>
      </c>
      <c r="B182" s="995" t="str">
        <f>IF(Paramètres!AE6=0,"",Paramètres!AE6)</f>
        <v/>
      </c>
      <c r="C182" s="598">
        <f t="shared" ref="C182:C187" si="76">IF(C181&lt;&gt;0,C181+IF(AND(B181&lt;&gt;"",A181&lt;E$180),B181,0),IF(AND(B181&lt;&gt;"",A181&lt;E$180),B181,0))</f>
        <v>0</v>
      </c>
      <c r="D182" s="585" t="str">
        <f t="shared" ref="D182:D187" si="77">IF(E182&lt;&gt;"/",IF(G$180="Error","Error",$H$180+C182),"/")</f>
        <v>/</v>
      </c>
      <c r="E182" s="469" t="str">
        <f>IF(G$180="Error","Error",IF(AND($E$180&lt;&gt;"/",$E$180&gt;'Paramètres - Admin'!$A2),'Paramètres - Admin'!$A3,"/"))</f>
        <v>/</v>
      </c>
      <c r="F182" s="86" t="str">
        <f>IF(E182&lt;&gt;"/",VLOOKUP(E182,COSTS_Clan_Castle[#All],2),"/")</f>
        <v>/</v>
      </c>
      <c r="G182" s="470" t="str">
        <f>IF(E182&lt;&gt;"/",VLOOKUP(E182,COSTS_Clan_Castle[#All],3),"/")</f>
        <v>/</v>
      </c>
      <c r="H182" s="86">
        <f t="shared" ref="H182:H187" si="78">IF(G$180="Error","Error",IF(F182&lt;&gt;"/",D182*F182,0))</f>
        <v>0</v>
      </c>
      <c r="I182" s="471">
        <f t="shared" ref="I182:I187" si="79">IF(G$180="Error","Error",IF(G182&lt;&gt;"/",D182*G182,0))</f>
        <v>0</v>
      </c>
      <c r="J182" s="524">
        <v>1</v>
      </c>
      <c r="K182" s="995" t="str">
        <f>IF(Paramètres!AF6=0,"",Paramètres!AF6)</f>
        <v/>
      </c>
      <c r="L182" s="598">
        <f t="shared" ref="L182:L192" si="80">IF(L181&lt;&gt;0,L181+IF(AND(K181&lt;&gt;"",J181&lt;N$180),K181,0),IF(AND(K181&lt;&gt;"",J181&lt;N$180),K181,0))</f>
        <v>0</v>
      </c>
      <c r="M182" s="585">
        <f t="shared" ref="M182:M192" si="81">IF(N182&lt;&gt;"/",IF(P$180="Error","Error",$Q$180+L182),"/")</f>
        <v>0</v>
      </c>
      <c r="N182" s="469">
        <f>IF(P$180="Error","Error",IF(AND($N$180&lt;&gt;"/",$N$180&gt;'Paramètres - Admin'!$A2),'Paramètres - Admin'!$A3,"/"))</f>
        <v>1</v>
      </c>
      <c r="O182" s="86">
        <f>IF(N182&lt;&gt;"/",VLOOKUP(N182,COSTS_Town_Home[#All],2),"/")</f>
        <v>0</v>
      </c>
      <c r="P182" s="470">
        <f>IF(N182&lt;&gt;"/",VLOOKUP(N182,COSTS_Town_Home[#All],3),"/")</f>
        <v>0</v>
      </c>
      <c r="Q182" s="86">
        <f t="shared" ref="Q182:Q192" si="82">IF(P$180="Error","Error",IF(O182&lt;&gt;"/",M182*O182,0))</f>
        <v>0</v>
      </c>
      <c r="R182" s="471">
        <f t="shared" ref="R182:R192" si="83">IF(P$180="Error","Error",IF(P182&lt;&gt;"/",M182*P182,0))</f>
        <v>0</v>
      </c>
    </row>
    <row r="183" spans="1:51" s="537" customFormat="1" ht="15" customHeight="1">
      <c r="A183" s="996">
        <v>2</v>
      </c>
      <c r="B183" s="997" t="str">
        <f>IF(Paramètres!AE7=0,"",Paramètres!AE7)</f>
        <v/>
      </c>
      <c r="C183" s="810">
        <f t="shared" si="76"/>
        <v>0</v>
      </c>
      <c r="D183" s="586" t="str">
        <f t="shared" si="77"/>
        <v>/</v>
      </c>
      <c r="E183" s="108" t="str">
        <f>IF(G$180="Error","Error",IF(AND($E$180&lt;&gt;"/",$E$180&gt;'Paramètres - Admin'!$A3),'Paramètres - Admin'!$A4,"/"))</f>
        <v>/</v>
      </c>
      <c r="F183" s="529" t="str">
        <f>IF(E183&lt;&gt;"/",VLOOKUP(E183,COSTS_Clan_Castle[#All],2),"/")</f>
        <v>/</v>
      </c>
      <c r="G183" s="94" t="str">
        <f>IF(E183&lt;&gt;"/",VLOOKUP(E183,COSTS_Clan_Castle[#All],3),"/")</f>
        <v>/</v>
      </c>
      <c r="H183" s="529">
        <f t="shared" si="78"/>
        <v>0</v>
      </c>
      <c r="I183" s="534">
        <f t="shared" si="79"/>
        <v>0</v>
      </c>
      <c r="J183" s="996">
        <v>2</v>
      </c>
      <c r="K183" s="997">
        <f>IF(Paramètres!AF7=0,"",Paramètres!AF7)</f>
        <v>1</v>
      </c>
      <c r="L183" s="810">
        <f t="shared" si="80"/>
        <v>0</v>
      </c>
      <c r="M183" s="586">
        <f t="shared" si="81"/>
        <v>0</v>
      </c>
      <c r="N183" s="108">
        <f>IF(P$180="Error","Error",IF(AND($N$180&lt;&gt;"/",$N$180&gt;'Paramètres - Admin'!$A3),'Paramètres - Admin'!$A4,"/"))</f>
        <v>2</v>
      </c>
      <c r="O183" s="529">
        <f>IF(N183&lt;&gt;"/",VLOOKUP(N183,COSTS_Town_Home[#All],2),"/")</f>
        <v>1000</v>
      </c>
      <c r="P183" s="94">
        <f>IF(N183&lt;&gt;"/",VLOOKUP(N183,COSTS_Town_Home[#All],3),"/")</f>
        <v>8.3333333333333329E-2</v>
      </c>
      <c r="Q183" s="529">
        <f t="shared" si="82"/>
        <v>0</v>
      </c>
      <c r="R183" s="534">
        <f t="shared" si="83"/>
        <v>0</v>
      </c>
    </row>
    <row r="184" spans="1:51" s="537" customFormat="1" ht="15" customHeight="1">
      <c r="A184" s="996">
        <v>3</v>
      </c>
      <c r="B184" s="997" t="str">
        <f>IF(Paramètres!AE8=0,"",Paramètres!AE8)</f>
        <v/>
      </c>
      <c r="C184" s="810">
        <f t="shared" si="76"/>
        <v>0</v>
      </c>
      <c r="D184" s="586" t="str">
        <f t="shared" si="77"/>
        <v>/</v>
      </c>
      <c r="E184" s="108" t="str">
        <f>IF(G$180="Error","Error",IF(AND($E$180&lt;&gt;"/",$E$180&gt;'Paramètres - Admin'!$A4),'Paramètres - Admin'!$A5,"/"))</f>
        <v>/</v>
      </c>
      <c r="F184" s="529" t="str">
        <f>IF(E184&lt;&gt;"/",VLOOKUP(E184,COSTS_Clan_Castle[#All],2),"/")</f>
        <v>/</v>
      </c>
      <c r="G184" s="94" t="str">
        <f>IF(E184&lt;&gt;"/",VLOOKUP(E184,COSTS_Clan_Castle[#All],3),"/")</f>
        <v>/</v>
      </c>
      <c r="H184" s="529">
        <f t="shared" si="78"/>
        <v>0</v>
      </c>
      <c r="I184" s="534">
        <f t="shared" si="79"/>
        <v>0</v>
      </c>
      <c r="J184" s="996">
        <v>3</v>
      </c>
      <c r="K184" s="997" t="str">
        <f>IF(Paramètres!AF8=0,"",Paramètres!AF8)</f>
        <v/>
      </c>
      <c r="L184" s="810">
        <f t="shared" si="80"/>
        <v>1</v>
      </c>
      <c r="M184" s="586">
        <f t="shared" si="81"/>
        <v>1</v>
      </c>
      <c r="N184" s="108">
        <f>IF(P$180="Error","Error",IF(AND($N$180&lt;&gt;"/",$N$180&gt;'Paramètres - Admin'!$A4),'Paramètres - Admin'!$A5,"/"))</f>
        <v>3</v>
      </c>
      <c r="O184" s="529">
        <f>IF(N184&lt;&gt;"/",VLOOKUP(N184,COSTS_Town_Home[#All],2),"/")</f>
        <v>4000</v>
      </c>
      <c r="P184" s="94">
        <f>IF(N184&lt;&gt;"/",VLOOKUP(N184,COSTS_Town_Home[#All],3),"/")</f>
        <v>3</v>
      </c>
      <c r="Q184" s="529">
        <f t="shared" si="82"/>
        <v>4000</v>
      </c>
      <c r="R184" s="534">
        <f t="shared" si="83"/>
        <v>3</v>
      </c>
    </row>
    <row r="185" spans="1:51" s="537" customFormat="1" ht="15" customHeight="1">
      <c r="A185" s="996">
        <v>4</v>
      </c>
      <c r="B185" s="997" t="str">
        <f>IF(Paramètres!AE9=0,"",Paramètres!AE9)</f>
        <v/>
      </c>
      <c r="C185" s="810">
        <f t="shared" si="76"/>
        <v>0</v>
      </c>
      <c r="D185" s="586" t="str">
        <f t="shared" si="77"/>
        <v>/</v>
      </c>
      <c r="E185" s="108" t="str">
        <f>IF(G$180="Error","Error",IF(AND($E$180&lt;&gt;"/",$E$180&gt;'Paramètres - Admin'!$A5),'Paramètres - Admin'!$A6,"/"))</f>
        <v>/</v>
      </c>
      <c r="F185" s="529" t="str">
        <f>IF(E185&lt;&gt;"/",VLOOKUP(E185,COSTS_Clan_Castle[#All],2),"/")</f>
        <v>/</v>
      </c>
      <c r="G185" s="94" t="str">
        <f>IF(E185&lt;&gt;"/",VLOOKUP(E185,COSTS_Clan_Castle[#All],3),"/")</f>
        <v>/</v>
      </c>
      <c r="H185" s="529">
        <f t="shared" si="78"/>
        <v>0</v>
      </c>
      <c r="I185" s="534">
        <f t="shared" si="79"/>
        <v>0</v>
      </c>
      <c r="J185" s="996">
        <v>4</v>
      </c>
      <c r="K185" s="997" t="str">
        <f>IF(Paramètres!AF9=0,"",Paramètres!AF9)</f>
        <v/>
      </c>
      <c r="L185" s="810">
        <f t="shared" si="80"/>
        <v>1</v>
      </c>
      <c r="M185" s="586" t="str">
        <f t="shared" si="81"/>
        <v>/</v>
      </c>
      <c r="N185" s="108" t="str">
        <f>IF(P$180="Error","Error",IF(AND($N$180&lt;&gt;"/",$N$180&gt;'Paramètres - Admin'!$A5),'Paramètres - Admin'!$A6,"/"))</f>
        <v>/</v>
      </c>
      <c r="O185" s="529" t="str">
        <f>IF(N185&lt;&gt;"/",VLOOKUP(N185,COSTS_Town_Home[#All],2),"/")</f>
        <v>/</v>
      </c>
      <c r="P185" s="94" t="str">
        <f>IF(N185&lt;&gt;"/",VLOOKUP(N185,COSTS_Town_Home[#All],3),"/")</f>
        <v>/</v>
      </c>
      <c r="Q185" s="529">
        <f t="shared" si="82"/>
        <v>0</v>
      </c>
      <c r="R185" s="534">
        <f t="shared" si="83"/>
        <v>0</v>
      </c>
    </row>
    <row r="186" spans="1:51" s="537" customFormat="1" ht="15" customHeight="1">
      <c r="A186" s="996">
        <v>5</v>
      </c>
      <c r="B186" s="997" t="str">
        <f>IF(Paramètres!AE10=0,"",Paramètres!AE10)</f>
        <v/>
      </c>
      <c r="C186" s="810">
        <f t="shared" si="76"/>
        <v>0</v>
      </c>
      <c r="D186" s="586" t="str">
        <f t="shared" si="77"/>
        <v>/</v>
      </c>
      <c r="E186" s="108" t="str">
        <f>IF(G$180="Error","Error",IF(AND($E$180&lt;&gt;"/",$E$180&gt;'Paramètres - Admin'!$A6),'Paramètres - Admin'!$A7,"/"))</f>
        <v>/</v>
      </c>
      <c r="F186" s="529" t="str">
        <f>IF(E186&lt;&gt;"/",VLOOKUP(E186,COSTS_Clan_Castle[#All],2),"/")</f>
        <v>/</v>
      </c>
      <c r="G186" s="94" t="str">
        <f>IF(E186&lt;&gt;"/",VLOOKUP(E186,COSTS_Clan_Castle[#All],3),"/")</f>
        <v>/</v>
      </c>
      <c r="H186" s="529">
        <f t="shared" si="78"/>
        <v>0</v>
      </c>
      <c r="I186" s="534">
        <f t="shared" si="79"/>
        <v>0</v>
      </c>
      <c r="J186" s="996">
        <v>5</v>
      </c>
      <c r="K186" s="997" t="str">
        <f>IF(Paramètres!AF10=0,"",Paramètres!AF10)</f>
        <v/>
      </c>
      <c r="L186" s="810">
        <f t="shared" si="80"/>
        <v>1</v>
      </c>
      <c r="M186" s="586" t="str">
        <f t="shared" si="81"/>
        <v>/</v>
      </c>
      <c r="N186" s="108" t="str">
        <f>IF(P$180="Error","Error",IF(AND($N$180&lt;&gt;"/",$N$180&gt;'Paramètres - Admin'!$A6),'Paramètres - Admin'!$A7,"/"))</f>
        <v>/</v>
      </c>
      <c r="O186" s="529" t="str">
        <f>IF(N186&lt;&gt;"/",VLOOKUP(N186,COSTS_Town_Home[#All],2),"/")</f>
        <v>/</v>
      </c>
      <c r="P186" s="94" t="str">
        <f>IF(N186&lt;&gt;"/",VLOOKUP(N186,COSTS_Town_Home[#All],3),"/")</f>
        <v>/</v>
      </c>
      <c r="Q186" s="529">
        <f t="shared" si="82"/>
        <v>0</v>
      </c>
      <c r="R186" s="534">
        <f t="shared" si="83"/>
        <v>0</v>
      </c>
    </row>
    <row r="187" spans="1:51" s="537" customFormat="1" ht="15" customHeight="1" thickBot="1">
      <c r="A187" s="998">
        <v>6</v>
      </c>
      <c r="B187" s="999" t="str">
        <f>IF(Paramètres!AE11=0,"",Paramètres!AE11)</f>
        <v/>
      </c>
      <c r="C187" s="811">
        <f t="shared" si="76"/>
        <v>0</v>
      </c>
      <c r="D187" s="587" t="str">
        <f t="shared" si="77"/>
        <v>/</v>
      </c>
      <c r="E187" s="116" t="str">
        <f>IF(G$180="Error","Error",IF(AND($E$180&lt;&gt;"/",$E$180&gt;'Paramètres - Admin'!$A7),'Paramètres - Admin'!$A8,"/"))</f>
        <v>/</v>
      </c>
      <c r="F187" s="118" t="str">
        <f>IF(E187&lt;&gt;"/",VLOOKUP(E187,COSTS_Clan_Castle[#All],2),"/")</f>
        <v>/</v>
      </c>
      <c r="G187" s="114" t="str">
        <f>IF(E187&lt;&gt;"/",VLOOKUP(E187,COSTS_Clan_Castle[#All],3),"/")</f>
        <v>/</v>
      </c>
      <c r="H187" s="118">
        <f t="shared" si="78"/>
        <v>0</v>
      </c>
      <c r="I187" s="117">
        <f t="shared" si="79"/>
        <v>0</v>
      </c>
      <c r="J187" s="996">
        <v>6</v>
      </c>
      <c r="K187" s="997" t="str">
        <f>IF(Paramètres!AF11=0,"",Paramètres!AF11)</f>
        <v/>
      </c>
      <c r="L187" s="810">
        <f t="shared" si="80"/>
        <v>1</v>
      </c>
      <c r="M187" s="586" t="str">
        <f t="shared" si="81"/>
        <v>/</v>
      </c>
      <c r="N187" s="108" t="str">
        <f>IF(P$180="Error","Error",IF(AND($N$180&lt;&gt;"/",$N$180&gt;'Paramètres - Admin'!$A7),'Paramètres - Admin'!$A8,"/"))</f>
        <v>/</v>
      </c>
      <c r="O187" s="529" t="str">
        <f>IF(N187&lt;&gt;"/",VLOOKUP(N187,COSTS_Town_Home[#All],2),"/")</f>
        <v>/</v>
      </c>
      <c r="P187" s="94" t="str">
        <f>IF(N187&lt;&gt;"/",VLOOKUP(N187,COSTS_Town_Home[#All],3),"/")</f>
        <v>/</v>
      </c>
      <c r="Q187" s="529">
        <f t="shared" si="82"/>
        <v>0</v>
      </c>
      <c r="R187" s="534">
        <f t="shared" si="83"/>
        <v>0</v>
      </c>
    </row>
    <row r="188" spans="1:51" s="537" customFormat="1" ht="15" customHeight="1" thickBot="1">
      <c r="A188" s="967"/>
      <c r="B188" s="968"/>
      <c r="C188" s="968"/>
      <c r="D188" s="968"/>
      <c r="E188" s="968"/>
      <c r="F188" s="969"/>
      <c r="G188" s="523" t="s">
        <v>31</v>
      </c>
      <c r="H188" s="227">
        <f>IF(G$180="Error","Error",SUM(H182:H187))</f>
        <v>0</v>
      </c>
      <c r="I188" s="546">
        <f>IF(G$180="Error","Error",SUM(I182:I187))</f>
        <v>0</v>
      </c>
      <c r="J188" s="996">
        <v>7</v>
      </c>
      <c r="K188" s="997" t="str">
        <f>IF(Paramètres!AF12=0,"",Paramètres!AF12)</f>
        <v/>
      </c>
      <c r="L188" s="810">
        <f t="shared" si="80"/>
        <v>1</v>
      </c>
      <c r="M188" s="586" t="str">
        <f t="shared" si="81"/>
        <v>/</v>
      </c>
      <c r="N188" s="108" t="str">
        <f>IF(P$180="Error","Error",IF(AND($N$180&lt;&gt;"/",$N$180&gt;'Paramètres - Admin'!$A8),'Paramètres - Admin'!$A9,"/"))</f>
        <v>/</v>
      </c>
      <c r="O188" s="529" t="str">
        <f>IF(N188&lt;&gt;"/",VLOOKUP(N188,COSTS_Town_Home[#All],2),"/")</f>
        <v>/</v>
      </c>
      <c r="P188" s="94" t="str">
        <f>IF(N188&lt;&gt;"/",VLOOKUP(N188,COSTS_Town_Home[#All],3),"/")</f>
        <v>/</v>
      </c>
      <c r="Q188" s="529">
        <f t="shared" si="82"/>
        <v>0</v>
      </c>
      <c r="R188" s="534">
        <f t="shared" si="83"/>
        <v>0</v>
      </c>
    </row>
    <row r="189" spans="1:51" s="537" customFormat="1" ht="15" customHeight="1">
      <c r="A189" s="132"/>
      <c r="B189" s="132"/>
      <c r="C189" s="132"/>
      <c r="D189" s="132"/>
      <c r="E189" s="132"/>
      <c r="F189" s="132"/>
      <c r="G189" s="131"/>
      <c r="H189" s="131"/>
      <c r="I189" s="131"/>
      <c r="J189" s="996">
        <v>8</v>
      </c>
      <c r="K189" s="997" t="str">
        <f>IF(Paramètres!AF13=0,"",Paramètres!AF13)</f>
        <v/>
      </c>
      <c r="L189" s="810">
        <f t="shared" si="80"/>
        <v>1</v>
      </c>
      <c r="M189" s="586" t="str">
        <f t="shared" si="81"/>
        <v>/</v>
      </c>
      <c r="N189" s="108" t="str">
        <f>IF(P$180="Error","Error",IF(AND($N$180&lt;&gt;"/",$N$180&gt;'Paramètres - Admin'!$A9),'Paramètres - Admin'!$A10,"/"))</f>
        <v>/</v>
      </c>
      <c r="O189" s="529" t="str">
        <f>IF(N189&lt;&gt;"/",VLOOKUP(N189,COSTS_Town_Home[#All],2),"/")</f>
        <v>/</v>
      </c>
      <c r="P189" s="94" t="str">
        <f>IF(N189&lt;&gt;"/",VLOOKUP(N189,COSTS_Town_Home[#All],3),"/")</f>
        <v>/</v>
      </c>
      <c r="Q189" s="529">
        <f t="shared" si="82"/>
        <v>0</v>
      </c>
      <c r="R189" s="534">
        <f t="shared" si="83"/>
        <v>0</v>
      </c>
    </row>
    <row r="190" spans="1:51" s="537" customFormat="1" ht="15" customHeight="1">
      <c r="A190" s="132"/>
      <c r="B190" s="132"/>
      <c r="C190" s="132"/>
      <c r="D190" s="132"/>
      <c r="E190" s="132"/>
      <c r="F190" s="132"/>
      <c r="G190" s="131"/>
      <c r="H190" s="131"/>
      <c r="I190" s="131"/>
      <c r="J190" s="996">
        <v>9</v>
      </c>
      <c r="K190" s="997" t="str">
        <f>IF(Paramètres!AF14=0,"",Paramètres!AF14)</f>
        <v/>
      </c>
      <c r="L190" s="810">
        <f t="shared" si="80"/>
        <v>1</v>
      </c>
      <c r="M190" s="586" t="str">
        <f t="shared" si="81"/>
        <v>/</v>
      </c>
      <c r="N190" s="108" t="str">
        <f>IF(P$180="Error","Error",IF(AND($N$180&lt;&gt;"/",$N$180&gt;'Paramètres - Admin'!$A10),'Paramètres - Admin'!$A11,"/"))</f>
        <v>/</v>
      </c>
      <c r="O190" s="529" t="str">
        <f>IF(N190&lt;&gt;"/",VLOOKUP(N190,COSTS_Town_Home[#All],2),"/")</f>
        <v>/</v>
      </c>
      <c r="P190" s="94" t="str">
        <f>IF(N190&lt;&gt;"/",VLOOKUP(N190,COSTS_Town_Home[#All],3),"/")</f>
        <v>/</v>
      </c>
      <c r="Q190" s="529">
        <f t="shared" si="82"/>
        <v>0</v>
      </c>
      <c r="R190" s="534">
        <f t="shared" si="83"/>
        <v>0</v>
      </c>
    </row>
    <row r="191" spans="1:51" s="537" customFormat="1" ht="15" customHeight="1">
      <c r="A191" s="132"/>
      <c r="B191" s="132"/>
      <c r="C191" s="132"/>
      <c r="D191" s="132"/>
      <c r="E191" s="132"/>
      <c r="F191" s="132"/>
      <c r="G191" s="131"/>
      <c r="H191" s="131"/>
      <c r="I191" s="131"/>
      <c r="J191" s="996">
        <v>10</v>
      </c>
      <c r="K191" s="997" t="str">
        <f>IF(Paramètres!AF15=0,"",Paramètres!AF15)</f>
        <v/>
      </c>
      <c r="L191" s="810">
        <f t="shared" si="80"/>
        <v>1</v>
      </c>
      <c r="M191" s="586" t="str">
        <f t="shared" si="81"/>
        <v>/</v>
      </c>
      <c r="N191" s="108" t="str">
        <f>IF(P$180="Error","Error",IF(AND($N$180&lt;&gt;"/",$N$180&gt;'Paramètres - Admin'!$A11),'Paramètres - Admin'!$A12,"/"))</f>
        <v>/</v>
      </c>
      <c r="O191" s="529" t="str">
        <f>IF(N191&lt;&gt;"/",VLOOKUP(N191,COSTS_Town_Home[#All],2),"/")</f>
        <v>/</v>
      </c>
      <c r="P191" s="94" t="str">
        <f>IF(N191&lt;&gt;"/",VLOOKUP(N191,COSTS_Town_Home[#All],3),"/")</f>
        <v>/</v>
      </c>
      <c r="Q191" s="529">
        <f t="shared" si="82"/>
        <v>0</v>
      </c>
      <c r="R191" s="534">
        <f t="shared" si="83"/>
        <v>0</v>
      </c>
    </row>
    <row r="192" spans="1:51" s="537" customFormat="1" ht="15" customHeight="1" thickBot="1">
      <c r="A192" s="132"/>
      <c r="B192" s="132"/>
      <c r="C192" s="132"/>
      <c r="D192" s="132"/>
      <c r="E192" s="132"/>
      <c r="F192" s="132"/>
      <c r="G192" s="131"/>
      <c r="H192" s="131"/>
      <c r="I192" s="131"/>
      <c r="J192" s="998">
        <v>11</v>
      </c>
      <c r="K192" s="999" t="str">
        <f>IF(Paramètres!AF16=0,"",Paramètres!AF16)</f>
        <v/>
      </c>
      <c r="L192" s="811">
        <f t="shared" si="80"/>
        <v>1</v>
      </c>
      <c r="M192" s="587" t="str">
        <f t="shared" si="81"/>
        <v>/</v>
      </c>
      <c r="N192" s="116" t="str">
        <f>IF(P$180="Error","Error",IF(AND($N$180&lt;&gt;"/",$N$180&gt;'Paramètres - Admin'!$A12),'Paramètres - Admin'!$A13,"/"))</f>
        <v>/</v>
      </c>
      <c r="O192" s="118" t="str">
        <f>IF(N192&lt;&gt;"/",VLOOKUP(N192,COSTS_Town_Home[#All],2),"/")</f>
        <v>/</v>
      </c>
      <c r="P192" s="114" t="str">
        <f>IF(N192&lt;&gt;"/",VLOOKUP(N192,COSTS_Town_Home[#All],3),"/")</f>
        <v>/</v>
      </c>
      <c r="Q192" s="118">
        <f t="shared" si="82"/>
        <v>0</v>
      </c>
      <c r="R192" s="117">
        <f t="shared" si="83"/>
        <v>0</v>
      </c>
      <c r="AO192" s="131"/>
      <c r="AP192" s="131"/>
      <c r="AQ192" s="131"/>
      <c r="AR192" s="131"/>
      <c r="AS192" s="131"/>
      <c r="AT192" s="131"/>
      <c r="AU192" s="131"/>
      <c r="AV192" s="131"/>
      <c r="AW192" s="131"/>
      <c r="AX192" s="131"/>
      <c r="AY192" s="131"/>
    </row>
    <row r="193" spans="1:51" s="537" customFormat="1" ht="15" customHeight="1" thickBot="1">
      <c r="A193" s="132"/>
      <c r="B193" s="132"/>
      <c r="C193" s="132"/>
      <c r="D193" s="132"/>
      <c r="E193" s="132"/>
      <c r="F193" s="132"/>
      <c r="J193" s="967"/>
      <c r="K193" s="968"/>
      <c r="L193" s="968"/>
      <c r="M193" s="968"/>
      <c r="N193" s="968"/>
      <c r="O193" s="969"/>
      <c r="P193" s="523" t="s">
        <v>31</v>
      </c>
      <c r="Q193" s="227">
        <f>IF(P$180="Error","Error",SUM(Q182:Q192))</f>
        <v>4000</v>
      </c>
      <c r="R193" s="546">
        <f>IF(P$180="Error","Error",SUM(R182:R192))</f>
        <v>3</v>
      </c>
    </row>
    <row r="194" spans="1:51" s="537" customFormat="1" ht="15" customHeight="1" thickBot="1">
      <c r="AO194" s="131"/>
      <c r="AP194" s="131"/>
      <c r="AQ194" s="131"/>
      <c r="AR194" s="131"/>
      <c r="AS194" s="131"/>
      <c r="AT194" s="131"/>
      <c r="AU194" s="131"/>
      <c r="AV194" s="131"/>
      <c r="AW194" s="131"/>
      <c r="AX194" s="131"/>
      <c r="AY194" s="131"/>
    </row>
    <row r="195" spans="1:51" s="537" customFormat="1" ht="19.5" customHeight="1" thickBot="1">
      <c r="A195" s="1096" t="s">
        <v>226</v>
      </c>
      <c r="B195" s="1097"/>
      <c r="C195" s="1097"/>
      <c r="D195" s="1097"/>
      <c r="E195" s="1097"/>
      <c r="F195" s="1097"/>
      <c r="G195" s="1097"/>
      <c r="H195" s="1097"/>
      <c r="I195" s="1097"/>
      <c r="J195" s="1097"/>
      <c r="K195" s="1097"/>
      <c r="L195" s="1097"/>
      <c r="M195" s="1097"/>
      <c r="N195" s="1097"/>
      <c r="O195" s="1097"/>
      <c r="P195" s="1097"/>
      <c r="Q195" s="1097"/>
      <c r="R195" s="1097"/>
    </row>
    <row r="196" spans="1:51" ht="15" customHeight="1">
      <c r="A196" s="1104" t="s">
        <v>190</v>
      </c>
      <c r="B196" s="1109"/>
      <c r="C196" s="1110"/>
      <c r="D196" s="80" t="s">
        <v>38</v>
      </c>
      <c r="E196" s="81" t="s">
        <v>39</v>
      </c>
      <c r="F196" s="82"/>
      <c r="G196" s="524" t="s">
        <v>256</v>
      </c>
      <c r="H196" s="526" t="s">
        <v>361</v>
      </c>
      <c r="I196" s="525" t="s">
        <v>257</v>
      </c>
      <c r="J196" s="1104" t="s">
        <v>191</v>
      </c>
      <c r="K196" s="1109"/>
      <c r="L196" s="1110"/>
      <c r="M196" s="80" t="s">
        <v>38</v>
      </c>
      <c r="N196" s="81" t="s">
        <v>39</v>
      </c>
      <c r="O196" s="82"/>
      <c r="P196" s="524" t="s">
        <v>256</v>
      </c>
      <c r="Q196" s="526" t="s">
        <v>361</v>
      </c>
      <c r="R196" s="525" t="s">
        <v>257</v>
      </c>
    </row>
    <row r="197" spans="1:51" ht="15" customHeight="1" thickBot="1">
      <c r="A197" s="1101"/>
      <c r="B197" s="1102"/>
      <c r="C197" s="1103"/>
      <c r="D197" s="88">
        <f>VLOOKUP($A$2,AVAILABLE_Upgrades_Spells[#All],MATCH(A196,AVAILABLE_Upgrades_Spells[#Headers],0))</f>
        <v>0</v>
      </c>
      <c r="E197" s="89">
        <f>VLOOKUP(IF(ISERROR(LOOKUP(MATCH(1,Paramètres!$K$6:$K$45,0),Paramètres!$A$6:$A$45)),0,LOOKUP(MATCH(1,Paramètres!$K$6:$K$45,0),Paramètres!$A$6:$A$45)),AVAILABLE_Upgrades_Spells[#All],MATCH(A196,AVAILABLE_Upgrades_Spells[#Headers],0)+1)</f>
        <v>0</v>
      </c>
      <c r="F197" s="205"/>
      <c r="G197" s="96">
        <f>IF(SUM(B199:B204)&gt;D197,"Error",SUM(B199:B204))</f>
        <v>0</v>
      </c>
      <c r="H197" s="97">
        <f>IF(G$197="Error","Error",D197-G197)</f>
        <v>0</v>
      </c>
      <c r="I197" s="206">
        <f>IF(G$197="Error","Error",SUM(D199:D204))</f>
        <v>0</v>
      </c>
      <c r="J197" s="1101"/>
      <c r="K197" s="1102"/>
      <c r="L197" s="1103"/>
      <c r="M197" s="88">
        <f>VLOOKUP($A$2,AVAILABLE_Upgrades_Spells[#All],MATCH(J196,AVAILABLE_Upgrades_Spells[#Headers],0))</f>
        <v>0</v>
      </c>
      <c r="N197" s="528">
        <f>VLOOKUP(IF(ISERROR(LOOKUP(MATCH(1,Paramètres!$K$6:$K$45,0),Paramètres!$A$6:$A$45)),0,LOOKUP(MATCH(1,Paramètres!$K$6:$K$45,0),Paramètres!$A$6:$A$45)),AVAILABLE_Upgrades_Spells[#All],MATCH(J196,AVAILABLE_Upgrades_Spells[#Headers],0)+1)</f>
        <v>0</v>
      </c>
      <c r="O197" s="205"/>
      <c r="P197" s="96">
        <f>IF(SUM(K199:K204)&gt;M197,"Error",SUM(K199:K204))</f>
        <v>0</v>
      </c>
      <c r="Q197" s="97">
        <f>IF(P$197="Error","Error",M197-P197)</f>
        <v>0</v>
      </c>
      <c r="R197" s="206">
        <f>IF(P$197="Error","Error",SUM(M199:M204))</f>
        <v>0</v>
      </c>
    </row>
    <row r="198" spans="1:51" ht="15" customHeight="1" thickBot="1">
      <c r="A198" s="99" t="s">
        <v>30</v>
      </c>
      <c r="B198" s="128" t="s">
        <v>29</v>
      </c>
      <c r="C198" s="101"/>
      <c r="D198" s="220" t="s">
        <v>29</v>
      </c>
      <c r="E198" s="221" t="s">
        <v>30</v>
      </c>
      <c r="F198" s="544" t="s">
        <v>258</v>
      </c>
      <c r="G198" s="544" t="s">
        <v>259</v>
      </c>
      <c r="H198" s="544" t="s">
        <v>232</v>
      </c>
      <c r="I198" s="545" t="s">
        <v>233</v>
      </c>
      <c r="J198" s="99" t="s">
        <v>30</v>
      </c>
      <c r="K198" s="128" t="s">
        <v>29</v>
      </c>
      <c r="L198" s="101"/>
      <c r="M198" s="220" t="s">
        <v>29</v>
      </c>
      <c r="N198" s="221" t="s">
        <v>30</v>
      </c>
      <c r="O198" s="544" t="s">
        <v>258</v>
      </c>
      <c r="P198" s="544" t="s">
        <v>259</v>
      </c>
      <c r="Q198" s="544" t="s">
        <v>232</v>
      </c>
      <c r="R198" s="545" t="s">
        <v>233</v>
      </c>
    </row>
    <row r="199" spans="1:51" ht="15" customHeight="1">
      <c r="A199" s="524">
        <v>1</v>
      </c>
      <c r="B199" s="995" t="str">
        <f>IF(Paramètres!AG6=0,"",Paramètres!AG6)</f>
        <v/>
      </c>
      <c r="C199" s="598">
        <f>IF(C198&lt;&gt;0,C198+IF(AND(B198&lt;&gt;"",A198&lt;E$197),B198,0),IF(AND(B198&lt;&gt;"",A198&lt;E$197),B198,0))</f>
        <v>0</v>
      </c>
      <c r="D199" s="585" t="str">
        <f t="shared" ref="D199:D205" si="84">IF(E199&lt;&gt;"/",IF(G$197="Error","Error",$H$197+C199),"/")</f>
        <v>/</v>
      </c>
      <c r="E199" s="469" t="str">
        <f>IF(G$197="Error","Error",IF(AND($E$197&lt;&gt;"/",$E$197&gt;'Paramètres - Admin'!$A2),'Paramètres - Admin'!$A3,"/"))</f>
        <v>/</v>
      </c>
      <c r="F199" s="389" t="str">
        <f>IF(E199&lt;&gt;"/",VLOOKUP(E199,COSTS_Spell_Lightning[#All],2),"/")</f>
        <v>/</v>
      </c>
      <c r="G199" s="470" t="str">
        <f>IF(E199&lt;&gt;"/",VLOOKUP(E199,COSTS_Spell_Lightning[#All],3),"/")</f>
        <v>/</v>
      </c>
      <c r="H199" s="389">
        <f t="shared" ref="H199:H205" si="85">IF(G$197="Error","Error",IF(F199&lt;&gt;"/",D199*F199,0))</f>
        <v>0</v>
      </c>
      <c r="I199" s="471">
        <f t="shared" ref="I199:I205" si="86">IF(G$197="Error","Error",IF(G199&lt;&gt;"/",D199*G199,0))</f>
        <v>0</v>
      </c>
      <c r="J199" s="524">
        <v>1</v>
      </c>
      <c r="K199" s="995" t="str">
        <f>IF(Paramètres!AH6=0,"",Paramètres!AH6)</f>
        <v/>
      </c>
      <c r="L199" s="598">
        <f t="shared" ref="L199:L204" si="87">IF(L198&lt;&gt;0,L198+IF(AND(K198&lt;&gt;"",J198&lt;N$197),K198,0),IF(AND(K198&lt;&gt;"",J198&lt;N$197),K198,0))</f>
        <v>0</v>
      </c>
      <c r="M199" s="585" t="str">
        <f t="shared" ref="M199:M204" si="88">IF(N199&lt;&gt;"/",IF(P$197="Error","Error",$Q$197+L199),"/")</f>
        <v>/</v>
      </c>
      <c r="N199" s="469" t="str">
        <f>IF(P$197="Error","Error",IF(AND($N$197&lt;&gt;"/",$N$197&gt;'Paramètres - Admin'!$A2),'Paramètres - Admin'!$A3,"/"))</f>
        <v>/</v>
      </c>
      <c r="O199" s="389" t="str">
        <f>IF(N199&lt;&gt;"/",VLOOKUP(N199,COSTS_Spell_Healing[#All],2),"/")</f>
        <v>/</v>
      </c>
      <c r="P199" s="470" t="str">
        <f>IF(N199&lt;&gt;"/",VLOOKUP(N199,COSTS_Spell_Healing[#All],3),"/")</f>
        <v>/</v>
      </c>
      <c r="Q199" s="389">
        <f t="shared" ref="Q199:Q204" si="89">IF(P$197="Error","Error",IF(O199&lt;&gt;"/",M199*O199,0))</f>
        <v>0</v>
      </c>
      <c r="R199" s="471">
        <f t="shared" ref="R199:R204" si="90">IF(P$197="Error","Error",IF(P199&lt;&gt;"/",M199*P199,0))</f>
        <v>0</v>
      </c>
    </row>
    <row r="200" spans="1:51" ht="15" customHeight="1">
      <c r="A200" s="996">
        <v>2</v>
      </c>
      <c r="B200" s="997" t="str">
        <f>IF(Paramètres!AG7=0,"",Paramètres!AG7)</f>
        <v/>
      </c>
      <c r="C200" s="810">
        <f t="shared" ref="C200:C204" si="91">IF(C199&lt;&gt;0,C199+IF(AND(B199&lt;&gt;"",A199&lt;E$197),B199,0),IF(AND(B199&lt;&gt;"",A199&lt;E$197),B199,0))</f>
        <v>0</v>
      </c>
      <c r="D200" s="586" t="str">
        <f t="shared" si="84"/>
        <v>/</v>
      </c>
      <c r="E200" s="108" t="str">
        <f>IF(G$197="Error","Error",IF(AND($E$197&lt;&gt;"/",$E$197&gt;'Paramètres - Admin'!$A3),'Paramètres - Admin'!$A4,"/"))</f>
        <v>/</v>
      </c>
      <c r="F200" s="390" t="str">
        <f>IF(E200&lt;&gt;"/",VLOOKUP(E200,COSTS_Spell_Lightning[#All],2),"/")</f>
        <v>/</v>
      </c>
      <c r="G200" s="94" t="str">
        <f>IF(E200&lt;&gt;"/",VLOOKUP(E200,COSTS_Spell_Lightning[#All],3),"/")</f>
        <v>/</v>
      </c>
      <c r="H200" s="390">
        <f t="shared" si="85"/>
        <v>0</v>
      </c>
      <c r="I200" s="534">
        <f t="shared" si="86"/>
        <v>0</v>
      </c>
      <c r="J200" s="996">
        <v>2</v>
      </c>
      <c r="K200" s="997" t="str">
        <f>IF(Paramètres!AH7=0,"",Paramètres!AH7)</f>
        <v/>
      </c>
      <c r="L200" s="810">
        <f t="shared" si="87"/>
        <v>0</v>
      </c>
      <c r="M200" s="586" t="str">
        <f t="shared" si="88"/>
        <v>/</v>
      </c>
      <c r="N200" s="108" t="str">
        <f>IF(P$197="Error","Error",IF(AND($N$197&lt;&gt;"/",$N$197&gt;'Paramètres - Admin'!$A3),'Paramètres - Admin'!$A4,"/"))</f>
        <v>/</v>
      </c>
      <c r="O200" s="390" t="str">
        <f>IF(N200&lt;&gt;"/",VLOOKUP(N200,COSTS_Spell_Healing[#All],2),"/")</f>
        <v>/</v>
      </c>
      <c r="P200" s="94" t="str">
        <f>IF(N200&lt;&gt;"/",VLOOKUP(N200,COSTS_Spell_Healing[#All],3),"/")</f>
        <v>/</v>
      </c>
      <c r="Q200" s="390">
        <f t="shared" si="89"/>
        <v>0</v>
      </c>
      <c r="R200" s="534">
        <f t="shared" si="90"/>
        <v>0</v>
      </c>
    </row>
    <row r="201" spans="1:51" ht="15" customHeight="1">
      <c r="A201" s="996">
        <v>3</v>
      </c>
      <c r="B201" s="997" t="str">
        <f>IF(Paramètres!AG8=0,"",Paramètres!AG8)</f>
        <v/>
      </c>
      <c r="C201" s="810">
        <f t="shared" si="91"/>
        <v>0</v>
      </c>
      <c r="D201" s="586" t="str">
        <f t="shared" si="84"/>
        <v>/</v>
      </c>
      <c r="E201" s="108" t="str">
        <f>IF(G$197="Error","Error",IF(AND($E$197&lt;&gt;"/",$E$197&gt;'Paramètres - Admin'!$A4),'Paramètres - Admin'!$A5,"/"))</f>
        <v>/</v>
      </c>
      <c r="F201" s="390" t="str">
        <f>IF(E201&lt;&gt;"/",VLOOKUP(E201,COSTS_Spell_Lightning[#All],2),"/")</f>
        <v>/</v>
      </c>
      <c r="G201" s="94" t="str">
        <f>IF(E201&lt;&gt;"/",VLOOKUP(E201,COSTS_Spell_Lightning[#All],3),"/")</f>
        <v>/</v>
      </c>
      <c r="H201" s="390">
        <f t="shared" si="85"/>
        <v>0</v>
      </c>
      <c r="I201" s="534">
        <f t="shared" si="86"/>
        <v>0</v>
      </c>
      <c r="J201" s="996">
        <v>3</v>
      </c>
      <c r="K201" s="997" t="str">
        <f>IF(Paramètres!AH8=0,"",Paramètres!AH8)</f>
        <v/>
      </c>
      <c r="L201" s="810">
        <f t="shared" si="87"/>
        <v>0</v>
      </c>
      <c r="M201" s="586" t="str">
        <f t="shared" si="88"/>
        <v>/</v>
      </c>
      <c r="N201" s="108" t="str">
        <f>IF(P$197="Error","Error",IF(AND($N$197&lt;&gt;"/",$N$197&gt;'Paramètres - Admin'!$A4),'Paramètres - Admin'!$A5,"/"))</f>
        <v>/</v>
      </c>
      <c r="O201" s="390" t="str">
        <f>IF(N201&lt;&gt;"/",VLOOKUP(N201,COSTS_Spell_Healing[#All],2),"/")</f>
        <v>/</v>
      </c>
      <c r="P201" s="94" t="str">
        <f>IF(N201&lt;&gt;"/",VLOOKUP(N201,COSTS_Spell_Healing[#All],3),"/")</f>
        <v>/</v>
      </c>
      <c r="Q201" s="390">
        <f t="shared" si="89"/>
        <v>0</v>
      </c>
      <c r="R201" s="534">
        <f t="shared" si="90"/>
        <v>0</v>
      </c>
    </row>
    <row r="202" spans="1:51" ht="15" customHeight="1">
      <c r="A202" s="996">
        <v>4</v>
      </c>
      <c r="B202" s="997" t="str">
        <f>IF(Paramètres!AG9=0,"",Paramètres!AG9)</f>
        <v/>
      </c>
      <c r="C202" s="810">
        <f t="shared" si="91"/>
        <v>0</v>
      </c>
      <c r="D202" s="586" t="str">
        <f t="shared" si="84"/>
        <v>/</v>
      </c>
      <c r="E202" s="108" t="str">
        <f>IF(G$197="Error","Error",IF(AND($E$197&lt;&gt;"/",$E$197&gt;'Paramètres - Admin'!$A5),'Paramètres - Admin'!$A6,"/"))</f>
        <v>/</v>
      </c>
      <c r="F202" s="390" t="str">
        <f>IF(E202&lt;&gt;"/",VLOOKUP(E202,COSTS_Spell_Lightning[#All],2),"/")</f>
        <v>/</v>
      </c>
      <c r="G202" s="94" t="str">
        <f>IF(E202&lt;&gt;"/",VLOOKUP(E202,COSTS_Spell_Lightning[#All],3),"/")</f>
        <v>/</v>
      </c>
      <c r="H202" s="390">
        <f t="shared" si="85"/>
        <v>0</v>
      </c>
      <c r="I202" s="534">
        <f t="shared" si="86"/>
        <v>0</v>
      </c>
      <c r="J202" s="996">
        <v>4</v>
      </c>
      <c r="K202" s="997" t="str">
        <f>IF(Paramètres!AH9=0,"",Paramètres!AH9)</f>
        <v/>
      </c>
      <c r="L202" s="810">
        <f t="shared" si="87"/>
        <v>0</v>
      </c>
      <c r="M202" s="586" t="str">
        <f t="shared" si="88"/>
        <v>/</v>
      </c>
      <c r="N202" s="108" t="str">
        <f>IF(P$197="Error","Error",IF(AND($N$197&lt;&gt;"/",$N$197&gt;'Paramètres - Admin'!$A5),'Paramètres - Admin'!$A6,"/"))</f>
        <v>/</v>
      </c>
      <c r="O202" s="390" t="str">
        <f>IF(N202&lt;&gt;"/",VLOOKUP(N202,COSTS_Spell_Healing[#All],2),"/")</f>
        <v>/</v>
      </c>
      <c r="P202" s="94" t="str">
        <f>IF(N202&lt;&gt;"/",VLOOKUP(N202,COSTS_Spell_Healing[#All],3),"/")</f>
        <v>/</v>
      </c>
      <c r="Q202" s="390">
        <f t="shared" si="89"/>
        <v>0</v>
      </c>
      <c r="R202" s="534">
        <f t="shared" si="90"/>
        <v>0</v>
      </c>
    </row>
    <row r="203" spans="1:51" ht="15" customHeight="1">
      <c r="A203" s="996">
        <v>5</v>
      </c>
      <c r="B203" s="997" t="str">
        <f>IF(Paramètres!AG10=0,"",Paramètres!AG10)</f>
        <v/>
      </c>
      <c r="C203" s="810">
        <f t="shared" si="91"/>
        <v>0</v>
      </c>
      <c r="D203" s="586" t="str">
        <f t="shared" si="84"/>
        <v>/</v>
      </c>
      <c r="E203" s="108" t="str">
        <f>IF(G$197="Error","Error",IF(AND($E$197&lt;&gt;"/",$E$197&gt;'Paramètres - Admin'!$A6),'Paramètres - Admin'!$A7,"/"))</f>
        <v>/</v>
      </c>
      <c r="F203" s="390" t="str">
        <f>IF(E203&lt;&gt;"/",VLOOKUP(E203,COSTS_Spell_Lightning[#All],2),"/")</f>
        <v>/</v>
      </c>
      <c r="G203" s="94" t="str">
        <f>IF(E203&lt;&gt;"/",VLOOKUP(E203,COSTS_Spell_Lightning[#All],3),"/")</f>
        <v>/</v>
      </c>
      <c r="H203" s="390">
        <f t="shared" si="85"/>
        <v>0</v>
      </c>
      <c r="I203" s="534">
        <f t="shared" si="86"/>
        <v>0</v>
      </c>
      <c r="J203" s="996">
        <v>5</v>
      </c>
      <c r="K203" s="997" t="str">
        <f>IF(Paramètres!AH10=0,"",Paramètres!AH10)</f>
        <v/>
      </c>
      <c r="L203" s="810">
        <f t="shared" si="87"/>
        <v>0</v>
      </c>
      <c r="M203" s="586" t="str">
        <f t="shared" si="88"/>
        <v>/</v>
      </c>
      <c r="N203" s="108" t="str">
        <f>IF(P$197="Error","Error",IF(AND($N$197&lt;&gt;"/",$N$197&gt;'Paramètres - Admin'!$A6),'Paramètres - Admin'!$A7,"/"))</f>
        <v>/</v>
      </c>
      <c r="O203" s="390" t="str">
        <f>IF(N203&lt;&gt;"/",VLOOKUP(N203,COSTS_Spell_Healing[#All],2),"/")</f>
        <v>/</v>
      </c>
      <c r="P203" s="94" t="str">
        <f>IF(N203&lt;&gt;"/",VLOOKUP(N203,COSTS_Spell_Healing[#All],3),"/")</f>
        <v>/</v>
      </c>
      <c r="Q203" s="390">
        <f t="shared" si="89"/>
        <v>0</v>
      </c>
      <c r="R203" s="534">
        <f t="shared" si="90"/>
        <v>0</v>
      </c>
    </row>
    <row r="204" spans="1:51" ht="15" customHeight="1" thickBot="1">
      <c r="A204" s="996">
        <v>6</v>
      </c>
      <c r="B204" s="997" t="str">
        <f>IF(Paramètres!AG11=0,"",Paramètres!AG11)</f>
        <v/>
      </c>
      <c r="C204" s="810">
        <f t="shared" si="91"/>
        <v>0</v>
      </c>
      <c r="D204" s="586" t="str">
        <f t="shared" si="84"/>
        <v>/</v>
      </c>
      <c r="E204" s="108" t="str">
        <f>IF(G$197="Error","Error",IF(AND($E$197&lt;&gt;"/",$E$197&gt;'Paramètres - Admin'!$A7),'Paramètres - Admin'!$A8,"/"))</f>
        <v>/</v>
      </c>
      <c r="F204" s="390" t="str">
        <f>IF(E204&lt;&gt;"/",VLOOKUP(E204,COSTS_Spell_Lightning[#All],2),"/")</f>
        <v>/</v>
      </c>
      <c r="G204" s="94" t="str">
        <f>IF(E204&lt;&gt;"/",VLOOKUP(E204,COSTS_Spell_Lightning[#All],3),"/")</f>
        <v>/</v>
      </c>
      <c r="H204" s="390">
        <f t="shared" si="85"/>
        <v>0</v>
      </c>
      <c r="I204" s="534">
        <f t="shared" si="86"/>
        <v>0</v>
      </c>
      <c r="J204" s="998">
        <v>6</v>
      </c>
      <c r="K204" s="999" t="str">
        <f>IF(Paramètres!AH11=0,"",Paramètres!AH11)</f>
        <v/>
      </c>
      <c r="L204" s="811">
        <f t="shared" si="87"/>
        <v>0</v>
      </c>
      <c r="M204" s="587" t="str">
        <f t="shared" si="88"/>
        <v>/</v>
      </c>
      <c r="N204" s="116" t="str">
        <f>IF(P$197="Error","Error",IF(AND($N$197&lt;&gt;"/",$N$197&gt;'Paramètres - Admin'!$A7),'Paramètres - Admin'!$A8,"/"))</f>
        <v>/</v>
      </c>
      <c r="O204" s="391" t="str">
        <f>IF(N204&lt;&gt;"/",VLOOKUP(N204,COSTS_Spell_Healing[#All],2),"/")</f>
        <v>/</v>
      </c>
      <c r="P204" s="114" t="str">
        <f>IF(N204&lt;&gt;"/",VLOOKUP(N204,COSTS_Spell_Healing[#All],3),"/")</f>
        <v>/</v>
      </c>
      <c r="Q204" s="391">
        <f t="shared" si="89"/>
        <v>0</v>
      </c>
      <c r="R204" s="117">
        <f t="shared" si="90"/>
        <v>0</v>
      </c>
    </row>
    <row r="205" spans="1:51" ht="15" customHeight="1" thickBot="1">
      <c r="A205" s="998">
        <v>7</v>
      </c>
      <c r="B205" s="999" t="str">
        <f>IF(Paramètres!AG12=0,"",Paramètres!AG12)</f>
        <v/>
      </c>
      <c r="C205" s="811">
        <f t="shared" ref="C205" si="92">IF(C204&lt;&gt;0,C204+IF(AND(B204&lt;&gt;"",A204&lt;E$197),B204,0),IF(AND(B204&lt;&gt;"",A204&lt;E$197),B204,0))</f>
        <v>0</v>
      </c>
      <c r="D205" s="587" t="str">
        <f t="shared" si="84"/>
        <v>/</v>
      </c>
      <c r="E205" s="116" t="str">
        <f>IF(G$197="Error","Error",IF(AND($E$197&lt;&gt;"/",$E$197&gt;'Paramètres - Admin'!$A8),'Paramètres - Admin'!$A9,"/"))</f>
        <v>/</v>
      </c>
      <c r="F205" s="391" t="str">
        <f>IF(E205&lt;&gt;"/",VLOOKUP(E205,COSTS_Spell_Lightning[#All],2),"/")</f>
        <v>/</v>
      </c>
      <c r="G205" s="114" t="str">
        <f>IF(E205&lt;&gt;"/",VLOOKUP(E205,COSTS_Spell_Lightning[#All],3),"/")</f>
        <v>/</v>
      </c>
      <c r="H205" s="391">
        <f t="shared" si="85"/>
        <v>0</v>
      </c>
      <c r="I205" s="117">
        <f t="shared" si="86"/>
        <v>0</v>
      </c>
      <c r="J205" s="505"/>
      <c r="K205" s="506"/>
      <c r="L205" s="506"/>
      <c r="M205" s="506"/>
      <c r="N205" s="506"/>
      <c r="O205" s="507"/>
      <c r="P205" s="278" t="s">
        <v>31</v>
      </c>
      <c r="Q205" s="398">
        <f>IF(P$197="Error","Error",SUM(Q199:Q204))</f>
        <v>0</v>
      </c>
      <c r="R205" s="597">
        <f>IF(P$197="Error","Error",SUM(R199:R204))</f>
        <v>0</v>
      </c>
    </row>
    <row r="206" spans="1:51" ht="15" customHeight="1" thickBot="1">
      <c r="A206" s="505"/>
      <c r="B206" s="506"/>
      <c r="C206" s="506"/>
      <c r="D206" s="506"/>
      <c r="E206" s="506"/>
      <c r="F206" s="507"/>
      <c r="G206" s="278" t="s">
        <v>31</v>
      </c>
      <c r="H206" s="398">
        <f>IF(G$197="Error","Error",SUM(H199:H205))</f>
        <v>0</v>
      </c>
      <c r="I206" s="597">
        <f>IF(G$197="Error","Error",SUM(I199:I205))</f>
        <v>0</v>
      </c>
      <c r="J206" s="1104" t="s">
        <v>194</v>
      </c>
      <c r="K206" s="1109"/>
      <c r="L206" s="1110"/>
      <c r="M206" s="80" t="s">
        <v>38</v>
      </c>
      <c r="N206" s="81" t="s">
        <v>39</v>
      </c>
      <c r="O206" s="82"/>
      <c r="P206" s="524" t="s">
        <v>256</v>
      </c>
      <c r="Q206" s="526" t="s">
        <v>361</v>
      </c>
      <c r="R206" s="525" t="s">
        <v>257</v>
      </c>
    </row>
    <row r="207" spans="1:51" ht="15" customHeight="1" thickBot="1">
      <c r="A207" s="1104" t="s">
        <v>192</v>
      </c>
      <c r="B207" s="1109"/>
      <c r="C207" s="1110"/>
      <c r="D207" s="80" t="s">
        <v>38</v>
      </c>
      <c r="E207" s="81" t="s">
        <v>39</v>
      </c>
      <c r="F207" s="82"/>
      <c r="G207" s="524" t="s">
        <v>256</v>
      </c>
      <c r="H207" s="526" t="s">
        <v>361</v>
      </c>
      <c r="I207" s="525" t="s">
        <v>257</v>
      </c>
      <c r="J207" s="1101"/>
      <c r="K207" s="1102"/>
      <c r="L207" s="1103"/>
      <c r="M207" s="88">
        <f>VLOOKUP($A$2,AVAILABLE_Upgrades_Spells[#All],MATCH(J206,AVAILABLE_Upgrades_Spells[#Headers],0))</f>
        <v>0</v>
      </c>
      <c r="N207" s="528">
        <f>VLOOKUP(IF(ISERROR(LOOKUP(MATCH(1,Paramètres!$K$6:$K$45,0),Paramètres!$A$6:$A$45)),0,LOOKUP(MATCH(1,Paramètres!$K$6:$K$45,0),Paramètres!$A$6:$A$45)),AVAILABLE_Upgrades_Spells[#All],MATCH(J206,AVAILABLE_Upgrades_Spells[#Headers],0)+1)</f>
        <v>0</v>
      </c>
      <c r="O207" s="205"/>
      <c r="P207" s="96">
        <f>IF(SUM(K209:K213)&gt;M207,"Error",SUM(K209:K213))</f>
        <v>0</v>
      </c>
      <c r="Q207" s="97">
        <f>IF(P$207="Error","Error",M207-P207)</f>
        <v>0</v>
      </c>
      <c r="R207" s="206">
        <f>IF(P$207="Error","Error",SUM(M209:M213))</f>
        <v>0</v>
      </c>
    </row>
    <row r="208" spans="1:51" ht="15" customHeight="1" thickBot="1">
      <c r="A208" s="1101"/>
      <c r="B208" s="1102"/>
      <c r="C208" s="1103"/>
      <c r="D208" s="88">
        <f>VLOOKUP($A$2,AVAILABLE_Upgrades_Spells[#All],MATCH(A207,AVAILABLE_Upgrades_Spells[#Headers],0))</f>
        <v>0</v>
      </c>
      <c r="E208" s="528">
        <f>VLOOKUP(IF(ISERROR(LOOKUP(MATCH(1,Paramètres!$K$6:$K$45,0),Paramètres!$A$6:$A$45)),0,LOOKUP(MATCH(1,Paramètres!$K$6:$K$45,0),Paramètres!$A$6:$A$45)),AVAILABLE_Upgrades_Spells[#All],MATCH(A207,AVAILABLE_Upgrades_Spells[#Headers],0)+1)</f>
        <v>0</v>
      </c>
      <c r="F208" s="205"/>
      <c r="G208" s="96">
        <f>IF(SUM(B210:B214)&gt;D208,"Error",SUM(B210:B214))</f>
        <v>0</v>
      </c>
      <c r="H208" s="97">
        <f>IF(G$208="Error","Error",D208-G208)</f>
        <v>0</v>
      </c>
      <c r="I208" s="206">
        <f>IF(G$208="Error","Error",SUM(D210:D214))</f>
        <v>0</v>
      </c>
      <c r="J208" s="208" t="s">
        <v>30</v>
      </c>
      <c r="K208" s="128" t="s">
        <v>29</v>
      </c>
      <c r="L208" s="101"/>
      <c r="M208" s="220" t="s">
        <v>29</v>
      </c>
      <c r="N208" s="221" t="s">
        <v>30</v>
      </c>
      <c r="O208" s="544" t="s">
        <v>258</v>
      </c>
      <c r="P208" s="544" t="s">
        <v>259</v>
      </c>
      <c r="Q208" s="544" t="s">
        <v>232</v>
      </c>
      <c r="R208" s="545" t="s">
        <v>233</v>
      </c>
    </row>
    <row r="209" spans="1:18" ht="15" customHeight="1" thickBot="1">
      <c r="A209" s="99" t="s">
        <v>30</v>
      </c>
      <c r="B209" s="128" t="s">
        <v>29</v>
      </c>
      <c r="C209" s="101"/>
      <c r="D209" s="220" t="s">
        <v>29</v>
      </c>
      <c r="E209" s="221" t="s">
        <v>30</v>
      </c>
      <c r="F209" s="544" t="s">
        <v>258</v>
      </c>
      <c r="G209" s="544" t="s">
        <v>259</v>
      </c>
      <c r="H209" s="544" t="s">
        <v>232</v>
      </c>
      <c r="I209" s="545" t="s">
        <v>233</v>
      </c>
      <c r="J209" s="524">
        <v>1</v>
      </c>
      <c r="K209" s="995" t="str">
        <f>IF(Paramètres!AK6=0,"",Paramètres!AK6)</f>
        <v/>
      </c>
      <c r="L209" s="598">
        <f>IF(L208&lt;&gt;0,L208+IF(AND(K208&lt;&gt;"",J208&lt;N$207),K208,0),IF(AND(K208&lt;&gt;"",J208&lt;N$207),K208,0))</f>
        <v>0</v>
      </c>
      <c r="M209" s="585" t="str">
        <f>IF(N209&lt;&gt;"/",IF(P$207="Error","Error",$Q$207+L209),"/")</f>
        <v>/</v>
      </c>
      <c r="N209" s="469" t="str">
        <f>IF(P$207="Error","Error",IF(AND($N$207&lt;&gt;"/",$N$207&gt;'Paramètres - Admin'!$A2),'Paramètres - Admin'!$A3,"/"))</f>
        <v>/</v>
      </c>
      <c r="O209" s="389" t="str">
        <f>IF(N209&lt;&gt;"/",VLOOKUP(N209,COSTS_Spell_Freeze[#All],2),"/")</f>
        <v>/</v>
      </c>
      <c r="P209" s="470" t="str">
        <f>IF(N209&lt;&gt;"/",VLOOKUP(N209,COSTS_Spell_Freeze[#All],3),"/")</f>
        <v>/</v>
      </c>
      <c r="Q209" s="389">
        <f>IF(P$207="Error","Error",IF(O209&lt;&gt;"/",M209*O209,0))</f>
        <v>0</v>
      </c>
      <c r="R209" s="471">
        <f>IF(P$207="Error","Error",IF(P209&lt;&gt;"/",M209*P209,0))</f>
        <v>0</v>
      </c>
    </row>
    <row r="210" spans="1:18" ht="15" customHeight="1">
      <c r="A210" s="524">
        <v>1</v>
      </c>
      <c r="B210" s="995" t="str">
        <f>IF(Paramètres!AI6=0,"",Paramètres!AI6)</f>
        <v/>
      </c>
      <c r="C210" s="598">
        <f>IF(C209&lt;&gt;0,C209+IF(AND(B209&lt;&gt;"",A209&lt;E$208),B209,0),IF(AND(B209&lt;&gt;"",A209&lt;E$208),B209,0))</f>
        <v>0</v>
      </c>
      <c r="D210" s="585" t="str">
        <f>IF(E210&lt;&gt;"/",IF(G$208="Error","Error",$H$208+C210),"/")</f>
        <v>/</v>
      </c>
      <c r="E210" s="469" t="str">
        <f>IF(G$208="Error","Error",IF(AND($E$208&lt;&gt;"/",$E$208&gt;'Paramètres - Admin'!$A2),'Paramètres - Admin'!$A3,"/"))</f>
        <v>/</v>
      </c>
      <c r="F210" s="389" t="str">
        <f>IF(E210&lt;&gt;"/",VLOOKUP(E210,COSTS_Spell_Rage[#All],2),"/")</f>
        <v>/</v>
      </c>
      <c r="G210" s="470" t="str">
        <f>IF(E210&lt;&gt;"/",VLOOKUP(E210,COSTS_Spell_Rage[#All],3),"/")</f>
        <v>/</v>
      </c>
      <c r="H210" s="389">
        <f>IF(G$208="Error","Error",IF(F210&lt;&gt;"/",D210*F210,0))</f>
        <v>0</v>
      </c>
      <c r="I210" s="471">
        <f>IF(G$208="Error","Error",IF(G210&lt;&gt;"/",D210*G210,0))</f>
        <v>0</v>
      </c>
      <c r="J210" s="996">
        <v>2</v>
      </c>
      <c r="K210" s="997" t="str">
        <f>IF(Paramètres!AK7=0,"",Paramètres!AK7)</f>
        <v/>
      </c>
      <c r="L210" s="810">
        <f>IF(L209&lt;&gt;0,L209+IF(AND(K209&lt;&gt;"",J209&lt;N$207),K209,0),IF(AND(K209&lt;&gt;"",J209&lt;N$207),K209,0))</f>
        <v>0</v>
      </c>
      <c r="M210" s="586" t="str">
        <f>IF(N210&lt;&gt;"/",IF(P$207="Error","Error",$Q$207+L210),"/")</f>
        <v>/</v>
      </c>
      <c r="N210" s="108" t="str">
        <f>IF(P$207="Error","Error",IF(AND($N$207&lt;&gt;"/",$N$207&gt;'Paramètres - Admin'!$A3),'Paramètres - Admin'!$A4,"/"))</f>
        <v>/</v>
      </c>
      <c r="O210" s="390" t="str">
        <f>IF(N210&lt;&gt;"/",VLOOKUP(N210,COSTS_Spell_Freeze[#All],2),"/")</f>
        <v>/</v>
      </c>
      <c r="P210" s="94" t="str">
        <f>IF(N210&lt;&gt;"/",VLOOKUP(N210,COSTS_Spell_Freeze[#All],3),"/")</f>
        <v>/</v>
      </c>
      <c r="Q210" s="390">
        <f>IF(P$207="Error","Error",IF(O210&lt;&gt;"/",M210*O210,0))</f>
        <v>0</v>
      </c>
      <c r="R210" s="534">
        <f>IF(P$207="Error","Error",IF(P210&lt;&gt;"/",M210*P210,0))</f>
        <v>0</v>
      </c>
    </row>
    <row r="211" spans="1:18" ht="15" customHeight="1">
      <c r="A211" s="996">
        <v>2</v>
      </c>
      <c r="B211" s="997" t="str">
        <f>IF(Paramètres!AI7=0,"",Paramètres!AI7)</f>
        <v/>
      </c>
      <c r="C211" s="810">
        <f>IF(C210&lt;&gt;0,C210+IF(AND(B210&lt;&gt;"",A210&lt;E$208),B210,0),IF(AND(B210&lt;&gt;"",A210&lt;E$208),B210,0))</f>
        <v>0</v>
      </c>
      <c r="D211" s="586" t="str">
        <f>IF(E211&lt;&gt;"/",IF(G$208="Error","Error",$H$208+C211),"/")</f>
        <v>/</v>
      </c>
      <c r="E211" s="108" t="str">
        <f>IF(G$208="Error","Error",IF(AND($E$208&lt;&gt;"/",$E$208&gt;'Paramètres - Admin'!$A3),'Paramètres - Admin'!$A4,"/"))</f>
        <v>/</v>
      </c>
      <c r="F211" s="390" t="str">
        <f>IF(E211&lt;&gt;"/",VLOOKUP(E211,COSTS_Spell_Rage[#All],2),"/")</f>
        <v>/</v>
      </c>
      <c r="G211" s="94" t="str">
        <f>IF(E211&lt;&gt;"/",VLOOKUP(E211,COSTS_Spell_Rage[#All],3),"/")</f>
        <v>/</v>
      </c>
      <c r="H211" s="390">
        <f>IF(G$208="Error","Error",IF(F211&lt;&gt;"/",D211*F211,0))</f>
        <v>0</v>
      </c>
      <c r="I211" s="534">
        <f>IF(G$208="Error","Error",IF(G211&lt;&gt;"/",D211*G211,0))</f>
        <v>0</v>
      </c>
      <c r="J211" s="996">
        <v>3</v>
      </c>
      <c r="K211" s="997" t="str">
        <f>IF(Paramètres!AK8=0,"",Paramètres!AK8)</f>
        <v/>
      </c>
      <c r="L211" s="810">
        <f>IF(L210&lt;&gt;0,L210+IF(AND(K210&lt;&gt;"",J210&lt;N$207),K210,0),IF(AND(K210&lt;&gt;"",J210&lt;N$207),K210,0))</f>
        <v>0</v>
      </c>
      <c r="M211" s="586" t="str">
        <f>IF(N211&lt;&gt;"/",IF(P$207="Error","Error",$Q$207+L211),"/")</f>
        <v>/</v>
      </c>
      <c r="N211" s="108" t="str">
        <f>IF(P$207="Error","Error",IF(AND($N$207&lt;&gt;"/",$N$207&gt;'Paramètres - Admin'!$A4),'Paramètres - Admin'!$A5,"/"))</f>
        <v>/</v>
      </c>
      <c r="O211" s="390" t="str">
        <f>IF(N211&lt;&gt;"/",VLOOKUP(N211,COSTS_Spell_Freeze[#All],2),"/")</f>
        <v>/</v>
      </c>
      <c r="P211" s="94" t="str">
        <f>IF(N211&lt;&gt;"/",VLOOKUP(N211,COSTS_Spell_Freeze[#All],3),"/")</f>
        <v>/</v>
      </c>
      <c r="Q211" s="390">
        <f>IF(P$207="Error","Error",IF(O211&lt;&gt;"/",M211*O211,0))</f>
        <v>0</v>
      </c>
      <c r="R211" s="534">
        <f>IF(P$207="Error","Error",IF(P211&lt;&gt;"/",M211*P211,0))</f>
        <v>0</v>
      </c>
    </row>
    <row r="212" spans="1:18" ht="15" customHeight="1">
      <c r="A212" s="996">
        <v>3</v>
      </c>
      <c r="B212" s="997" t="str">
        <f>IF(Paramètres!AI8=0,"",Paramètres!AI8)</f>
        <v/>
      </c>
      <c r="C212" s="810">
        <f>IF(C211&lt;&gt;0,C211+IF(AND(B211&lt;&gt;"",A211&lt;E$208),B211,0),IF(AND(B211&lt;&gt;"",A211&lt;E$208),B211,0))</f>
        <v>0</v>
      </c>
      <c r="D212" s="586" t="str">
        <f>IF(E212&lt;&gt;"/",IF(G$208="Error","Error",$H$208+C212),"/")</f>
        <v>/</v>
      </c>
      <c r="E212" s="108" t="str">
        <f>IF(G$208="Error","Error",IF(AND($E$208&lt;&gt;"/",$E$208&gt;'Paramètres - Admin'!$A4),'Paramètres - Admin'!$A5,"/"))</f>
        <v>/</v>
      </c>
      <c r="F212" s="390" t="str">
        <f>IF(E212&lt;&gt;"/",VLOOKUP(E212,COSTS_Spell_Rage[#All],2),"/")</f>
        <v>/</v>
      </c>
      <c r="G212" s="94" t="str">
        <f>IF(E212&lt;&gt;"/",VLOOKUP(E212,COSTS_Spell_Rage[#All],3),"/")</f>
        <v>/</v>
      </c>
      <c r="H212" s="390">
        <f>IF(G$208="Error","Error",IF(F212&lt;&gt;"/",D212*F212,0))</f>
        <v>0</v>
      </c>
      <c r="I212" s="534">
        <f>IF(G$208="Error","Error",IF(G212&lt;&gt;"/",D212*G212,0))</f>
        <v>0</v>
      </c>
      <c r="J212" s="996">
        <v>4</v>
      </c>
      <c r="K212" s="997" t="str">
        <f>IF(Paramètres!AK9=0,"",Paramètres!AK9)</f>
        <v/>
      </c>
      <c r="L212" s="810">
        <f>IF(L211&lt;&gt;0,L211+IF(AND(K211&lt;&gt;"",J211&lt;N$207),K211,0),IF(AND(K211&lt;&gt;"",J211&lt;N$207),K211,0))</f>
        <v>0</v>
      </c>
      <c r="M212" s="586" t="str">
        <f>IF(N212&lt;&gt;"/",IF(P$207="Error","Error",$Q$207+L212),"/")</f>
        <v>/</v>
      </c>
      <c r="N212" s="108" t="str">
        <f>IF(P$207="Error","Error",IF(AND($N$207&lt;&gt;"/",$N$207&gt;'Paramètres - Admin'!$A5),'Paramètres - Admin'!$A6,"/"))</f>
        <v>/</v>
      </c>
      <c r="O212" s="390" t="str">
        <f>IF(N212&lt;&gt;"/",VLOOKUP(N212,COSTS_Spell_Freeze[#All],2),"/")</f>
        <v>/</v>
      </c>
      <c r="P212" s="94" t="str">
        <f>IF(N212&lt;&gt;"/",VLOOKUP(N212,COSTS_Spell_Freeze[#All],3),"/")</f>
        <v>/</v>
      </c>
      <c r="Q212" s="390">
        <f>IF(P$207="Error","Error",IF(O212&lt;&gt;"/",M212*O212,0))</f>
        <v>0</v>
      </c>
      <c r="R212" s="534">
        <f>IF(P$207="Error","Error",IF(P212&lt;&gt;"/",M212*P212,0))</f>
        <v>0</v>
      </c>
    </row>
    <row r="213" spans="1:18" ht="15" customHeight="1" thickBot="1">
      <c r="A213" s="996">
        <v>4</v>
      </c>
      <c r="B213" s="997" t="str">
        <f>IF(Paramètres!AI9=0,"",Paramètres!AI9)</f>
        <v/>
      </c>
      <c r="C213" s="810">
        <f>IF(C212&lt;&gt;0,C212+IF(AND(B212&lt;&gt;"",A212&lt;E$208),B212,0),IF(AND(B212&lt;&gt;"",A212&lt;E$208),B212,0))</f>
        <v>0</v>
      </c>
      <c r="D213" s="586" t="str">
        <f>IF(E213&lt;&gt;"/",IF(G$208="Error","Error",$H$208+C213),"/")</f>
        <v>/</v>
      </c>
      <c r="E213" s="108" t="str">
        <f>IF(G$208="Error","Error",IF(AND($E$208&lt;&gt;"/",$E$208&gt;'Paramètres - Admin'!$A5),'Paramètres - Admin'!$A6,"/"))</f>
        <v>/</v>
      </c>
      <c r="F213" s="390" t="str">
        <f>IF(E213&lt;&gt;"/",VLOOKUP(E213,COSTS_Spell_Rage[#All],2),"/")</f>
        <v>/</v>
      </c>
      <c r="G213" s="94" t="str">
        <f>IF(E213&lt;&gt;"/",VLOOKUP(E213,COSTS_Spell_Rage[#All],3),"/")</f>
        <v>/</v>
      </c>
      <c r="H213" s="390">
        <f>IF(G$208="Error","Error",IF(F213&lt;&gt;"/",D213*F213,0))</f>
        <v>0</v>
      </c>
      <c r="I213" s="534">
        <f>IF(G$208="Error","Error",IF(G213&lt;&gt;"/",D213*G213,0))</f>
        <v>0</v>
      </c>
      <c r="J213" s="998">
        <v>5</v>
      </c>
      <c r="K213" s="999" t="str">
        <f>IF(Paramètres!AK10=0,"",Paramètres!AK10)</f>
        <v/>
      </c>
      <c r="L213" s="811">
        <f>IF(L212&lt;&gt;0,L212+IF(AND(K212&lt;&gt;"",J212&lt;N$207),K212,0),IF(AND(K212&lt;&gt;"",J212&lt;N$207),K212,0))</f>
        <v>0</v>
      </c>
      <c r="M213" s="587" t="str">
        <f>IF(N213&lt;&gt;"/",IF(P$207="Error","Error",$Q$207+L213),"/")</f>
        <v>/</v>
      </c>
      <c r="N213" s="116" t="str">
        <f>IF(P$207="Error","Error",IF(AND($N$207&lt;&gt;"/",$N$207&gt;'Paramètres - Admin'!$A6),'Paramètres - Admin'!$A7,"/"))</f>
        <v>/</v>
      </c>
      <c r="O213" s="391" t="str">
        <f>IF(N213&lt;&gt;"/",VLOOKUP(N213,COSTS_Spell_Freeze[#All],2),"/")</f>
        <v>/</v>
      </c>
      <c r="P213" s="114" t="str">
        <f>IF(N213&lt;&gt;"/",VLOOKUP(N213,COSTS_Spell_Freeze[#All],3),"/")</f>
        <v>/</v>
      </c>
      <c r="Q213" s="391">
        <f>IF(P$207="Error","Error",IF(O213&lt;&gt;"/",M213*O213,0))</f>
        <v>0</v>
      </c>
      <c r="R213" s="117">
        <f>IF(P$207="Error","Error",IF(P213&lt;&gt;"/",M213*P213,0))</f>
        <v>0</v>
      </c>
    </row>
    <row r="214" spans="1:18" ht="15" customHeight="1" thickBot="1">
      <c r="A214" s="998">
        <v>5</v>
      </c>
      <c r="B214" s="999" t="str">
        <f>IF(Paramètres!AI10=0,"",Paramètres!AI10)</f>
        <v/>
      </c>
      <c r="C214" s="811">
        <f>IF(C213&lt;&gt;0,C213+IF(AND(B213&lt;&gt;"",A213&lt;E$208),B213,0),IF(AND(B213&lt;&gt;"",A213&lt;E$208),B213,0))</f>
        <v>0</v>
      </c>
      <c r="D214" s="587" t="str">
        <f>IF(E214&lt;&gt;"/",IF(G$208="Error","Error",$H$208+C214),"/")</f>
        <v>/</v>
      </c>
      <c r="E214" s="116" t="str">
        <f>IF(G$208="Error","Error",IF(AND($E$208&lt;&gt;"/",$E$208&gt;'Paramètres - Admin'!$A6),'Paramètres - Admin'!$A7,"/"))</f>
        <v>/</v>
      </c>
      <c r="F214" s="391" t="str">
        <f>IF(E214&lt;&gt;"/",VLOOKUP(E214,COSTS_Spell_Rage[#All],2),"/")</f>
        <v>/</v>
      </c>
      <c r="G214" s="114" t="str">
        <f>IF(E214&lt;&gt;"/",VLOOKUP(E214,COSTS_Spell_Rage[#All],3),"/")</f>
        <v>/</v>
      </c>
      <c r="H214" s="391">
        <f>IF(G$208="Error","Error",IF(F214&lt;&gt;"/",D214*F214,0))</f>
        <v>0</v>
      </c>
      <c r="I214" s="117">
        <f>IF(G$208="Error","Error",IF(G214&lt;&gt;"/",D214*G214,0))</f>
        <v>0</v>
      </c>
      <c r="J214" s="964"/>
      <c r="K214" s="965"/>
      <c r="L214" s="965"/>
      <c r="M214" s="965"/>
      <c r="N214" s="965"/>
      <c r="O214" s="966"/>
      <c r="P214" s="278" t="s">
        <v>31</v>
      </c>
      <c r="Q214" s="398">
        <f>IF(P$207="Error","Error",SUM(Q209:Q213))</f>
        <v>0</v>
      </c>
      <c r="R214" s="597">
        <f>IF(P$207="Error","Error",SUM(R209:R213))</f>
        <v>0</v>
      </c>
    </row>
    <row r="215" spans="1:18" ht="15" customHeight="1" thickBot="1">
      <c r="A215" s="964"/>
      <c r="B215" s="965"/>
      <c r="C215" s="965"/>
      <c r="D215" s="965"/>
      <c r="E215" s="965"/>
      <c r="F215" s="966"/>
      <c r="G215" s="278" t="s">
        <v>31</v>
      </c>
      <c r="H215" s="398">
        <f>IF(G$208="Error","Error",SUM(H210:H214))</f>
        <v>0</v>
      </c>
      <c r="I215" s="597">
        <f>IF(G$208="Error","Error",SUM(I210:I214))</f>
        <v>0</v>
      </c>
    </row>
    <row r="216" spans="1:18" ht="15" customHeight="1">
      <c r="A216" s="1104" t="s">
        <v>193</v>
      </c>
      <c r="B216" s="1109"/>
      <c r="C216" s="1110"/>
      <c r="D216" s="80" t="s">
        <v>38</v>
      </c>
      <c r="E216" s="81" t="s">
        <v>39</v>
      </c>
      <c r="F216" s="82"/>
      <c r="G216" s="524" t="s">
        <v>256</v>
      </c>
      <c r="H216" s="526" t="s">
        <v>361</v>
      </c>
      <c r="I216" s="525" t="s">
        <v>257</v>
      </c>
    </row>
    <row r="217" spans="1:18" ht="15" customHeight="1" thickBot="1">
      <c r="A217" s="1101"/>
      <c r="B217" s="1102"/>
      <c r="C217" s="1103"/>
      <c r="D217" s="88">
        <f>VLOOKUP($A$2,AVAILABLE_Upgrades_Spells[#All],MATCH(A216,AVAILABLE_Upgrades_Spells[#Headers],0))</f>
        <v>0</v>
      </c>
      <c r="E217" s="528">
        <f>VLOOKUP(IF(ISERROR(LOOKUP(MATCH(1,Paramètres!$K$6:$K$45,0),Paramètres!$A$6:$A$45)),0,LOOKUP(MATCH(1,Paramètres!$K$6:$K$45,0),Paramètres!$A$6:$A$45)),AVAILABLE_Upgrades_Spells[#All],MATCH(A216,AVAILABLE_Upgrades_Spells[#Headers],0)+1)</f>
        <v>0</v>
      </c>
      <c r="F217" s="205"/>
      <c r="G217" s="96">
        <f>IF(SUM(B219:B221)&gt;D217,"Error",SUM(B219:B221))</f>
        <v>0</v>
      </c>
      <c r="H217" s="97">
        <f>IF(G$217="Error","Error",D217-G217)</f>
        <v>0</v>
      </c>
      <c r="I217" s="206">
        <f>IF(G$217="Error","Error",SUM(D219:D221))</f>
        <v>0</v>
      </c>
    </row>
    <row r="218" spans="1:18" ht="15" customHeight="1" thickBot="1">
      <c r="A218" s="532" t="s">
        <v>30</v>
      </c>
      <c r="B218" s="343" t="s">
        <v>29</v>
      </c>
      <c r="C218" s="593"/>
      <c r="D218" s="467" t="s">
        <v>29</v>
      </c>
      <c r="E218" s="468" t="s">
        <v>30</v>
      </c>
      <c r="F218" s="230" t="s">
        <v>258</v>
      </c>
      <c r="G218" s="230" t="s">
        <v>259</v>
      </c>
      <c r="H218" s="230" t="s">
        <v>232</v>
      </c>
      <c r="I218" s="231" t="s">
        <v>233</v>
      </c>
    </row>
    <row r="219" spans="1:18" ht="15" customHeight="1">
      <c r="A219" s="524">
        <v>1</v>
      </c>
      <c r="B219" s="995" t="str">
        <f>IF(Paramètres!AJ6=0,"",Paramètres!AJ6)</f>
        <v/>
      </c>
      <c r="C219" s="598">
        <f>IF(C218&lt;&gt;0,C218+IF(AND(B218&lt;&gt;"",A218&lt;E$217),B218,0),IF(AND(B218&lt;&gt;"",A218&lt;E$217),B218,0))</f>
        <v>0</v>
      </c>
      <c r="D219" s="585" t="str">
        <f>IF(E219&lt;&gt;"/",IF(G$217="Error","Error",$H$217+C219),"/")</f>
        <v>/</v>
      </c>
      <c r="E219" s="469" t="str">
        <f>IF(G$217="Error","Error",IF(AND($E$217&lt;&gt;"/",$E$217&gt;'Paramètres - Admin'!$A2),'Paramètres - Admin'!$A3,"/"))</f>
        <v>/</v>
      </c>
      <c r="F219" s="389" t="str">
        <f>IF(E219&lt;&gt;"/",VLOOKUP(E219,COSTS_Spell_Jump[#All],2),"/")</f>
        <v>/</v>
      </c>
      <c r="G219" s="470" t="str">
        <f>IF(E219&lt;&gt;"/",VLOOKUP(E219,COSTS_Spell_Jump[#All],3),"/")</f>
        <v>/</v>
      </c>
      <c r="H219" s="389">
        <f>IF(G$217="Error","Error",IF(F219&lt;&gt;"/",D219*F219,0))</f>
        <v>0</v>
      </c>
      <c r="I219" s="471">
        <f>IF(G$217="Error","Error",IF(G219&lt;&gt;"/",D219*G219,0))</f>
        <v>0</v>
      </c>
    </row>
    <row r="220" spans="1:18" ht="15" customHeight="1">
      <c r="A220" s="996">
        <v>2</v>
      </c>
      <c r="B220" s="997" t="str">
        <f>IF(Paramètres!AJ7=0,"",Paramètres!AJ7)</f>
        <v/>
      </c>
      <c r="C220" s="810">
        <f>IF(C219&lt;&gt;0,C219+IF(AND(B219&lt;&gt;"",A219&lt;E$217),B219,0),IF(AND(B219&lt;&gt;"",A219&lt;E$217),B219,0))</f>
        <v>0</v>
      </c>
      <c r="D220" s="586" t="str">
        <f>IF(E220&lt;&gt;"/",IF(G$217="Error","Error",$H$217+C220),"/")</f>
        <v>/</v>
      </c>
      <c r="E220" s="108" t="str">
        <f>IF(G$217="Error","Error",IF(AND($E$217&lt;&gt;"/",$E$217&gt;'Paramètres - Admin'!$A3),'Paramètres - Admin'!$A4,"/"))</f>
        <v>/</v>
      </c>
      <c r="F220" s="390" t="str">
        <f>IF(E220&lt;&gt;"/",VLOOKUP(E220,COSTS_Spell_Jump[#All],2),"/")</f>
        <v>/</v>
      </c>
      <c r="G220" s="94" t="str">
        <f>IF(E220&lt;&gt;"/",VLOOKUP(E220,COSTS_Spell_Jump[#All],3),"/")</f>
        <v>/</v>
      </c>
      <c r="H220" s="390">
        <f>IF(G$217="Error","Error",IF(F220&lt;&gt;"/",D220*F220,0))</f>
        <v>0</v>
      </c>
      <c r="I220" s="534">
        <f>IF(G$217="Error","Error",IF(G220&lt;&gt;"/",D220*G220,0))</f>
        <v>0</v>
      </c>
    </row>
    <row r="221" spans="1:18" ht="15" customHeight="1" thickBot="1">
      <c r="A221" s="998">
        <v>3</v>
      </c>
      <c r="B221" s="999" t="str">
        <f>IF(Paramètres!AJ8=0,"",Paramètres!AJ8)</f>
        <v/>
      </c>
      <c r="C221" s="811">
        <f>IF(C220&lt;&gt;0,C220+IF(AND(B220&lt;&gt;"",A220&lt;E$217),B220,0),IF(AND(B220&lt;&gt;"",A220&lt;E$217),B220,0))</f>
        <v>0</v>
      </c>
      <c r="D221" s="587" t="str">
        <f>IF(E221&lt;&gt;"/",IF(G$217="Error","Error",$H$217+C221),"/")</f>
        <v>/</v>
      </c>
      <c r="E221" s="116" t="str">
        <f>IF(G$217="Error","Error",IF(AND($E$217&lt;&gt;"/",$E$217&gt;'Paramètres - Admin'!$A4),'Paramètres - Admin'!$A5,"/"))</f>
        <v>/</v>
      </c>
      <c r="F221" s="391" t="str">
        <f>IF(E221&lt;&gt;"/",VLOOKUP(E221,COSTS_Spell_Jump[#All],2),"/")</f>
        <v>/</v>
      </c>
      <c r="G221" s="114" t="str">
        <f>IF(E221&lt;&gt;"/",VLOOKUP(E221,COSTS_Spell_Jump[#All],3),"/")</f>
        <v>/</v>
      </c>
      <c r="H221" s="391">
        <f>IF(G$217="Error","Error",IF(F221&lt;&gt;"/",D221*F221,0))</f>
        <v>0</v>
      </c>
      <c r="I221" s="117">
        <f>IF(G$217="Error","Error",IF(G221&lt;&gt;"/",D221*G221,0))</f>
        <v>0</v>
      </c>
    </row>
    <row r="222" spans="1:18" ht="15" customHeight="1" thickBot="1">
      <c r="A222" s="967"/>
      <c r="B222" s="968"/>
      <c r="C222" s="968"/>
      <c r="D222" s="968"/>
      <c r="E222" s="968"/>
      <c r="F222" s="969"/>
      <c r="G222" s="523" t="s">
        <v>31</v>
      </c>
      <c r="H222" s="392">
        <f>IF(G$217="Error","Error",SUM(H219:H221))</f>
        <v>0</v>
      </c>
      <c r="I222" s="546">
        <f>IF(G$217="Error","Error",SUM(I219:I221))</f>
        <v>0</v>
      </c>
    </row>
    <row r="224" spans="1:18" ht="15" customHeight="1" thickBot="1"/>
    <row r="225" spans="1:51" ht="20.100000000000001" customHeight="1" thickBot="1">
      <c r="A225" s="1096" t="s">
        <v>240</v>
      </c>
      <c r="B225" s="1097"/>
      <c r="C225" s="1097"/>
      <c r="D225" s="1097"/>
      <c r="E225" s="1097"/>
      <c r="F225" s="1097"/>
      <c r="G225" s="1097"/>
      <c r="H225" s="1097"/>
      <c r="I225" s="1097"/>
      <c r="J225" s="1097"/>
      <c r="K225" s="1097"/>
      <c r="L225" s="1097"/>
      <c r="M225" s="1097"/>
      <c r="N225" s="1097"/>
      <c r="O225" s="1097"/>
      <c r="P225" s="1097"/>
      <c r="Q225" s="1097"/>
      <c r="R225" s="1097"/>
    </row>
    <row r="226" spans="1:51" ht="15" customHeight="1">
      <c r="A226" s="1104" t="s">
        <v>195</v>
      </c>
      <c r="B226" s="1109"/>
      <c r="C226" s="1110"/>
      <c r="D226" s="80" t="s">
        <v>38</v>
      </c>
      <c r="E226" s="81" t="s">
        <v>39</v>
      </c>
      <c r="F226" s="82"/>
      <c r="G226" s="524" t="s">
        <v>256</v>
      </c>
      <c r="H226" s="526" t="s">
        <v>361</v>
      </c>
      <c r="I226" s="525" t="s">
        <v>257</v>
      </c>
      <c r="J226" s="1104" t="s">
        <v>186</v>
      </c>
      <c r="K226" s="1109"/>
      <c r="L226" s="1110"/>
      <c r="M226" s="80" t="s">
        <v>38</v>
      </c>
      <c r="N226" s="81" t="s">
        <v>39</v>
      </c>
      <c r="O226" s="82"/>
      <c r="P226" s="524" t="s">
        <v>256</v>
      </c>
      <c r="Q226" s="526" t="s">
        <v>361</v>
      </c>
      <c r="R226" s="525" t="s">
        <v>257</v>
      </c>
    </row>
    <row r="227" spans="1:51" ht="15" customHeight="1" thickBot="1">
      <c r="A227" s="1101"/>
      <c r="B227" s="1102"/>
      <c r="C227" s="1103"/>
      <c r="D227" s="88">
        <f>VLOOKUP($A$2,AVAILABLE_Upgrades_Normal_Troops[#All],MATCH(A226,AVAILABLE_Upgrades_Normal_Troops[#Headers],0))</f>
        <v>0</v>
      </c>
      <c r="E227" s="89">
        <f>VLOOKUP(IF(ISERROR(LOOKUP(MATCH(1,Paramètres!$K$6:$K$45,0),Paramètres!$A$6:$A$45)),0,LOOKUP(MATCH(1,Paramètres!$K$6:$K$45,0),Paramètres!$A$6:$A$45)),AVAILABLE_Upgrades_Normal_Troops[#All],MATCH(A226,AVAILABLE_Upgrades_Normal_Troops[#Headers],0)+1)</f>
        <v>0</v>
      </c>
      <c r="F227" s="205"/>
      <c r="G227" s="96">
        <f>IF(SUM(B229:B235)&gt;D227,"Error",SUM(B229:B235))</f>
        <v>0</v>
      </c>
      <c r="H227" s="97">
        <f>IF(G$227="Error","Error",D227-G227)</f>
        <v>0</v>
      </c>
      <c r="I227" s="206">
        <f>IF(G$227="Error","Error",SUM(D229:D235))</f>
        <v>0</v>
      </c>
      <c r="J227" s="1101"/>
      <c r="K227" s="1102"/>
      <c r="L227" s="1103"/>
      <c r="M227" s="88">
        <f>VLOOKUP($A$2,AVAILABLE_Upgrades_Normal_Troops[#All],MATCH(J226,AVAILABLE_Upgrades_Normal_Troops[#Headers],0))</f>
        <v>0</v>
      </c>
      <c r="N227" s="528">
        <f>VLOOKUP(IF(ISERROR(LOOKUP(MATCH(1,Paramètres!$K$6:$K$45,0),Paramètres!$A$6:$A$45)),0,LOOKUP(MATCH(1,Paramètres!$K$6:$K$45,0),Paramètres!$A$6:$A$45)),AVAILABLE_Upgrades_Normal_Troops[#All],MATCH(J226,AVAILABLE_Upgrades_Normal_Troops[#Headers],0)+1)</f>
        <v>0</v>
      </c>
      <c r="O227" s="205"/>
      <c r="P227" s="96">
        <f>IF(SUM(K229:K234)&gt;M227,"Error",SUM(K229:K234))</f>
        <v>0</v>
      </c>
      <c r="Q227" s="97">
        <f>IF(P$227="Error","Error",M227-P227)</f>
        <v>0</v>
      </c>
      <c r="R227" s="206">
        <f>IF(P$227="Error","Error",SUM(M229:M234))</f>
        <v>0</v>
      </c>
    </row>
    <row r="228" spans="1:51" ht="15" customHeight="1" thickBot="1">
      <c r="A228" s="532" t="s">
        <v>30</v>
      </c>
      <c r="B228" s="343" t="s">
        <v>29</v>
      </c>
      <c r="C228" s="593"/>
      <c r="D228" s="467" t="s">
        <v>29</v>
      </c>
      <c r="E228" s="468" t="s">
        <v>30</v>
      </c>
      <c r="F228" s="230" t="s">
        <v>258</v>
      </c>
      <c r="G228" s="230" t="s">
        <v>259</v>
      </c>
      <c r="H228" s="230" t="s">
        <v>232</v>
      </c>
      <c r="I228" s="231" t="s">
        <v>233</v>
      </c>
      <c r="J228" s="532" t="s">
        <v>30</v>
      </c>
      <c r="K228" s="343" t="s">
        <v>29</v>
      </c>
      <c r="L228" s="593"/>
      <c r="M228" s="467" t="s">
        <v>29</v>
      </c>
      <c r="N228" s="468" t="s">
        <v>30</v>
      </c>
      <c r="O228" s="230" t="s">
        <v>258</v>
      </c>
      <c r="P228" s="230" t="s">
        <v>259</v>
      </c>
      <c r="Q228" s="230" t="s">
        <v>232</v>
      </c>
      <c r="R228" s="231" t="s">
        <v>233</v>
      </c>
    </row>
    <row r="229" spans="1:51" ht="15" customHeight="1">
      <c r="A229" s="524">
        <v>1</v>
      </c>
      <c r="B229" s="995" t="str">
        <f>IF(Paramètres!AO6=0,"",Paramètres!AO6)</f>
        <v/>
      </c>
      <c r="C229" s="598">
        <f t="shared" ref="C229:C235" si="93">IF(C228&lt;&gt;0,C228+IF(AND(B228&lt;&gt;"",A228&lt;E$227),B228,0),IF(AND(B228&lt;&gt;"",A228&lt;E$227),B228,0))</f>
        <v>0</v>
      </c>
      <c r="D229" s="585" t="str">
        <f t="shared" ref="D229:D235" si="94">IF(E229&lt;&gt;"/",IF(G$227="Error","Error",$H$227+C229),"/")</f>
        <v>/</v>
      </c>
      <c r="E229" s="469" t="str">
        <f>IF(G$227="Error","Error",IF(AND($E$227&lt;&gt;"/",$E$227&gt;'Paramètres - Admin'!$A2),'Paramètres - Admin'!$A3,"/"))</f>
        <v>/</v>
      </c>
      <c r="F229" s="389" t="str">
        <f>IF(E229&lt;&gt;"/",VLOOKUP(E229,COSTS_Barbarian[#All],2),"/")</f>
        <v>/</v>
      </c>
      <c r="G229" s="470" t="str">
        <f>IF(E229&lt;&gt;"/",VLOOKUP(E229,COSTS_Barbarian[#All],3),"/")</f>
        <v>/</v>
      </c>
      <c r="H229" s="389">
        <f t="shared" ref="H229:H235" si="95">IF(G$227="Error","Error",IF(F229&lt;&gt;"/",D229*F229,0))</f>
        <v>0</v>
      </c>
      <c r="I229" s="471">
        <f t="shared" ref="I229:I235" si="96">IF(G$227="Error","Error",IF(G229&lt;&gt;"/",D229*G229,0))</f>
        <v>0</v>
      </c>
      <c r="J229" s="524">
        <v>1</v>
      </c>
      <c r="K229" s="995" t="str">
        <f>IF(Paramètres!AT6=0,"",Paramètres!AT6)</f>
        <v/>
      </c>
      <c r="L229" s="598">
        <f t="shared" ref="L229:L234" si="97">IF(L228&lt;&gt;0,L228+IF(AND(K228&lt;&gt;"",J228&lt;N$227),K228,0),IF(AND(K228&lt;&gt;"",J228&lt;N$227),K228,0))</f>
        <v>0</v>
      </c>
      <c r="M229" s="585" t="str">
        <f t="shared" ref="M229:M234" si="98">IF(N229&lt;&gt;"/",IF(P$227="Error","Error",$Q$227+L229),"/")</f>
        <v>/</v>
      </c>
      <c r="N229" s="469" t="str">
        <f>IF(P$227="Error","Error",IF(AND($N$227&lt;&gt;"/",$N$227&gt;'Paramètres - Admin'!$A2),'Paramètres - Admin'!$A3,"/"))</f>
        <v>/</v>
      </c>
      <c r="O229" s="389" t="str">
        <f>IF(N229&lt;&gt;"/",VLOOKUP(N229,COSTS_Balloon[#All],2),"/")</f>
        <v>/</v>
      </c>
      <c r="P229" s="470" t="str">
        <f>IF(N229&lt;&gt;"/",VLOOKUP(N229,COSTS_Balloon[#All],3),"/")</f>
        <v>/</v>
      </c>
      <c r="Q229" s="389">
        <f t="shared" ref="Q229:Q234" si="99">IF(P$227="Error","Error",IF(O229&lt;&gt;"/",M229*O229,0))</f>
        <v>0</v>
      </c>
      <c r="R229" s="471">
        <f t="shared" ref="R229:R234" si="100">IF(P$227="Error","Error",IF(P229&lt;&gt;"/",M229*P229,0))</f>
        <v>0</v>
      </c>
    </row>
    <row r="230" spans="1:51" ht="15" customHeight="1">
      <c r="A230" s="996">
        <v>2</v>
      </c>
      <c r="B230" s="997" t="str">
        <f>IF(Paramètres!AO7=0,"",Paramètres!AO7)</f>
        <v/>
      </c>
      <c r="C230" s="810">
        <f t="shared" si="93"/>
        <v>0</v>
      </c>
      <c r="D230" s="586" t="str">
        <f t="shared" si="94"/>
        <v>/</v>
      </c>
      <c r="E230" s="108" t="str">
        <f>IF(G$227="Error","Error",IF(AND($E$227&lt;&gt;"/",$E$227&gt;'Paramètres - Admin'!$A3),'Paramètres - Admin'!$A4,"/"))</f>
        <v>/</v>
      </c>
      <c r="F230" s="390" t="str">
        <f>IF(E230&lt;&gt;"/",VLOOKUP(E230,COSTS_Barbarian[#All],2),"/")</f>
        <v>/</v>
      </c>
      <c r="G230" s="94" t="str">
        <f>IF(E230&lt;&gt;"/",VLOOKUP(E230,COSTS_Barbarian[#All],3),"/")</f>
        <v>/</v>
      </c>
      <c r="H230" s="390">
        <f t="shared" si="95"/>
        <v>0</v>
      </c>
      <c r="I230" s="534">
        <f t="shared" si="96"/>
        <v>0</v>
      </c>
      <c r="J230" s="996">
        <v>2</v>
      </c>
      <c r="K230" s="997" t="str">
        <f>IF(Paramètres!AT7=0,"",Paramètres!AT7)</f>
        <v/>
      </c>
      <c r="L230" s="810">
        <f t="shared" si="97"/>
        <v>0</v>
      </c>
      <c r="M230" s="586" t="str">
        <f t="shared" si="98"/>
        <v>/</v>
      </c>
      <c r="N230" s="108" t="str">
        <f>IF(P$227="Error","Error",IF(AND($N$227&lt;&gt;"/",$N$227&gt;'Paramètres - Admin'!$A3),'Paramètres - Admin'!$A4,"/"))</f>
        <v>/</v>
      </c>
      <c r="O230" s="390" t="str">
        <f>IF(N230&lt;&gt;"/",VLOOKUP(N230,COSTS_Balloon[#All],2),"/")</f>
        <v>/</v>
      </c>
      <c r="P230" s="94" t="str">
        <f>IF(N230&lt;&gt;"/",VLOOKUP(N230,COSTS_Balloon[#All],3),"/")</f>
        <v>/</v>
      </c>
      <c r="Q230" s="390">
        <f t="shared" si="99"/>
        <v>0</v>
      </c>
      <c r="R230" s="534">
        <f t="shared" si="100"/>
        <v>0</v>
      </c>
    </row>
    <row r="231" spans="1:51" ht="15" customHeight="1">
      <c r="A231" s="996">
        <v>3</v>
      </c>
      <c r="B231" s="997" t="str">
        <f>IF(Paramètres!AO8=0,"",Paramètres!AO8)</f>
        <v/>
      </c>
      <c r="C231" s="810">
        <f t="shared" si="93"/>
        <v>0</v>
      </c>
      <c r="D231" s="586" t="str">
        <f t="shared" si="94"/>
        <v>/</v>
      </c>
      <c r="E231" s="108" t="str">
        <f>IF(G$227="Error","Error",IF(AND($E$227&lt;&gt;"/",$E$227&gt;'Paramètres - Admin'!$A4),'Paramètres - Admin'!$A5,"/"))</f>
        <v>/</v>
      </c>
      <c r="F231" s="390" t="str">
        <f>IF(E231&lt;&gt;"/",VLOOKUP(E231,COSTS_Barbarian[#All],2),"/")</f>
        <v>/</v>
      </c>
      <c r="G231" s="94" t="str">
        <f>IF(E231&lt;&gt;"/",VLOOKUP(E231,COSTS_Barbarian[#All],3),"/")</f>
        <v>/</v>
      </c>
      <c r="H231" s="390">
        <f t="shared" si="95"/>
        <v>0</v>
      </c>
      <c r="I231" s="534">
        <f t="shared" si="96"/>
        <v>0</v>
      </c>
      <c r="J231" s="996">
        <v>3</v>
      </c>
      <c r="K231" s="997" t="str">
        <f>IF(Paramètres!AT8=0,"",Paramètres!AT8)</f>
        <v/>
      </c>
      <c r="L231" s="810">
        <f t="shared" si="97"/>
        <v>0</v>
      </c>
      <c r="M231" s="586" t="str">
        <f t="shared" si="98"/>
        <v>/</v>
      </c>
      <c r="N231" s="108" t="str">
        <f>IF(P$227="Error","Error",IF(AND($N$227&lt;&gt;"/",$N$227&gt;'Paramètres - Admin'!$A4),'Paramètres - Admin'!$A5,"/"))</f>
        <v>/</v>
      </c>
      <c r="O231" s="390" t="str">
        <f>IF(N231&lt;&gt;"/",VLOOKUP(N231,COSTS_Balloon[#All],2),"/")</f>
        <v>/</v>
      </c>
      <c r="P231" s="94" t="str">
        <f>IF(N231&lt;&gt;"/",VLOOKUP(N231,COSTS_Balloon[#All],3),"/")</f>
        <v>/</v>
      </c>
      <c r="Q231" s="390">
        <f t="shared" si="99"/>
        <v>0</v>
      </c>
      <c r="R231" s="534">
        <f t="shared" si="100"/>
        <v>0</v>
      </c>
    </row>
    <row r="232" spans="1:51" ht="15" customHeight="1">
      <c r="A232" s="996">
        <v>4</v>
      </c>
      <c r="B232" s="997" t="str">
        <f>IF(Paramètres!AO9=0,"",Paramètres!AO9)</f>
        <v/>
      </c>
      <c r="C232" s="810">
        <f t="shared" si="93"/>
        <v>0</v>
      </c>
      <c r="D232" s="586" t="str">
        <f t="shared" si="94"/>
        <v>/</v>
      </c>
      <c r="E232" s="108" t="str">
        <f>IF(G$227="Error","Error",IF(AND($E$227&lt;&gt;"/",$E$227&gt;'Paramètres - Admin'!$A5),'Paramètres - Admin'!$A6,"/"))</f>
        <v>/</v>
      </c>
      <c r="F232" s="390" t="str">
        <f>IF(E232&lt;&gt;"/",VLOOKUP(E232,COSTS_Barbarian[#All],2),"/")</f>
        <v>/</v>
      </c>
      <c r="G232" s="94" t="str">
        <f>IF(E232&lt;&gt;"/",VLOOKUP(E232,COSTS_Barbarian[#All],3),"/")</f>
        <v>/</v>
      </c>
      <c r="H232" s="390">
        <f t="shared" si="95"/>
        <v>0</v>
      </c>
      <c r="I232" s="534">
        <f t="shared" si="96"/>
        <v>0</v>
      </c>
      <c r="J232" s="996">
        <v>4</v>
      </c>
      <c r="K232" s="997" t="str">
        <f>IF(Paramètres!AT9=0,"",Paramètres!AT9)</f>
        <v/>
      </c>
      <c r="L232" s="810">
        <f t="shared" si="97"/>
        <v>0</v>
      </c>
      <c r="M232" s="586" t="str">
        <f t="shared" si="98"/>
        <v>/</v>
      </c>
      <c r="N232" s="108" t="str">
        <f>IF(P$227="Error","Error",IF(AND($N$227&lt;&gt;"/",$N$227&gt;'Paramètres - Admin'!$A5),'Paramètres - Admin'!$A6,"/"))</f>
        <v>/</v>
      </c>
      <c r="O232" s="390" t="str">
        <f>IF(N232&lt;&gt;"/",VLOOKUP(N232,COSTS_Balloon[#All],2),"/")</f>
        <v>/</v>
      </c>
      <c r="P232" s="94" t="str">
        <f>IF(N232&lt;&gt;"/",VLOOKUP(N232,COSTS_Balloon[#All],3),"/")</f>
        <v>/</v>
      </c>
      <c r="Q232" s="390">
        <f t="shared" si="99"/>
        <v>0</v>
      </c>
      <c r="R232" s="534">
        <f t="shared" si="100"/>
        <v>0</v>
      </c>
    </row>
    <row r="233" spans="1:51" ht="15" customHeight="1">
      <c r="A233" s="996">
        <v>5</v>
      </c>
      <c r="B233" s="997" t="str">
        <f>IF(Paramètres!AO10=0,"",Paramètres!AO10)</f>
        <v/>
      </c>
      <c r="C233" s="810">
        <f t="shared" si="93"/>
        <v>0</v>
      </c>
      <c r="D233" s="586" t="str">
        <f t="shared" si="94"/>
        <v>/</v>
      </c>
      <c r="E233" s="108" t="str">
        <f>IF(G$227="Error","Error",IF(AND($E$227&lt;&gt;"/",$E$227&gt;'Paramètres - Admin'!$A6),'Paramètres - Admin'!$A7,"/"))</f>
        <v>/</v>
      </c>
      <c r="F233" s="390" t="str">
        <f>IF(E233&lt;&gt;"/",VLOOKUP(E233,COSTS_Barbarian[#All],2),"/")</f>
        <v>/</v>
      </c>
      <c r="G233" s="94" t="str">
        <f>IF(E233&lt;&gt;"/",VLOOKUP(E233,COSTS_Barbarian[#All],3),"/")</f>
        <v>/</v>
      </c>
      <c r="H233" s="390">
        <f t="shared" si="95"/>
        <v>0</v>
      </c>
      <c r="I233" s="534">
        <f t="shared" si="96"/>
        <v>0</v>
      </c>
      <c r="J233" s="996">
        <v>5</v>
      </c>
      <c r="K233" s="997" t="str">
        <f>IF(Paramètres!AT10=0,"",Paramètres!AT10)</f>
        <v/>
      </c>
      <c r="L233" s="810">
        <f t="shared" si="97"/>
        <v>0</v>
      </c>
      <c r="M233" s="586" t="str">
        <f t="shared" si="98"/>
        <v>/</v>
      </c>
      <c r="N233" s="108" t="str">
        <f>IF(P$227="Error","Error",IF(AND($N$227&lt;&gt;"/",$N$227&gt;'Paramètres - Admin'!$A6),'Paramètres - Admin'!$A7,"/"))</f>
        <v>/</v>
      </c>
      <c r="O233" s="390" t="str">
        <f>IF(N233&lt;&gt;"/",VLOOKUP(N233,COSTS_Balloon[#All],2),"/")</f>
        <v>/</v>
      </c>
      <c r="P233" s="94" t="str">
        <f>IF(N233&lt;&gt;"/",VLOOKUP(N233,COSTS_Balloon[#All],3),"/")</f>
        <v>/</v>
      </c>
      <c r="Q233" s="390">
        <f t="shared" si="99"/>
        <v>0</v>
      </c>
      <c r="R233" s="534">
        <f t="shared" si="100"/>
        <v>0</v>
      </c>
      <c r="AO233" s="537"/>
      <c r="AP233" s="537"/>
      <c r="AQ233" s="537"/>
      <c r="AR233" s="537"/>
      <c r="AS233" s="537"/>
      <c r="AT233" s="537"/>
      <c r="AU233" s="537"/>
      <c r="AV233" s="537"/>
      <c r="AW233" s="537"/>
      <c r="AX233" s="537"/>
      <c r="AY233" s="537"/>
    </row>
    <row r="234" spans="1:51" ht="15" customHeight="1" thickBot="1">
      <c r="A234" s="996">
        <v>6</v>
      </c>
      <c r="B234" s="997" t="str">
        <f>IF(Paramètres!AO11=0,"",Paramètres!AO11)</f>
        <v/>
      </c>
      <c r="C234" s="810">
        <f t="shared" si="93"/>
        <v>0</v>
      </c>
      <c r="D234" s="586" t="str">
        <f t="shared" si="94"/>
        <v>/</v>
      </c>
      <c r="E234" s="108" t="str">
        <f>IF(G$227="Error","Error",IF(AND($E$227&lt;&gt;"/",$E$227&gt;'Paramètres - Admin'!$A7),'Paramètres - Admin'!$A8,"/"))</f>
        <v>/</v>
      </c>
      <c r="F234" s="390" t="str">
        <f>IF(E234&lt;&gt;"/",VLOOKUP(E234,COSTS_Barbarian[#All],2),"/")</f>
        <v>/</v>
      </c>
      <c r="G234" s="94" t="str">
        <f>IF(E234&lt;&gt;"/",VLOOKUP(E234,COSTS_Barbarian[#All],3),"/")</f>
        <v>/</v>
      </c>
      <c r="H234" s="390">
        <f t="shared" si="95"/>
        <v>0</v>
      </c>
      <c r="I234" s="534">
        <f t="shared" si="96"/>
        <v>0</v>
      </c>
      <c r="J234" s="998">
        <v>6</v>
      </c>
      <c r="K234" s="999" t="str">
        <f>IF(Paramètres!AT11=0,"",Paramètres!AT11)</f>
        <v/>
      </c>
      <c r="L234" s="811">
        <f t="shared" si="97"/>
        <v>0</v>
      </c>
      <c r="M234" s="587" t="str">
        <f t="shared" si="98"/>
        <v>/</v>
      </c>
      <c r="N234" s="116" t="str">
        <f>IF(P$227="Error","Error",IF(AND($N$227&lt;&gt;"/",$N$227&gt;'Paramètres - Admin'!$A7),'Paramètres - Admin'!$A8,"/"))</f>
        <v>/</v>
      </c>
      <c r="O234" s="391" t="str">
        <f>IF(N234&lt;&gt;"/",VLOOKUP(N234,COSTS_Balloon[#All],2),"/")</f>
        <v>/</v>
      </c>
      <c r="P234" s="114" t="str">
        <f>IF(N234&lt;&gt;"/",VLOOKUP(N234,COSTS_Balloon[#All],3),"/")</f>
        <v>/</v>
      </c>
      <c r="Q234" s="391">
        <f t="shared" si="99"/>
        <v>0</v>
      </c>
      <c r="R234" s="117">
        <f t="shared" si="100"/>
        <v>0</v>
      </c>
    </row>
    <row r="235" spans="1:51" s="537" customFormat="1" ht="15" customHeight="1" thickBot="1">
      <c r="A235" s="998">
        <v>7</v>
      </c>
      <c r="B235" s="999" t="str">
        <f>IF(Paramètres!AO12=0,"",Paramètres!AO12)</f>
        <v/>
      </c>
      <c r="C235" s="811">
        <f t="shared" si="93"/>
        <v>0</v>
      </c>
      <c r="D235" s="587" t="str">
        <f t="shared" si="94"/>
        <v>/</v>
      </c>
      <c r="E235" s="116" t="str">
        <f>IF(G$227="Error","Error",IF(AND($E$227&lt;&gt;"/",$E$227&gt;'Paramètres - Admin'!$A8),'Paramètres - Admin'!$A9,"/"))</f>
        <v>/</v>
      </c>
      <c r="F235" s="391" t="str">
        <f>IF(E235&lt;&gt;"/",VLOOKUP(E235,COSTS_Barbarian[#All],2),"/")</f>
        <v>/</v>
      </c>
      <c r="G235" s="114" t="str">
        <f>IF(E235&lt;&gt;"/",VLOOKUP(E235,COSTS_Barbarian[#All],3),"/")</f>
        <v>/</v>
      </c>
      <c r="H235" s="391">
        <f t="shared" si="95"/>
        <v>0</v>
      </c>
      <c r="I235" s="117">
        <f t="shared" si="96"/>
        <v>0</v>
      </c>
      <c r="J235" s="581"/>
      <c r="K235" s="581"/>
      <c r="L235" s="581"/>
      <c r="M235" s="581"/>
      <c r="N235" s="581"/>
      <c r="O235" s="582"/>
      <c r="P235" s="523" t="s">
        <v>31</v>
      </c>
      <c r="Q235" s="392">
        <f>IF(P$227="Error","Error",SUM(Q229:Q234))</f>
        <v>0</v>
      </c>
      <c r="R235" s="226">
        <f>IF(P$227="Error","Error",SUM(R229:R234))</f>
        <v>0</v>
      </c>
      <c r="AO235" s="131"/>
      <c r="AP235" s="131"/>
      <c r="AQ235" s="131"/>
      <c r="AR235" s="131"/>
      <c r="AS235" s="131"/>
      <c r="AT235" s="131"/>
      <c r="AU235" s="131"/>
      <c r="AV235" s="131"/>
      <c r="AW235" s="131"/>
      <c r="AX235" s="131"/>
      <c r="AY235" s="131"/>
    </row>
    <row r="236" spans="1:51" ht="15" customHeight="1" thickBot="1">
      <c r="A236" s="594"/>
      <c r="B236" s="581"/>
      <c r="C236" s="581"/>
      <c r="D236" s="581"/>
      <c r="E236" s="581"/>
      <c r="F236" s="582"/>
      <c r="G236" s="523" t="s">
        <v>31</v>
      </c>
      <c r="H236" s="392">
        <f>IF(G$227="Error","Error",SUM(H229:H235))</f>
        <v>0</v>
      </c>
      <c r="I236" s="226">
        <f>IF(G$227="Error","Error",SUM(I229:I235))</f>
        <v>0</v>
      </c>
      <c r="J236" s="1104" t="s">
        <v>185</v>
      </c>
      <c r="K236" s="1109"/>
      <c r="L236" s="1110"/>
      <c r="M236" s="80" t="s">
        <v>38</v>
      </c>
      <c r="N236" s="81" t="s">
        <v>39</v>
      </c>
      <c r="O236" s="82"/>
      <c r="P236" s="524" t="s">
        <v>256</v>
      </c>
      <c r="Q236" s="526" t="s">
        <v>361</v>
      </c>
      <c r="R236" s="525" t="s">
        <v>257</v>
      </c>
    </row>
    <row r="237" spans="1:51" ht="15" customHeight="1" thickBot="1">
      <c r="A237" s="1104" t="s">
        <v>50</v>
      </c>
      <c r="B237" s="1109"/>
      <c r="C237" s="1110"/>
      <c r="D237" s="80" t="s">
        <v>38</v>
      </c>
      <c r="E237" s="81" t="s">
        <v>39</v>
      </c>
      <c r="F237" s="82"/>
      <c r="G237" s="524" t="s">
        <v>256</v>
      </c>
      <c r="H237" s="526" t="s">
        <v>361</v>
      </c>
      <c r="I237" s="525" t="s">
        <v>257</v>
      </c>
      <c r="J237" s="1101"/>
      <c r="K237" s="1102"/>
      <c r="L237" s="1103"/>
      <c r="M237" s="88">
        <f>VLOOKUP($A$2,AVAILABLE_Upgrades_Normal_Troops[#All],MATCH(J236,AVAILABLE_Upgrades_Normal_Troops[#Headers],0))</f>
        <v>0</v>
      </c>
      <c r="N237" s="528">
        <f>VLOOKUP(IF(ISERROR(LOOKUP(MATCH(1,Paramètres!$K$6:$K$45,0),Paramètres!$A$6:$A$45)),0,LOOKUP(MATCH(1,Paramètres!$K$6:$K$45,0),Paramètres!$A$6:$A$45)),AVAILABLE_Upgrades_Normal_Troops[#All],MATCH(J236,AVAILABLE_Upgrades_Normal_Troops[#Headers],0)+1)</f>
        <v>0</v>
      </c>
      <c r="O237" s="205"/>
      <c r="P237" s="96">
        <f>IF(SUM(K239:K244)&gt;M237,"Error",SUM(K239:K244))</f>
        <v>0</v>
      </c>
      <c r="Q237" s="97">
        <f>IF(P$237="Error","Error",M237-P237)</f>
        <v>0</v>
      </c>
      <c r="R237" s="206">
        <f>IF(P$237="Error","Error",SUM(M239:M244))</f>
        <v>0</v>
      </c>
    </row>
    <row r="238" spans="1:51" ht="15" customHeight="1" thickBot="1">
      <c r="A238" s="1101"/>
      <c r="B238" s="1102"/>
      <c r="C238" s="1103"/>
      <c r="D238" s="88">
        <f>VLOOKUP($A$2,AVAILABLE_Upgrades_Normal_Troops[#All],MATCH(A237,AVAILABLE_Upgrades_Normal_Troops[#Headers],0))</f>
        <v>0</v>
      </c>
      <c r="E238" s="528">
        <f>VLOOKUP(IF(ISERROR(LOOKUP(MATCH(1,Paramètres!$K$6:$K$45,0),Paramètres!$A$6:$A$45)),0,LOOKUP(MATCH(1,Paramètres!$K$6:$K$45,0),Paramètres!$A$6:$A$45)),AVAILABLE_Upgrades_Normal_Troops[#All],MATCH(A237,AVAILABLE_Upgrades_Normal_Troops[#Headers],0)+1)</f>
        <v>0</v>
      </c>
      <c r="F238" s="205"/>
      <c r="G238" s="96">
        <f>IF(SUM(B240:B246)&gt;D238,"Error",SUM(B240:B246))</f>
        <v>0</v>
      </c>
      <c r="H238" s="97">
        <f>IF(G$238="Error","Error",D238-G238)</f>
        <v>0</v>
      </c>
      <c r="I238" s="206">
        <f>IF(G$238="Error","Error",SUM(D240:D246))</f>
        <v>0</v>
      </c>
      <c r="J238" s="532" t="s">
        <v>30</v>
      </c>
      <c r="K238" s="343" t="s">
        <v>29</v>
      </c>
      <c r="L238" s="593"/>
      <c r="M238" s="467" t="s">
        <v>29</v>
      </c>
      <c r="N238" s="468" t="s">
        <v>30</v>
      </c>
      <c r="O238" s="230" t="s">
        <v>258</v>
      </c>
      <c r="P238" s="230" t="s">
        <v>259</v>
      </c>
      <c r="Q238" s="230" t="s">
        <v>232</v>
      </c>
      <c r="R238" s="231" t="s">
        <v>233</v>
      </c>
    </row>
    <row r="239" spans="1:51" ht="15" customHeight="1" thickBot="1">
      <c r="A239" s="532" t="s">
        <v>30</v>
      </c>
      <c r="B239" s="343" t="s">
        <v>29</v>
      </c>
      <c r="C239" s="593"/>
      <c r="D239" s="467" t="s">
        <v>29</v>
      </c>
      <c r="E239" s="468" t="s">
        <v>30</v>
      </c>
      <c r="F239" s="230" t="s">
        <v>258</v>
      </c>
      <c r="G239" s="230" t="s">
        <v>259</v>
      </c>
      <c r="H239" s="230" t="s">
        <v>232</v>
      </c>
      <c r="I239" s="231" t="s">
        <v>233</v>
      </c>
      <c r="J239" s="524">
        <v>1</v>
      </c>
      <c r="K239" s="995" t="str">
        <f>IF(Paramètres!AU6=0,"",Paramètres!AU6)</f>
        <v/>
      </c>
      <c r="L239" s="598">
        <f t="shared" ref="L239:L244" si="101">IF(L238&lt;&gt;0,L238+IF(AND(K238&lt;&gt;"",J238&lt;N$237),K238,0),IF(AND(K238&lt;&gt;"",J238&lt;N$237),K238,0))</f>
        <v>0</v>
      </c>
      <c r="M239" s="585" t="str">
        <f t="shared" ref="M239:M244" si="102">IF(N239&lt;&gt;"/",IF(P$237="Error","Error",$Q$237+L239),"/")</f>
        <v>/</v>
      </c>
      <c r="N239" s="469" t="str">
        <f>IF(P$237="Error","Error",IF(AND($N$237&lt;&gt;"/",$N$237&gt;'Paramètres - Admin'!$A2),'Paramètres - Admin'!$A3,"/"))</f>
        <v>/</v>
      </c>
      <c r="O239" s="389" t="str">
        <f>IF(N239&lt;&gt;"/",VLOOKUP(N239,COSTS_Wizard[#All],2),"/")</f>
        <v>/</v>
      </c>
      <c r="P239" s="470" t="str">
        <f>IF(N239&lt;&gt;"/",VLOOKUP(N239,COSTS_Wizard[#All],3),"/")</f>
        <v>/</v>
      </c>
      <c r="Q239" s="389">
        <f t="shared" ref="Q239:Q244" si="103">IF(P$237="Error","Error",IF(O239&lt;&gt;"/",M239*O239,0))</f>
        <v>0</v>
      </c>
      <c r="R239" s="471">
        <f t="shared" ref="R239:R244" si="104">IF(P$237="Error","Error",IF(P239&lt;&gt;"/",M239*P239,0))</f>
        <v>0</v>
      </c>
    </row>
    <row r="240" spans="1:51" ht="15" customHeight="1">
      <c r="A240" s="524">
        <v>1</v>
      </c>
      <c r="B240" s="995" t="str">
        <f>IF(Paramètres!AP6=0,"",Paramètres!AP6)</f>
        <v/>
      </c>
      <c r="C240" s="598">
        <f t="shared" ref="C240:C246" si="105">IF(C239&lt;&gt;0,C239+IF(AND(B239&lt;&gt;"",A239&lt;E$238),B239,0),IF(AND(B239&lt;&gt;"",A239&lt;E$238),B239,0))</f>
        <v>0</v>
      </c>
      <c r="D240" s="585" t="str">
        <f t="shared" ref="D240:D246" si="106">IF(E240&lt;&gt;"/",IF(G$238="Error","Error",$H$238+C240),"/")</f>
        <v>/</v>
      </c>
      <c r="E240" s="469" t="str">
        <f>IF(G$238="Error","Error",IF(AND($E$238&lt;&gt;"/",$E$238&gt;'Paramètres - Admin'!$A2),'Paramètres - Admin'!$A3,"/"))</f>
        <v>/</v>
      </c>
      <c r="F240" s="389" t="str">
        <f>IF(E240&lt;&gt;"/",VLOOKUP(E240,COSTS_Archer[#All],2),"/")</f>
        <v>/</v>
      </c>
      <c r="G240" s="470" t="str">
        <f>IF(E240&lt;&gt;"/",VLOOKUP(E240,COSTS_Archer[#All],3),"/")</f>
        <v>/</v>
      </c>
      <c r="H240" s="389">
        <f t="shared" ref="H240:H246" si="107">IF(G$238="Error","Error",IF(F240&lt;&gt;"/",D240*F240,0))</f>
        <v>0</v>
      </c>
      <c r="I240" s="471">
        <f t="shared" ref="I240:I246" si="108">IF(G$238="Error","Error",IF(G240&lt;&gt;"/",D240*G240,0))</f>
        <v>0</v>
      </c>
      <c r="J240" s="996">
        <v>2</v>
      </c>
      <c r="K240" s="997" t="str">
        <f>IF(Paramètres!AU7=0,"",Paramètres!AU7)</f>
        <v/>
      </c>
      <c r="L240" s="810">
        <f t="shared" si="101"/>
        <v>0</v>
      </c>
      <c r="M240" s="586" t="str">
        <f t="shared" si="102"/>
        <v>/</v>
      </c>
      <c r="N240" s="108" t="str">
        <f>IF(P$237="Error","Error",IF(AND($N$237&lt;&gt;"/",$N$237&gt;'Paramètres - Admin'!$A3),'Paramètres - Admin'!$A4,"/"))</f>
        <v>/</v>
      </c>
      <c r="O240" s="390" t="str">
        <f>IF(N240&lt;&gt;"/",VLOOKUP(N240,COSTS_Wizard[#All],2),"/")</f>
        <v>/</v>
      </c>
      <c r="P240" s="94" t="str">
        <f>IF(N240&lt;&gt;"/",VLOOKUP(N240,COSTS_Wizard[#All],3),"/")</f>
        <v>/</v>
      </c>
      <c r="Q240" s="390">
        <f t="shared" si="103"/>
        <v>0</v>
      </c>
      <c r="R240" s="534">
        <f t="shared" si="104"/>
        <v>0</v>
      </c>
    </row>
    <row r="241" spans="1:51" ht="15" customHeight="1">
      <c r="A241" s="996">
        <v>2</v>
      </c>
      <c r="B241" s="997" t="str">
        <f>IF(Paramètres!AP7=0,"",Paramètres!AP7)</f>
        <v/>
      </c>
      <c r="C241" s="810">
        <f t="shared" si="105"/>
        <v>0</v>
      </c>
      <c r="D241" s="586" t="str">
        <f t="shared" si="106"/>
        <v>/</v>
      </c>
      <c r="E241" s="108" t="str">
        <f>IF(G$238="Error","Error",IF(AND($E$238&lt;&gt;"/",$E$238&gt;'Paramètres - Admin'!$A3),'Paramètres - Admin'!$A4,"/"))</f>
        <v>/</v>
      </c>
      <c r="F241" s="390" t="str">
        <f>IF(E241&lt;&gt;"/",VLOOKUP(E241,COSTS_Archer[#All],2),"/")</f>
        <v>/</v>
      </c>
      <c r="G241" s="94" t="str">
        <f>IF(E241&lt;&gt;"/",VLOOKUP(E241,COSTS_Archer[#All],3),"/")</f>
        <v>/</v>
      </c>
      <c r="H241" s="390">
        <f t="shared" si="107"/>
        <v>0</v>
      </c>
      <c r="I241" s="534">
        <f t="shared" si="108"/>
        <v>0</v>
      </c>
      <c r="J241" s="996">
        <v>3</v>
      </c>
      <c r="K241" s="997" t="str">
        <f>IF(Paramètres!AU8=0,"",Paramètres!AU8)</f>
        <v/>
      </c>
      <c r="L241" s="810">
        <f t="shared" si="101"/>
        <v>0</v>
      </c>
      <c r="M241" s="586" t="str">
        <f t="shared" si="102"/>
        <v>/</v>
      </c>
      <c r="N241" s="108" t="str">
        <f>IF(P$237="Error","Error",IF(AND($N$237&lt;&gt;"/",$N$237&gt;'Paramètres - Admin'!$A4),'Paramètres - Admin'!$A5,"/"))</f>
        <v>/</v>
      </c>
      <c r="O241" s="390" t="str">
        <f>IF(N241&lt;&gt;"/",VLOOKUP(N241,COSTS_Wizard[#All],2),"/")</f>
        <v>/</v>
      </c>
      <c r="P241" s="94" t="str">
        <f>IF(N241&lt;&gt;"/",VLOOKUP(N241,COSTS_Wizard[#All],3),"/")</f>
        <v>/</v>
      </c>
      <c r="Q241" s="390">
        <f t="shared" si="103"/>
        <v>0</v>
      </c>
      <c r="R241" s="534">
        <f t="shared" si="104"/>
        <v>0</v>
      </c>
    </row>
    <row r="242" spans="1:51" ht="15" customHeight="1">
      <c r="A242" s="996">
        <v>3</v>
      </c>
      <c r="B242" s="997" t="str">
        <f>IF(Paramètres!AP8=0,"",Paramètres!AP8)</f>
        <v/>
      </c>
      <c r="C242" s="810">
        <f t="shared" si="105"/>
        <v>0</v>
      </c>
      <c r="D242" s="586" t="str">
        <f t="shared" si="106"/>
        <v>/</v>
      </c>
      <c r="E242" s="108" t="str">
        <f>IF(G$238="Error","Error",IF(AND($E$238&lt;&gt;"/",$E$238&gt;'Paramètres - Admin'!$A4),'Paramètres - Admin'!$A5,"/"))</f>
        <v>/</v>
      </c>
      <c r="F242" s="390" t="str">
        <f>IF(E242&lt;&gt;"/",VLOOKUP(E242,COSTS_Archer[#All],2),"/")</f>
        <v>/</v>
      </c>
      <c r="G242" s="94" t="str">
        <f>IF(E242&lt;&gt;"/",VLOOKUP(E242,COSTS_Archer[#All],3),"/")</f>
        <v>/</v>
      </c>
      <c r="H242" s="390">
        <f t="shared" si="107"/>
        <v>0</v>
      </c>
      <c r="I242" s="534">
        <f t="shared" si="108"/>
        <v>0</v>
      </c>
      <c r="J242" s="996">
        <v>4</v>
      </c>
      <c r="K242" s="997" t="str">
        <f>IF(Paramètres!AU9=0,"",Paramètres!AU9)</f>
        <v/>
      </c>
      <c r="L242" s="810">
        <f t="shared" si="101"/>
        <v>0</v>
      </c>
      <c r="M242" s="586" t="str">
        <f t="shared" si="102"/>
        <v>/</v>
      </c>
      <c r="N242" s="108" t="str">
        <f>IF(P$237="Error","Error",IF(AND($N$237&lt;&gt;"/",$N$237&gt;'Paramètres - Admin'!$A5),'Paramètres - Admin'!$A6,"/"))</f>
        <v>/</v>
      </c>
      <c r="O242" s="390" t="str">
        <f>IF(N242&lt;&gt;"/",VLOOKUP(N242,COSTS_Wizard[#All],2),"/")</f>
        <v>/</v>
      </c>
      <c r="P242" s="94" t="str">
        <f>IF(N242&lt;&gt;"/",VLOOKUP(N242,COSTS_Wizard[#All],3),"/")</f>
        <v>/</v>
      </c>
      <c r="Q242" s="390">
        <f t="shared" si="103"/>
        <v>0</v>
      </c>
      <c r="R242" s="534">
        <f t="shared" si="104"/>
        <v>0</v>
      </c>
    </row>
    <row r="243" spans="1:51" ht="15" customHeight="1">
      <c r="A243" s="996">
        <v>4</v>
      </c>
      <c r="B243" s="997" t="str">
        <f>IF(Paramètres!AP9=0,"",Paramètres!AP9)</f>
        <v/>
      </c>
      <c r="C243" s="810">
        <f t="shared" si="105"/>
        <v>0</v>
      </c>
      <c r="D243" s="586" t="str">
        <f t="shared" si="106"/>
        <v>/</v>
      </c>
      <c r="E243" s="108" t="str">
        <f>IF(G$238="Error","Error",IF(AND($E$238&lt;&gt;"/",$E$238&gt;'Paramètres - Admin'!$A5),'Paramètres - Admin'!$A6,"/"))</f>
        <v>/</v>
      </c>
      <c r="F243" s="390" t="str">
        <f>IF(E243&lt;&gt;"/",VLOOKUP(E243,COSTS_Archer[#All],2),"/")</f>
        <v>/</v>
      </c>
      <c r="G243" s="94" t="str">
        <f>IF(E243&lt;&gt;"/",VLOOKUP(E243,COSTS_Archer[#All],3),"/")</f>
        <v>/</v>
      </c>
      <c r="H243" s="390">
        <f t="shared" si="107"/>
        <v>0</v>
      </c>
      <c r="I243" s="534">
        <f t="shared" si="108"/>
        <v>0</v>
      </c>
      <c r="J243" s="996">
        <v>5</v>
      </c>
      <c r="K243" s="997" t="str">
        <f>IF(Paramètres!AU10=0,"",Paramètres!AU10)</f>
        <v/>
      </c>
      <c r="L243" s="810">
        <f t="shared" si="101"/>
        <v>0</v>
      </c>
      <c r="M243" s="586" t="str">
        <f t="shared" si="102"/>
        <v>/</v>
      </c>
      <c r="N243" s="108" t="str">
        <f>IF(P$237="Error","Error",IF(AND($N$237&lt;&gt;"/",$N$237&gt;'Paramètres - Admin'!$A6),'Paramètres - Admin'!$A7,"/"))</f>
        <v>/</v>
      </c>
      <c r="O243" s="390" t="str">
        <f>IF(N243&lt;&gt;"/",VLOOKUP(N243,COSTS_Wizard[#All],2),"/")</f>
        <v>/</v>
      </c>
      <c r="P243" s="94" t="str">
        <f>IF(N243&lt;&gt;"/",VLOOKUP(N243,COSTS_Wizard[#All],3),"/")</f>
        <v>/</v>
      </c>
      <c r="Q243" s="390">
        <f t="shared" si="103"/>
        <v>0</v>
      </c>
      <c r="R243" s="534">
        <f t="shared" si="104"/>
        <v>0</v>
      </c>
    </row>
    <row r="244" spans="1:51" ht="15" customHeight="1" thickBot="1">
      <c r="A244" s="996">
        <v>5</v>
      </c>
      <c r="B244" s="997" t="str">
        <f>IF(Paramètres!AP10=0,"",Paramètres!AP10)</f>
        <v/>
      </c>
      <c r="C244" s="810">
        <f t="shared" si="105"/>
        <v>0</v>
      </c>
      <c r="D244" s="586" t="str">
        <f t="shared" si="106"/>
        <v>/</v>
      </c>
      <c r="E244" s="108" t="str">
        <f>IF(G$238="Error","Error",IF(AND($E$238&lt;&gt;"/",$E$238&gt;'Paramètres - Admin'!$A6),'Paramètres - Admin'!$A7,"/"))</f>
        <v>/</v>
      </c>
      <c r="F244" s="390" t="str">
        <f>IF(E244&lt;&gt;"/",VLOOKUP(E244,COSTS_Archer[#All],2),"/")</f>
        <v>/</v>
      </c>
      <c r="G244" s="94" t="str">
        <f>IF(E244&lt;&gt;"/",VLOOKUP(E244,COSTS_Archer[#All],3),"/")</f>
        <v>/</v>
      </c>
      <c r="H244" s="390">
        <f t="shared" si="107"/>
        <v>0</v>
      </c>
      <c r="I244" s="534">
        <f t="shared" si="108"/>
        <v>0</v>
      </c>
      <c r="J244" s="998">
        <v>6</v>
      </c>
      <c r="K244" s="999" t="str">
        <f>IF(Paramètres!AU11=0,"",Paramètres!AU11)</f>
        <v/>
      </c>
      <c r="L244" s="811">
        <f t="shared" si="101"/>
        <v>0</v>
      </c>
      <c r="M244" s="587" t="str">
        <f t="shared" si="102"/>
        <v>/</v>
      </c>
      <c r="N244" s="116" t="str">
        <f>IF(P$237="Error","Error",IF(AND($N$237&lt;&gt;"/",$N$237&gt;'Paramètres - Admin'!$A7),'Paramètres - Admin'!$A8,"/"))</f>
        <v>/</v>
      </c>
      <c r="O244" s="391" t="str">
        <f>IF(N244&lt;&gt;"/",VLOOKUP(N244,COSTS_Wizard[#All],2),"/")</f>
        <v>/</v>
      </c>
      <c r="P244" s="114" t="str">
        <f>IF(N244&lt;&gt;"/",VLOOKUP(N244,COSTS_Wizard[#All],3),"/")</f>
        <v>/</v>
      </c>
      <c r="Q244" s="391">
        <f t="shared" si="103"/>
        <v>0</v>
      </c>
      <c r="R244" s="117">
        <f t="shared" si="104"/>
        <v>0</v>
      </c>
      <c r="AO244" s="537"/>
      <c r="AP244" s="537"/>
      <c r="AQ244" s="537"/>
      <c r="AR244" s="537"/>
      <c r="AS244" s="537"/>
      <c r="AT244" s="537"/>
      <c r="AU244" s="537"/>
      <c r="AV244" s="537"/>
      <c r="AW244" s="537"/>
      <c r="AX244" s="537"/>
      <c r="AY244" s="537"/>
    </row>
    <row r="245" spans="1:51" ht="15" customHeight="1" thickBot="1">
      <c r="A245" s="996">
        <v>6</v>
      </c>
      <c r="B245" s="997" t="str">
        <f>IF(Paramètres!AP11=0,"",Paramètres!AP11)</f>
        <v/>
      </c>
      <c r="C245" s="810">
        <f t="shared" si="105"/>
        <v>0</v>
      </c>
      <c r="D245" s="586" t="str">
        <f t="shared" si="106"/>
        <v>/</v>
      </c>
      <c r="E245" s="108" t="str">
        <f>IF(G$238="Error","Error",IF(AND($E$238&lt;&gt;"/",$E$238&gt;'Paramètres - Admin'!$A7),'Paramètres - Admin'!$A8,"/"))</f>
        <v>/</v>
      </c>
      <c r="F245" s="390" t="str">
        <f>IF(E245&lt;&gt;"/",VLOOKUP(E245,COSTS_Archer[#All],2),"/")</f>
        <v>/</v>
      </c>
      <c r="G245" s="94" t="str">
        <f>IF(E245&lt;&gt;"/",VLOOKUP(E245,COSTS_Archer[#All],3),"/")</f>
        <v>/</v>
      </c>
      <c r="H245" s="390">
        <f t="shared" si="107"/>
        <v>0</v>
      </c>
      <c r="I245" s="534">
        <f t="shared" si="108"/>
        <v>0</v>
      </c>
      <c r="J245" s="581"/>
      <c r="K245" s="581"/>
      <c r="L245" s="581"/>
      <c r="M245" s="581"/>
      <c r="N245" s="581"/>
      <c r="O245" s="582"/>
      <c r="P245" s="523" t="s">
        <v>31</v>
      </c>
      <c r="Q245" s="392">
        <f>IF(P$237="Error","Error",SUM(Q239:Q244))</f>
        <v>0</v>
      </c>
      <c r="R245" s="226">
        <f>IF(P$237="Error","Error",SUM(R239:R244))</f>
        <v>0</v>
      </c>
    </row>
    <row r="246" spans="1:51" s="537" customFormat="1" ht="15" customHeight="1" thickBot="1">
      <c r="A246" s="998">
        <v>7</v>
      </c>
      <c r="B246" s="999" t="str">
        <f>IF(Paramètres!AP12=0,"",Paramètres!AP12)</f>
        <v/>
      </c>
      <c r="C246" s="811">
        <f t="shared" si="105"/>
        <v>0</v>
      </c>
      <c r="D246" s="587" t="str">
        <f t="shared" si="106"/>
        <v>/</v>
      </c>
      <c r="E246" s="116" t="str">
        <f>IF(G$238="Error","Error",IF(AND($E$238&lt;&gt;"/",$E$238&gt;'Paramètres - Admin'!$A8),'Paramètres - Admin'!$A9,"/"))</f>
        <v>/</v>
      </c>
      <c r="F246" s="391" t="str">
        <f>IF(E246&lt;&gt;"/",VLOOKUP(E246,COSTS_Archer[#All],2),"/")</f>
        <v>/</v>
      </c>
      <c r="G246" s="114" t="str">
        <f>IF(E246&lt;&gt;"/",VLOOKUP(E246,COSTS_Archer[#All],3),"/")</f>
        <v>/</v>
      </c>
      <c r="H246" s="391">
        <f t="shared" si="107"/>
        <v>0</v>
      </c>
      <c r="I246" s="117">
        <f t="shared" si="108"/>
        <v>0</v>
      </c>
      <c r="J246" s="1104" t="s">
        <v>184</v>
      </c>
      <c r="K246" s="1109"/>
      <c r="L246" s="1110"/>
      <c r="M246" s="80" t="s">
        <v>38</v>
      </c>
      <c r="N246" s="81" t="s">
        <v>39</v>
      </c>
      <c r="O246" s="82"/>
      <c r="P246" s="524" t="s">
        <v>256</v>
      </c>
      <c r="Q246" s="526" t="s">
        <v>361</v>
      </c>
      <c r="R246" s="525" t="s">
        <v>257</v>
      </c>
      <c r="AO246" s="131"/>
      <c r="AP246" s="131"/>
      <c r="AQ246" s="131"/>
      <c r="AR246" s="131"/>
      <c r="AS246" s="131"/>
      <c r="AT246" s="131"/>
      <c r="AU246" s="131"/>
      <c r="AV246" s="131"/>
      <c r="AW246" s="131"/>
      <c r="AX246" s="131"/>
      <c r="AY246" s="131"/>
    </row>
    <row r="247" spans="1:51" ht="15" customHeight="1" thickBot="1">
      <c r="A247" s="594"/>
      <c r="B247" s="581"/>
      <c r="C247" s="581"/>
      <c r="D247" s="581"/>
      <c r="E247" s="581"/>
      <c r="F247" s="582"/>
      <c r="G247" s="523" t="s">
        <v>31</v>
      </c>
      <c r="H247" s="392">
        <f>IF(G$238="Error","Error",SUM(H240:H246))</f>
        <v>0</v>
      </c>
      <c r="I247" s="226">
        <f>IF(G$238="Error","Error",SUM(I240:I246))</f>
        <v>0</v>
      </c>
      <c r="J247" s="1101"/>
      <c r="K247" s="1102"/>
      <c r="L247" s="1103"/>
      <c r="M247" s="88">
        <f>VLOOKUP($A$2,AVAILABLE_Upgrades_Normal_Troops[#All],MATCH(J246,AVAILABLE_Upgrades_Normal_Troops[#Headers],0))</f>
        <v>0</v>
      </c>
      <c r="N247" s="528">
        <f>VLOOKUP(IF(ISERROR(LOOKUP(MATCH(1,Paramètres!$K$6:$K$45,0),Paramètres!$A$6:$A$45)),0,LOOKUP(MATCH(1,Paramètres!$K$6:$K$45,0),Paramètres!$A$6:$A$45)),AVAILABLE_Upgrades_Normal_Troops[#All],MATCH(J246,AVAILABLE_Upgrades_Normal_Troops[#Headers],0)+1)</f>
        <v>0</v>
      </c>
      <c r="O247" s="205"/>
      <c r="P247" s="96">
        <f>IF(SUM(K249:K252)&gt;M247,"Error",SUM(K249:K252))</f>
        <v>0</v>
      </c>
      <c r="Q247" s="97">
        <f>IF(P$247="Error","Error",M247-P247)</f>
        <v>0</v>
      </c>
      <c r="R247" s="206">
        <f>IF(P$247="Error","Error",SUM(M249:M252))</f>
        <v>0</v>
      </c>
    </row>
    <row r="248" spans="1:51" ht="15" customHeight="1" thickBot="1">
      <c r="A248" s="1104" t="s">
        <v>189</v>
      </c>
      <c r="B248" s="1109"/>
      <c r="C248" s="1110"/>
      <c r="D248" s="80" t="s">
        <v>38</v>
      </c>
      <c r="E248" s="81" t="s">
        <v>39</v>
      </c>
      <c r="F248" s="82"/>
      <c r="G248" s="524" t="s">
        <v>256</v>
      </c>
      <c r="H248" s="526" t="s">
        <v>361</v>
      </c>
      <c r="I248" s="525" t="s">
        <v>257</v>
      </c>
      <c r="J248" s="532" t="s">
        <v>30</v>
      </c>
      <c r="K248" s="343" t="s">
        <v>29</v>
      </c>
      <c r="L248" s="593"/>
      <c r="M248" s="467" t="s">
        <v>29</v>
      </c>
      <c r="N248" s="468" t="s">
        <v>30</v>
      </c>
      <c r="O248" s="230" t="s">
        <v>258</v>
      </c>
      <c r="P248" s="230" t="s">
        <v>259</v>
      </c>
      <c r="Q248" s="230" t="s">
        <v>232</v>
      </c>
      <c r="R248" s="231" t="s">
        <v>233</v>
      </c>
    </row>
    <row r="249" spans="1:51" ht="15" customHeight="1" thickBot="1">
      <c r="A249" s="1101"/>
      <c r="B249" s="1102"/>
      <c r="C249" s="1103"/>
      <c r="D249" s="88">
        <f>VLOOKUP($A$2,AVAILABLE_Upgrades_Normal_Troops[#All],MATCH(A248,AVAILABLE_Upgrades_Normal_Troops[#Headers],0))</f>
        <v>0</v>
      </c>
      <c r="E249" s="528">
        <f>VLOOKUP(IF(ISERROR(LOOKUP(MATCH(1,Paramètres!$K$6:$K$45,0),Paramètres!$A$6:$A$45)),0,LOOKUP(MATCH(1,Paramètres!$K$6:$K$45,0),Paramètres!$A$6:$A$45)),AVAILABLE_Upgrades_Normal_Troops[#All],MATCH(A248,AVAILABLE_Upgrades_Normal_Troops[#Headers],0)+1)</f>
        <v>0</v>
      </c>
      <c r="F249" s="205"/>
      <c r="G249" s="96">
        <f>IF(SUM(B251:B256)&gt;D249,"Error",SUM(B251:B256))</f>
        <v>0</v>
      </c>
      <c r="H249" s="97">
        <f>IF(G$249="Error","Error",D249-G249)</f>
        <v>0</v>
      </c>
      <c r="I249" s="206">
        <f>IF(G$249="Error","Error",SUM(D251:D256))</f>
        <v>0</v>
      </c>
      <c r="J249" s="524">
        <v>1</v>
      </c>
      <c r="K249" s="995" t="str">
        <f>IF(Paramètres!AV6=0,"",Paramètres!AV6)</f>
        <v/>
      </c>
      <c r="L249" s="598">
        <f>IF(L248&lt;&gt;0,L248+IF(AND(K248&lt;&gt;"",J248&lt;N$247),K248,0),IF(AND(K248&lt;&gt;"",J248&lt;N$247),K248,0))</f>
        <v>0</v>
      </c>
      <c r="M249" s="585" t="str">
        <f>IF(N249&lt;&gt;"/",IF(P$247="Error","Error",$Q$247+L249),"/")</f>
        <v>/</v>
      </c>
      <c r="N249" s="469" t="str">
        <f>IF(P$247="Error","Error",IF(AND($N$247&lt;&gt;"/",$N$247&gt;'Paramètres - Admin'!$A2),'Paramètres - Admin'!$A3,"/"))</f>
        <v>/</v>
      </c>
      <c r="O249" s="389" t="str">
        <f>IF(N249&lt;&gt;"/",VLOOKUP(N249,COSTS_Healer[#All],2),"/")</f>
        <v>/</v>
      </c>
      <c r="P249" s="470" t="str">
        <f>IF(N249&lt;&gt;"/",VLOOKUP(N249,COSTS_Healer[#All],3),"/")</f>
        <v>/</v>
      </c>
      <c r="Q249" s="389">
        <f>IF(P$247="Error","Error",IF(O249&lt;&gt;"/",M249*O249,0))</f>
        <v>0</v>
      </c>
      <c r="R249" s="471">
        <f>IF(P$247="Error","Error",IF(P249&lt;&gt;"/",M249*P249,0))</f>
        <v>0</v>
      </c>
    </row>
    <row r="250" spans="1:51" ht="15" customHeight="1" thickBot="1">
      <c r="A250" s="532" t="s">
        <v>30</v>
      </c>
      <c r="B250" s="343" t="s">
        <v>29</v>
      </c>
      <c r="C250" s="593"/>
      <c r="D250" s="467" t="s">
        <v>29</v>
      </c>
      <c r="E250" s="468" t="s">
        <v>30</v>
      </c>
      <c r="F250" s="230" t="s">
        <v>258</v>
      </c>
      <c r="G250" s="230" t="s">
        <v>259</v>
      </c>
      <c r="H250" s="230" t="s">
        <v>232</v>
      </c>
      <c r="I250" s="231" t="s">
        <v>233</v>
      </c>
      <c r="J250" s="996">
        <v>2</v>
      </c>
      <c r="K250" s="997" t="str">
        <f>IF(Paramètres!AV7=0,"",Paramètres!AV7)</f>
        <v/>
      </c>
      <c r="L250" s="810">
        <f>IF(L249&lt;&gt;0,L249+IF(AND(K249&lt;&gt;"",J249&lt;N$247),K249,0),IF(AND(K249&lt;&gt;"",J249&lt;N$247),K249,0))</f>
        <v>0</v>
      </c>
      <c r="M250" s="586" t="str">
        <f>IF(N250&lt;&gt;"/",IF(P$247="Error","Error",$Q$247+L250),"/")</f>
        <v>/</v>
      </c>
      <c r="N250" s="108" t="str">
        <f>IF(P$247="Error","Error",IF(AND($N$247&lt;&gt;"/",$N$247&gt;'Paramètres - Admin'!$A3),'Paramètres - Admin'!$A4,"/"))</f>
        <v>/</v>
      </c>
      <c r="O250" s="390" t="str">
        <f>IF(N250&lt;&gt;"/",VLOOKUP(N250,COSTS_Healer[#All],2),"/")</f>
        <v>/</v>
      </c>
      <c r="P250" s="94" t="str">
        <f>IF(N250&lt;&gt;"/",VLOOKUP(N250,COSTS_Healer[#All],3),"/")</f>
        <v>/</v>
      </c>
      <c r="Q250" s="390">
        <f>IF(P$247="Error","Error",IF(O250&lt;&gt;"/",M250*O250,0))</f>
        <v>0</v>
      </c>
      <c r="R250" s="534">
        <f>IF(P$247="Error","Error",IF(P250&lt;&gt;"/",M250*P250,0))</f>
        <v>0</v>
      </c>
    </row>
    <row r="251" spans="1:51" ht="15" customHeight="1">
      <c r="A251" s="524">
        <v>1</v>
      </c>
      <c r="B251" s="995" t="str">
        <f>IF(Paramètres!AR6=0,"",Paramètres!AR6)</f>
        <v/>
      </c>
      <c r="C251" s="598">
        <f t="shared" ref="C251:C256" si="109">IF(C250&lt;&gt;0,C250+IF(AND(B250&lt;&gt;"",A250&lt;E$249),B250,0),IF(AND(B250&lt;&gt;"",A250&lt;E$249),B250,0))</f>
        <v>0</v>
      </c>
      <c r="D251" s="585" t="str">
        <f t="shared" ref="D251:D256" si="110">IF(E251&lt;&gt;"/",IF(G$249="Error","Error",$H$249+C251),"/")</f>
        <v>/</v>
      </c>
      <c r="E251" s="469" t="str">
        <f>IF(G$249="Error","Error",IF(AND($E$249&lt;&gt;"/",$E$249&gt;'Paramètres - Admin'!$A2),'Paramètres - Admin'!$A3,"/"))</f>
        <v>/</v>
      </c>
      <c r="F251" s="389" t="str">
        <f>IF(E251&lt;&gt;"/",VLOOKUP(E251,COSTS_Goblin[#All],2),"/")</f>
        <v>/</v>
      </c>
      <c r="G251" s="470" t="str">
        <f>IF(E251&lt;&gt;"/",VLOOKUP(E251,COSTS_Goblin[#All],3),"/")</f>
        <v>/</v>
      </c>
      <c r="H251" s="389">
        <f t="shared" ref="H251:H256" si="111">IF(G$249="Error","Error",IF(F251&lt;&gt;"/",D251*F251,0))</f>
        <v>0</v>
      </c>
      <c r="I251" s="471">
        <f t="shared" ref="I251:I256" si="112">IF(G$249="Error","Error",IF(G251&lt;&gt;"/",D251*G251,0))</f>
        <v>0</v>
      </c>
      <c r="J251" s="996">
        <v>3</v>
      </c>
      <c r="K251" s="997" t="str">
        <f>IF(Paramètres!AV8=0,"",Paramètres!AV8)</f>
        <v/>
      </c>
      <c r="L251" s="810">
        <f>IF(L250&lt;&gt;0,L250+IF(AND(K250&lt;&gt;"",J250&lt;N$247),K250,0),IF(AND(K250&lt;&gt;"",J250&lt;N$247),K250,0))</f>
        <v>0</v>
      </c>
      <c r="M251" s="586" t="str">
        <f>IF(N251&lt;&gt;"/",IF(P$247="Error","Error",$Q$247+L251),"/")</f>
        <v>/</v>
      </c>
      <c r="N251" s="108" t="str">
        <f>IF(P$247="Error","Error",IF(AND($N$247&lt;&gt;"/",$N$247&gt;'Paramètres - Admin'!$A4),'Paramètres - Admin'!$A5,"/"))</f>
        <v>/</v>
      </c>
      <c r="O251" s="390" t="str">
        <f>IF(N251&lt;&gt;"/",VLOOKUP(N251,COSTS_Healer[#All],2),"/")</f>
        <v>/</v>
      </c>
      <c r="P251" s="94" t="str">
        <f>IF(N251&lt;&gt;"/",VLOOKUP(N251,COSTS_Healer[#All],3),"/")</f>
        <v>/</v>
      </c>
      <c r="Q251" s="390">
        <f>IF(P$247="Error","Error",IF(O251&lt;&gt;"/",M251*O251,0))</f>
        <v>0</v>
      </c>
      <c r="R251" s="534">
        <f>IF(P$247="Error","Error",IF(P251&lt;&gt;"/",M251*P251,0))</f>
        <v>0</v>
      </c>
    </row>
    <row r="252" spans="1:51" ht="15" customHeight="1" thickBot="1">
      <c r="A252" s="996">
        <v>2</v>
      </c>
      <c r="B252" s="997" t="str">
        <f>IF(Paramètres!AR7=0,"",Paramètres!AR7)</f>
        <v/>
      </c>
      <c r="C252" s="810">
        <f t="shared" si="109"/>
        <v>0</v>
      </c>
      <c r="D252" s="586" t="str">
        <f t="shared" si="110"/>
        <v>/</v>
      </c>
      <c r="E252" s="108" t="str">
        <f>IF(G$249="Error","Error",IF(AND($E$249&lt;&gt;"/",$E$249&gt;'Paramètres - Admin'!$A3),'Paramètres - Admin'!$A4,"/"))</f>
        <v>/</v>
      </c>
      <c r="F252" s="390" t="str">
        <f>IF(E252&lt;&gt;"/",VLOOKUP(E252,COSTS_Goblin[#All],2),"/")</f>
        <v>/</v>
      </c>
      <c r="G252" s="94" t="str">
        <f>IF(E252&lt;&gt;"/",VLOOKUP(E252,COSTS_Goblin[#All],3),"/")</f>
        <v>/</v>
      </c>
      <c r="H252" s="390">
        <f t="shared" si="111"/>
        <v>0</v>
      </c>
      <c r="I252" s="534">
        <f t="shared" si="112"/>
        <v>0</v>
      </c>
      <c r="J252" s="998">
        <v>4</v>
      </c>
      <c r="K252" s="999" t="str">
        <f>IF(Paramètres!AV9=0,"",Paramètres!AV9)</f>
        <v/>
      </c>
      <c r="L252" s="811">
        <f>IF(L251&lt;&gt;0,L251+IF(AND(K251&lt;&gt;"",J251&lt;N$247),K251,0),IF(AND(K251&lt;&gt;"",J251&lt;N$247),K251,0))</f>
        <v>0</v>
      </c>
      <c r="M252" s="587" t="str">
        <f>IF(N252&lt;&gt;"/",IF(P$247="Error","Error",$Q$247+L252),"/")</f>
        <v>/</v>
      </c>
      <c r="N252" s="116" t="str">
        <f>IF(P$247="Error","Error",IF(AND($N$247&lt;&gt;"/",$N$247&gt;'Paramètres - Admin'!$A5),'Paramètres - Admin'!$A6,"/"))</f>
        <v>/</v>
      </c>
      <c r="O252" s="391" t="str">
        <f>IF(N252&lt;&gt;"/",VLOOKUP(N252,COSTS_Healer[#All],2),"/")</f>
        <v>/</v>
      </c>
      <c r="P252" s="114" t="str">
        <f>IF(N252&lt;&gt;"/",VLOOKUP(N252,COSTS_Healer[#All],3),"/")</f>
        <v>/</v>
      </c>
      <c r="Q252" s="391">
        <f>IF(P$247="Error","Error",IF(O252&lt;&gt;"/",M252*O252,0))</f>
        <v>0</v>
      </c>
      <c r="R252" s="117">
        <f>IF(P$247="Error","Error",IF(P252&lt;&gt;"/",M252*P252,0))</f>
        <v>0</v>
      </c>
    </row>
    <row r="253" spans="1:51" ht="15" customHeight="1" thickBot="1">
      <c r="A253" s="996">
        <v>3</v>
      </c>
      <c r="B253" s="997" t="str">
        <f>IF(Paramètres!AR8=0,"",Paramètres!AR8)</f>
        <v/>
      </c>
      <c r="C253" s="810">
        <f t="shared" si="109"/>
        <v>0</v>
      </c>
      <c r="D253" s="586" t="str">
        <f t="shared" si="110"/>
        <v>/</v>
      </c>
      <c r="E253" s="108" t="str">
        <f>IF(G$249="Error","Error",IF(AND($E$249&lt;&gt;"/",$E$249&gt;'Paramètres - Admin'!$A4),'Paramètres - Admin'!$A5,"/"))</f>
        <v>/</v>
      </c>
      <c r="F253" s="390" t="str">
        <f>IF(E253&lt;&gt;"/",VLOOKUP(E253,COSTS_Goblin[#All],2),"/")</f>
        <v>/</v>
      </c>
      <c r="G253" s="94" t="str">
        <f>IF(E253&lt;&gt;"/",VLOOKUP(E253,COSTS_Goblin[#All],3),"/")</f>
        <v>/</v>
      </c>
      <c r="H253" s="390">
        <f t="shared" si="111"/>
        <v>0</v>
      </c>
      <c r="I253" s="534">
        <f t="shared" si="112"/>
        <v>0</v>
      </c>
      <c r="J253" s="581"/>
      <c r="K253" s="581"/>
      <c r="L253" s="581"/>
      <c r="M253" s="581"/>
      <c r="N253" s="581"/>
      <c r="O253" s="582"/>
      <c r="P253" s="523" t="s">
        <v>31</v>
      </c>
      <c r="Q253" s="392">
        <f>IF(P$247="Error","Error",SUM(Q249:Q252))</f>
        <v>0</v>
      </c>
      <c r="R253" s="546">
        <f>IF(P$247="Error","Error",SUM(R249:R252))</f>
        <v>0</v>
      </c>
    </row>
    <row r="254" spans="1:51" ht="15" customHeight="1">
      <c r="A254" s="996">
        <v>4</v>
      </c>
      <c r="B254" s="997" t="str">
        <f>IF(Paramètres!AR9=0,"",Paramètres!AR9)</f>
        <v/>
      </c>
      <c r="C254" s="810">
        <f t="shared" si="109"/>
        <v>0</v>
      </c>
      <c r="D254" s="586" t="str">
        <f t="shared" si="110"/>
        <v>/</v>
      </c>
      <c r="E254" s="108" t="str">
        <f>IF(G$249="Error","Error",IF(AND($E$249&lt;&gt;"/",$E$249&gt;'Paramètres - Admin'!$A5),'Paramètres - Admin'!$A6,"/"))</f>
        <v>/</v>
      </c>
      <c r="F254" s="390" t="str">
        <f>IF(E254&lt;&gt;"/",VLOOKUP(E254,COSTS_Goblin[#All],2),"/")</f>
        <v>/</v>
      </c>
      <c r="G254" s="94" t="str">
        <f>IF(E254&lt;&gt;"/",VLOOKUP(E254,COSTS_Goblin[#All],3),"/")</f>
        <v>/</v>
      </c>
      <c r="H254" s="390">
        <f t="shared" si="111"/>
        <v>0</v>
      </c>
      <c r="I254" s="534">
        <f t="shared" si="112"/>
        <v>0</v>
      </c>
      <c r="J254" s="1104" t="s">
        <v>57</v>
      </c>
      <c r="K254" s="1109"/>
      <c r="L254" s="1110"/>
      <c r="M254" s="524" t="s">
        <v>38</v>
      </c>
      <c r="N254" s="525" t="s">
        <v>39</v>
      </c>
      <c r="O254" s="82"/>
      <c r="P254" s="524" t="s">
        <v>256</v>
      </c>
      <c r="Q254" s="526" t="s">
        <v>361</v>
      </c>
      <c r="R254" s="525" t="s">
        <v>257</v>
      </c>
    </row>
    <row r="255" spans="1:51" ht="15" customHeight="1" thickBot="1">
      <c r="A255" s="996">
        <v>5</v>
      </c>
      <c r="B255" s="997" t="str">
        <f>IF(Paramètres!AR10=0,"",Paramètres!AR10)</f>
        <v/>
      </c>
      <c r="C255" s="810">
        <f t="shared" si="109"/>
        <v>0</v>
      </c>
      <c r="D255" s="586" t="str">
        <f t="shared" si="110"/>
        <v>/</v>
      </c>
      <c r="E255" s="108" t="str">
        <f>IF(G$249="Error","Error",IF(AND($E$249&lt;&gt;"/",$E$249&gt;'Paramètres - Admin'!$A6),'Paramètres - Admin'!$A7,"/"))</f>
        <v>/</v>
      </c>
      <c r="F255" s="390" t="str">
        <f>IF(E255&lt;&gt;"/",VLOOKUP(E255,COSTS_Goblin[#All],2),"/")</f>
        <v>/</v>
      </c>
      <c r="G255" s="94" t="str">
        <f>IF(E255&lt;&gt;"/",VLOOKUP(E255,COSTS_Goblin[#All],3),"/")</f>
        <v>/</v>
      </c>
      <c r="H255" s="390">
        <f t="shared" si="111"/>
        <v>0</v>
      </c>
      <c r="I255" s="534">
        <f t="shared" si="112"/>
        <v>0</v>
      </c>
      <c r="J255" s="1101"/>
      <c r="K255" s="1102"/>
      <c r="L255" s="1103"/>
      <c r="M255" s="527">
        <f>VLOOKUP($A$2,AVAILABLE_Upgrades_Normal_Troops[#All],MATCH(J254,AVAILABLE_Upgrades_Normal_Troops[#Headers],0))</f>
        <v>0</v>
      </c>
      <c r="N255" s="528">
        <f>VLOOKUP(IF(ISERROR(LOOKUP(MATCH(1,Paramètres!$K$6:$K$45,0),Paramètres!$A$6:$A$45)),0,LOOKUP(MATCH(1,Paramètres!$K$6:$K$45,0),Paramètres!$A$6:$A$45)),AVAILABLE_Upgrades_Normal_Troops[#All],MATCH(J254,AVAILABLE_Upgrades_Normal_Troops[#Headers],0)+1)</f>
        <v>0</v>
      </c>
      <c r="O255" s="604"/>
      <c r="P255" s="527">
        <f>IF(SUM(K257:K261)&gt;M255,"Error",SUM(K257:K261))</f>
        <v>0</v>
      </c>
      <c r="Q255" s="222">
        <f>IF(P$255="Error","Error",M255-P255)</f>
        <v>0</v>
      </c>
      <c r="R255" s="223">
        <f>IF(P$255="Error","Error",SUM(M257:M261))</f>
        <v>0</v>
      </c>
    </row>
    <row r="256" spans="1:51" ht="15" customHeight="1" thickBot="1">
      <c r="A256" s="998">
        <v>6</v>
      </c>
      <c r="B256" s="999" t="str">
        <f>IF(Paramètres!AR11=0,"",Paramètres!AR11)</f>
        <v/>
      </c>
      <c r="C256" s="811">
        <f t="shared" si="109"/>
        <v>0</v>
      </c>
      <c r="D256" s="587" t="str">
        <f t="shared" si="110"/>
        <v>/</v>
      </c>
      <c r="E256" s="116" t="str">
        <f>IF(G$249="Error","Error",IF(AND($E$249&lt;&gt;"/",$E$249&gt;'Paramètres - Admin'!$A7),'Paramètres - Admin'!$A8,"/"))</f>
        <v>/</v>
      </c>
      <c r="F256" s="391" t="str">
        <f>IF(E256&lt;&gt;"/",VLOOKUP(E256,COSTS_Goblin[#All],2),"/")</f>
        <v>/</v>
      </c>
      <c r="G256" s="114" t="str">
        <f>IF(E256&lt;&gt;"/",VLOOKUP(E256,COSTS_Goblin[#All],3),"/")</f>
        <v>/</v>
      </c>
      <c r="H256" s="391">
        <f t="shared" si="111"/>
        <v>0</v>
      </c>
      <c r="I256" s="117">
        <f t="shared" si="112"/>
        <v>0</v>
      </c>
      <c r="J256" s="532" t="s">
        <v>30</v>
      </c>
      <c r="K256" s="343" t="s">
        <v>29</v>
      </c>
      <c r="L256" s="593"/>
      <c r="M256" s="467" t="s">
        <v>29</v>
      </c>
      <c r="N256" s="468" t="s">
        <v>30</v>
      </c>
      <c r="O256" s="230" t="s">
        <v>258</v>
      </c>
      <c r="P256" s="230" t="s">
        <v>259</v>
      </c>
      <c r="Q256" s="230" t="s">
        <v>232</v>
      </c>
      <c r="R256" s="231" t="s">
        <v>233</v>
      </c>
    </row>
    <row r="257" spans="1:24" ht="15" customHeight="1" thickBot="1">
      <c r="A257" s="594"/>
      <c r="B257" s="581"/>
      <c r="C257" s="581"/>
      <c r="D257" s="581"/>
      <c r="E257" s="581"/>
      <c r="F257" s="582"/>
      <c r="G257" s="523" t="s">
        <v>31</v>
      </c>
      <c r="H257" s="392">
        <f>IF(G$249="Error","Error",SUM(H251:H256))</f>
        <v>0</v>
      </c>
      <c r="I257" s="226">
        <f>IF(G$249="Error","Error",SUM(I251:I256))</f>
        <v>0</v>
      </c>
      <c r="J257" s="524">
        <v>1</v>
      </c>
      <c r="K257" s="995" t="str">
        <f>IF(Paramètres!AW6=0,"",Paramètres!AW6)</f>
        <v/>
      </c>
      <c r="L257" s="598">
        <f>IF(L256&lt;&gt;0,L256+IF(AND(K256&lt;&gt;"",J256&lt;N$255),K256,0),IF(AND(K256&lt;&gt;"",J256&lt;N$255),K256,0))</f>
        <v>0</v>
      </c>
      <c r="M257" s="585" t="str">
        <f>IF(N257&lt;&gt;"/",IF(P$255="Error","Error",$Q$255+L257),"/")</f>
        <v>/</v>
      </c>
      <c r="N257" s="469" t="str">
        <f>IF(P$255="Error","Error",IF(AND($N$255&lt;&gt;"/",$N$255&gt;'Paramètres - Admin'!$A2),'Paramètres - Admin'!$A3,"/"))</f>
        <v>/</v>
      </c>
      <c r="O257" s="389" t="str">
        <f>IF(N257&lt;&gt;"/",VLOOKUP(N257,COSTS_Dragon[#All],2),"/")</f>
        <v>/</v>
      </c>
      <c r="P257" s="470" t="str">
        <f>IF(N257&lt;&gt;"/",VLOOKUP(N257,COSTS_Dragon[#All],3),"/")</f>
        <v>/</v>
      </c>
      <c r="Q257" s="389">
        <f>IF(P$255="Error","Error",IF(O257&lt;&gt;"/",M257*O257,0))</f>
        <v>0</v>
      </c>
      <c r="R257" s="471">
        <f>IF(P$255="Error","Error",IF(P257&lt;&gt;"/",M257*P257,0))</f>
        <v>0</v>
      </c>
    </row>
    <row r="258" spans="1:24" ht="15" customHeight="1">
      <c r="A258" s="1104" t="s">
        <v>188</v>
      </c>
      <c r="B258" s="1109"/>
      <c r="C258" s="1110"/>
      <c r="D258" s="80" t="s">
        <v>38</v>
      </c>
      <c r="E258" s="81" t="s">
        <v>39</v>
      </c>
      <c r="F258" s="82"/>
      <c r="G258" s="524" t="s">
        <v>256</v>
      </c>
      <c r="H258" s="526" t="s">
        <v>361</v>
      </c>
      <c r="I258" s="525" t="s">
        <v>257</v>
      </c>
      <c r="J258" s="996">
        <v>2</v>
      </c>
      <c r="K258" s="997" t="str">
        <f>IF(Paramètres!AW7=0,"",Paramètres!AW7)</f>
        <v/>
      </c>
      <c r="L258" s="810">
        <f>IF(L257&lt;&gt;0,L257+IF(AND(K257&lt;&gt;"",J257&lt;N$255),K257,0),IF(AND(K257&lt;&gt;"",J257&lt;N$255),K257,0))</f>
        <v>0</v>
      </c>
      <c r="M258" s="586" t="str">
        <f>IF(N258&lt;&gt;"/",IF(P$255="Error","Error",$Q$255+L258),"/")</f>
        <v>/</v>
      </c>
      <c r="N258" s="108" t="str">
        <f>IF(P$255="Error","Error",IF(AND($N$255&lt;&gt;"/",$N$255&gt;'Paramètres - Admin'!$A3),'Paramètres - Admin'!$A4,"/"))</f>
        <v>/</v>
      </c>
      <c r="O258" s="390" t="str">
        <f>IF(N258&lt;&gt;"/",VLOOKUP(N258,COSTS_Dragon[#All],2),"/")</f>
        <v>/</v>
      </c>
      <c r="P258" s="94" t="str">
        <f>IF(N258&lt;&gt;"/",VLOOKUP(N258,COSTS_Dragon[#All],3),"/")</f>
        <v>/</v>
      </c>
      <c r="Q258" s="390">
        <f>IF(P$255="Error","Error",IF(O258&lt;&gt;"/",M258*O258,0))</f>
        <v>0</v>
      </c>
      <c r="R258" s="534">
        <f>IF(P$255="Error","Error",IF(P258&lt;&gt;"/",M258*P258,0))</f>
        <v>0</v>
      </c>
    </row>
    <row r="259" spans="1:24" ht="15" customHeight="1" thickBot="1">
      <c r="A259" s="1098"/>
      <c r="B259" s="1099"/>
      <c r="C259" s="1100"/>
      <c r="D259" s="530">
        <f>VLOOKUP($A$2,AVAILABLE_Upgrades_Normal_Troops[#All],MATCH(A258,AVAILABLE_Upgrades_Normal_Troops[#Headers],0))</f>
        <v>0</v>
      </c>
      <c r="E259" s="412">
        <f>VLOOKUP(IF(ISERROR(LOOKUP(MATCH(1,Paramètres!$K$6:$K$45,0),Paramètres!$A$6:$A$45)),0,LOOKUP(MATCH(1,Paramètres!$K$6:$K$45,0),Paramètres!$A$6:$A$45)),AVAILABLE_Upgrades_Normal_Troops[#All],MATCH(A258,AVAILABLE_Upgrades_Normal_Troops[#Headers],0)+1)</f>
        <v>0</v>
      </c>
      <c r="F259" s="205"/>
      <c r="G259" s="96">
        <f>IF(SUM(B261:B267)&gt;D259,"Error",SUM(B261:B267))</f>
        <v>0</v>
      </c>
      <c r="H259" s="97">
        <f>IF(G$259="Error","Error",D259-G259)</f>
        <v>0</v>
      </c>
      <c r="I259" s="206">
        <f>IF(G$259="Error","Error",SUM(D261:D267))</f>
        <v>0</v>
      </c>
      <c r="J259" s="996">
        <v>3</v>
      </c>
      <c r="K259" s="997" t="str">
        <f>IF(Paramètres!AW8=0,"",Paramètres!AW8)</f>
        <v/>
      </c>
      <c r="L259" s="810">
        <f>IF(L258&lt;&gt;0,L258+IF(AND(K258&lt;&gt;"",J258&lt;N$255),K258,0),IF(AND(K258&lt;&gt;"",J258&lt;N$255),K258,0))</f>
        <v>0</v>
      </c>
      <c r="M259" s="586" t="str">
        <f>IF(N259&lt;&gt;"/",IF(P$255="Error","Error",$Q$255+L259),"/")</f>
        <v>/</v>
      </c>
      <c r="N259" s="108" t="str">
        <f>IF(P$255="Error","Error",IF(AND($N$255&lt;&gt;"/",$N$255&gt;'Paramètres - Admin'!$A4),'Paramètres - Admin'!$A5,"/"))</f>
        <v>/</v>
      </c>
      <c r="O259" s="390" t="str">
        <f>IF(N259&lt;&gt;"/",VLOOKUP(N259,COSTS_Dragon[#All],2),"/")</f>
        <v>/</v>
      </c>
      <c r="P259" s="94" t="str">
        <f>IF(N259&lt;&gt;"/",VLOOKUP(N259,COSTS_Dragon[#All],3),"/")</f>
        <v>/</v>
      </c>
      <c r="Q259" s="390">
        <f>IF(P$255="Error","Error",IF(O259&lt;&gt;"/",M259*O259,0))</f>
        <v>0</v>
      </c>
      <c r="R259" s="534">
        <f>IF(P$255="Error","Error",IF(P259&lt;&gt;"/",M259*P259,0))</f>
        <v>0</v>
      </c>
    </row>
    <row r="260" spans="1:24" ht="15" customHeight="1" thickBot="1">
      <c r="A260" s="1000" t="s">
        <v>30</v>
      </c>
      <c r="B260" s="349" t="s">
        <v>29</v>
      </c>
      <c r="C260" s="593"/>
      <c r="D260" s="468" t="s">
        <v>29</v>
      </c>
      <c r="E260" s="468" t="s">
        <v>30</v>
      </c>
      <c r="F260" s="230" t="s">
        <v>258</v>
      </c>
      <c r="G260" s="230" t="s">
        <v>259</v>
      </c>
      <c r="H260" s="230" t="s">
        <v>232</v>
      </c>
      <c r="I260" s="231" t="s">
        <v>233</v>
      </c>
      <c r="J260" s="996">
        <v>3</v>
      </c>
      <c r="K260" s="997" t="str">
        <f>IF(Paramètres!AW9=0,"",Paramètres!AW9)</f>
        <v/>
      </c>
      <c r="L260" s="810">
        <f>IF(L259&lt;&gt;0,L259+IF(AND(K259&lt;&gt;"",J259&lt;N$255),K259,0),IF(AND(K259&lt;&gt;"",J259&lt;N$255),K259,0))</f>
        <v>0</v>
      </c>
      <c r="M260" s="586" t="str">
        <f>IF(N260&lt;&gt;"/",IF(P$255="Error","Error",$Q$255+L260),"/")</f>
        <v>/</v>
      </c>
      <c r="N260" s="108" t="str">
        <f>IF(P$255="Error","Error",IF(AND($N$255&lt;&gt;"/",$N$255&gt;'Paramètres - Admin'!$A5),'Paramètres - Admin'!$A6,"/"))</f>
        <v>/</v>
      </c>
      <c r="O260" s="390" t="str">
        <f>IF(N260&lt;&gt;"/",VLOOKUP(N260,COSTS_Dragon[#All],2),"/")</f>
        <v>/</v>
      </c>
      <c r="P260" s="94" t="str">
        <f>IF(N260&lt;&gt;"/",VLOOKUP(N260,COSTS_Dragon[#All],3),"/")</f>
        <v>/</v>
      </c>
      <c r="Q260" s="390">
        <f>IF(P$255="Error","Error",IF(O260&lt;&gt;"/",M260*O260,0))</f>
        <v>0</v>
      </c>
      <c r="R260" s="534">
        <f>IF(P$255="Error","Error",IF(P260&lt;&gt;"/",M260*P260,0))</f>
        <v>0</v>
      </c>
    </row>
    <row r="261" spans="1:24" ht="15" customHeight="1" thickBot="1">
      <c r="A261" s="524">
        <v>1</v>
      </c>
      <c r="B261" s="995" t="str">
        <f>IF(Paramètres!AQ6=0,"",Paramètres!AQ6)</f>
        <v/>
      </c>
      <c r="C261" s="598">
        <f t="shared" ref="C261:C267" si="113">IF(C260&lt;&gt;0,C260+IF(AND(B260&lt;&gt;"",A260&lt;E$259),B260,0),IF(AND(B260&lt;&gt;"",A260&lt;E$259),B260,0))</f>
        <v>0</v>
      </c>
      <c r="D261" s="585" t="str">
        <f t="shared" ref="D261:D267" si="114">IF(E261&lt;&gt;"/",IF(G$259="Error","Error",$H$259+C261),"/")</f>
        <v>/</v>
      </c>
      <c r="E261" s="469" t="str">
        <f>IF(G$259="Error","Error",IF(AND($E$259&lt;&gt;"/",$E$259&gt;'Paramètres - Admin'!$A2),'Paramètres - Admin'!$A3,"/"))</f>
        <v>/</v>
      </c>
      <c r="F261" s="389" t="str">
        <f>IF(E261&lt;&gt;"/",VLOOKUP(E261,COSTS_Giant[#All],2),"/")</f>
        <v>/</v>
      </c>
      <c r="G261" s="470" t="str">
        <f>IF(E261&lt;&gt;"/",VLOOKUP(E261,COSTS_Giant[#All],3),"/")</f>
        <v>/</v>
      </c>
      <c r="H261" s="389">
        <f t="shared" ref="H261:H267" si="115">IF(G$259="Error","Error",IF(F261&lt;&gt;"/",D261*F261,0))</f>
        <v>0</v>
      </c>
      <c r="I261" s="471">
        <f t="shared" ref="I261:I267" si="116">IF(G$259="Error","Error",IF(G261&lt;&gt;"/",D261*G261,0))</f>
        <v>0</v>
      </c>
      <c r="J261" s="998">
        <v>5</v>
      </c>
      <c r="K261" s="999" t="str">
        <f>IF(Paramètres!AW10=0,"",Paramètres!AW10)</f>
        <v/>
      </c>
      <c r="L261" s="811">
        <f>IF(L260&lt;&gt;0,L260+IF(AND(K260&lt;&gt;"",J260&lt;N$255),K260,0),IF(AND(K260&lt;&gt;"",J260&lt;N$255),K260,0))</f>
        <v>0</v>
      </c>
      <c r="M261" s="587" t="str">
        <f>IF(N261&lt;&gt;"/",IF(P$255="Error","Error",$Q$255+L261),"/")</f>
        <v>/</v>
      </c>
      <c r="N261" s="116" t="str">
        <f>IF(P$255="Error","Error",IF(AND($N$255&lt;&gt;"/",$N$255&gt;'Paramètres - Admin'!$A6),'Paramètres - Admin'!$A7,"/"))</f>
        <v>/</v>
      </c>
      <c r="O261" s="391" t="str">
        <f>IF(N261&lt;&gt;"/",VLOOKUP(N261,COSTS_Dragon[#All],2),"/")</f>
        <v>/</v>
      </c>
      <c r="P261" s="114" t="str">
        <f>IF(N261&lt;&gt;"/",VLOOKUP(N261,COSTS_Dragon[#All],3),"/")</f>
        <v>/</v>
      </c>
      <c r="Q261" s="391">
        <f>IF(P$255="Error","Error",IF(O261&lt;&gt;"/",M261*O261,0))</f>
        <v>0</v>
      </c>
      <c r="R261" s="117">
        <f>IF(P$255="Error","Error",IF(P261&lt;&gt;"/",M261*P261,0))</f>
        <v>0</v>
      </c>
      <c r="X261" s="537"/>
    </row>
    <row r="262" spans="1:24" ht="15" customHeight="1" thickBot="1">
      <c r="A262" s="996">
        <v>2</v>
      </c>
      <c r="B262" s="997" t="str">
        <f>IF(Paramètres!AQ7=0,"",Paramètres!AQ7)</f>
        <v/>
      </c>
      <c r="C262" s="810">
        <f t="shared" si="113"/>
        <v>0</v>
      </c>
      <c r="D262" s="586" t="str">
        <f t="shared" si="114"/>
        <v>/</v>
      </c>
      <c r="E262" s="108" t="str">
        <f>IF(G$259="Error","Error",IF(AND($E$259&lt;&gt;"/",$E$259&gt;'Paramètres - Admin'!$A3),'Paramètres - Admin'!$A4,"/"))</f>
        <v>/</v>
      </c>
      <c r="F262" s="390" t="str">
        <f>IF(E262&lt;&gt;"/",VLOOKUP(E262,COSTS_Giant[#All],2),"/")</f>
        <v>/</v>
      </c>
      <c r="G262" s="94" t="str">
        <f>IF(E262&lt;&gt;"/",VLOOKUP(E262,COSTS_Giant[#All],3),"/")</f>
        <v>/</v>
      </c>
      <c r="H262" s="390">
        <f t="shared" si="115"/>
        <v>0</v>
      </c>
      <c r="I262" s="534">
        <f t="shared" si="116"/>
        <v>0</v>
      </c>
      <c r="J262" s="830"/>
      <c r="K262" s="830"/>
      <c r="L262" s="830"/>
      <c r="M262" s="830"/>
      <c r="N262" s="830"/>
      <c r="O262" s="831"/>
      <c r="P262" s="523" t="s">
        <v>31</v>
      </c>
      <c r="Q262" s="392">
        <f>IF(P$255="Error","Error",SUM(Q257:Q261))</f>
        <v>0</v>
      </c>
      <c r="R262" s="546">
        <f>IF(P$255="Error","Error",SUM(R257:R261))</f>
        <v>0</v>
      </c>
      <c r="X262" s="537"/>
    </row>
    <row r="263" spans="1:24" ht="15" customHeight="1">
      <c r="A263" s="996">
        <v>3</v>
      </c>
      <c r="B263" s="997" t="str">
        <f>IF(Paramètres!AQ8=0,"",Paramètres!AQ8)</f>
        <v/>
      </c>
      <c r="C263" s="810">
        <f t="shared" si="113"/>
        <v>0</v>
      </c>
      <c r="D263" s="586" t="str">
        <f t="shared" si="114"/>
        <v>/</v>
      </c>
      <c r="E263" s="108" t="str">
        <f>IF(G$259="Error","Error",IF(AND($E$259&lt;&gt;"/",$E$259&gt;'Paramètres - Admin'!$A4),'Paramètres - Admin'!$A5,"/"))</f>
        <v>/</v>
      </c>
      <c r="F263" s="390" t="str">
        <f>IF(E263&lt;&gt;"/",VLOOKUP(E263,COSTS_Giant[#All],2),"/")</f>
        <v>/</v>
      </c>
      <c r="G263" s="94" t="str">
        <f>IF(E263&lt;&gt;"/",VLOOKUP(E263,COSTS_Giant[#All],3),"/")</f>
        <v>/</v>
      </c>
      <c r="H263" s="390">
        <f t="shared" si="115"/>
        <v>0</v>
      </c>
      <c r="I263" s="534">
        <f t="shared" si="116"/>
        <v>0</v>
      </c>
      <c r="J263" s="1104" t="s">
        <v>58</v>
      </c>
      <c r="K263" s="1109"/>
      <c r="L263" s="1110"/>
      <c r="M263" s="524" t="s">
        <v>38</v>
      </c>
      <c r="N263" s="525" t="s">
        <v>39</v>
      </c>
      <c r="O263" s="82"/>
      <c r="P263" s="524" t="s">
        <v>256</v>
      </c>
      <c r="Q263" s="526" t="s">
        <v>361</v>
      </c>
      <c r="R263" s="525" t="s">
        <v>257</v>
      </c>
    </row>
    <row r="264" spans="1:24" ht="15" customHeight="1" thickBot="1">
      <c r="A264" s="996">
        <v>4</v>
      </c>
      <c r="B264" s="997" t="str">
        <f>IF(Paramètres!AQ9=0,"",Paramètres!AQ9)</f>
        <v/>
      </c>
      <c r="C264" s="810">
        <f t="shared" si="113"/>
        <v>0</v>
      </c>
      <c r="D264" s="586" t="str">
        <f t="shared" si="114"/>
        <v>/</v>
      </c>
      <c r="E264" s="108" t="str">
        <f>IF(G$259="Error","Error",IF(AND($E$259&lt;&gt;"/",$E$259&gt;'Paramètres - Admin'!$A5),'Paramètres - Admin'!$A6,"/"))</f>
        <v>/</v>
      </c>
      <c r="F264" s="390" t="str">
        <f>IF(E264&lt;&gt;"/",VLOOKUP(E264,COSTS_Giant[#All],2),"/")</f>
        <v>/</v>
      </c>
      <c r="G264" s="94" t="str">
        <f>IF(E264&lt;&gt;"/",VLOOKUP(E264,COSTS_Giant[#All],3),"/")</f>
        <v>/</v>
      </c>
      <c r="H264" s="390">
        <f t="shared" si="115"/>
        <v>0</v>
      </c>
      <c r="I264" s="534">
        <f t="shared" si="116"/>
        <v>0</v>
      </c>
      <c r="J264" s="1101"/>
      <c r="K264" s="1102"/>
      <c r="L264" s="1103"/>
      <c r="M264" s="527">
        <f>VLOOKUP($A$2,AVAILABLE_Upgrades_Normal_Troops[#All],MATCH(J263,AVAILABLE_Upgrades_Normal_Troops[#Headers],0))</f>
        <v>0</v>
      </c>
      <c r="N264" s="528">
        <f>VLOOKUP(IF(ISERROR(LOOKUP(MATCH(1,Paramètres!$K$6:$K$45,0),Paramètres!$A$6:$A$45)),0,LOOKUP(MATCH(1,Paramètres!$K$6:$K$45,0),Paramètres!$A$6:$A$45)),AVAILABLE_Upgrades_Normal_Troops[#All],MATCH(J263,AVAILABLE_Upgrades_Normal_Troops[#Headers],0)+1)</f>
        <v>0</v>
      </c>
      <c r="O264" s="205"/>
      <c r="P264" s="530">
        <f>IF(SUM(K266:K270)&gt;M264,"Error",SUM(K266:K270))</f>
        <v>0</v>
      </c>
      <c r="Q264" s="531">
        <f>IF(P$264="Error","Error",M264-P264)</f>
        <v>0</v>
      </c>
      <c r="R264" s="538">
        <f>IF(P$264="Error","Error",SUM(M266:M270))</f>
        <v>0</v>
      </c>
    </row>
    <row r="265" spans="1:24" ht="15" customHeight="1" thickBot="1">
      <c r="A265" s="996">
        <v>5</v>
      </c>
      <c r="B265" s="997" t="str">
        <f>IF(Paramètres!AQ10=0,"",Paramètres!AQ10)</f>
        <v/>
      </c>
      <c r="C265" s="810">
        <f t="shared" si="113"/>
        <v>0</v>
      </c>
      <c r="D265" s="586" t="str">
        <f t="shared" si="114"/>
        <v>/</v>
      </c>
      <c r="E265" s="108" t="str">
        <f>IF(G$259="Error","Error",IF(AND($E$259&lt;&gt;"/",$E$259&gt;'Paramètres - Admin'!$A6),'Paramètres - Admin'!$A7,"/"))</f>
        <v>/</v>
      </c>
      <c r="F265" s="390" t="str">
        <f>IF(E265&lt;&gt;"/",VLOOKUP(E265,COSTS_Giant[#All],2),"/")</f>
        <v>/</v>
      </c>
      <c r="G265" s="94" t="str">
        <f>IF(E265&lt;&gt;"/",VLOOKUP(E265,COSTS_Giant[#All],3),"/")</f>
        <v>/</v>
      </c>
      <c r="H265" s="390">
        <f t="shared" si="115"/>
        <v>0</v>
      </c>
      <c r="I265" s="534">
        <f t="shared" si="116"/>
        <v>0</v>
      </c>
      <c r="J265" s="208" t="s">
        <v>30</v>
      </c>
      <c r="K265" s="832" t="s">
        <v>29</v>
      </c>
      <c r="L265" s="593"/>
      <c r="M265" s="467" t="s">
        <v>29</v>
      </c>
      <c r="N265" s="468" t="s">
        <v>30</v>
      </c>
      <c r="O265" s="230" t="s">
        <v>258</v>
      </c>
      <c r="P265" s="230" t="s">
        <v>259</v>
      </c>
      <c r="Q265" s="230" t="s">
        <v>232</v>
      </c>
      <c r="R265" s="231" t="s">
        <v>233</v>
      </c>
    </row>
    <row r="266" spans="1:24" ht="15" customHeight="1">
      <c r="A266" s="996">
        <v>6</v>
      </c>
      <c r="B266" s="997" t="str">
        <f>IF(Paramètres!AQ11=0,"",Paramètres!AQ11)</f>
        <v/>
      </c>
      <c r="C266" s="810">
        <f t="shared" si="113"/>
        <v>0</v>
      </c>
      <c r="D266" s="586" t="str">
        <f t="shared" si="114"/>
        <v>/</v>
      </c>
      <c r="E266" s="108" t="str">
        <f>IF(G$259="Error","Error",IF(AND($E$259&lt;&gt;"/",$E$259&gt;'Paramètres - Admin'!$A7),'Paramètres - Admin'!$A8,"/"))</f>
        <v>/</v>
      </c>
      <c r="F266" s="390" t="str">
        <f>IF(E266&lt;&gt;"/",VLOOKUP(E266,COSTS_Giant[#All],2),"/")</f>
        <v>/</v>
      </c>
      <c r="G266" s="94" t="str">
        <f>IF(E266&lt;&gt;"/",VLOOKUP(E266,COSTS_Giant[#All],3),"/")</f>
        <v>/</v>
      </c>
      <c r="H266" s="390">
        <f t="shared" si="115"/>
        <v>0</v>
      </c>
      <c r="I266" s="534">
        <f t="shared" si="116"/>
        <v>0</v>
      </c>
      <c r="J266" s="524">
        <v>1</v>
      </c>
      <c r="K266" s="995" t="str">
        <f>IF(Paramètres!AX6=0,"",Paramètres!AX6)</f>
        <v/>
      </c>
      <c r="L266" s="598">
        <f>IF(L265&lt;&gt;0,L265+IF(AND(K265&lt;&gt;"",J265&lt;N$264),K265,0),IF(AND(K265&lt;&gt;"",J265&lt;N$264),K265,0))</f>
        <v>0</v>
      </c>
      <c r="M266" s="585" t="str">
        <f>IF(N266&lt;&gt;"/",IF(P$264="Error","Error",$Q$264+L266),"/")</f>
        <v>/</v>
      </c>
      <c r="N266" s="469" t="str">
        <f>IF(P$264="Error","Error",IF(AND($N$264&lt;&gt;"/",$N$264&gt;'Paramètres - Admin'!$A2),'Paramètres - Admin'!$A3,"/"))</f>
        <v>/</v>
      </c>
      <c r="O266" s="389" t="str">
        <f>IF(N266&lt;&gt;"/",VLOOKUP(N266,COSTS_PEKKA[#All],2),"/")</f>
        <v>/</v>
      </c>
      <c r="P266" s="470" t="str">
        <f>IF(N266&lt;&gt;"/",VLOOKUP(N266,COSTS_PEKKA[#All],3),"/")</f>
        <v>/</v>
      </c>
      <c r="Q266" s="389">
        <f>IF(P$264="Error","Error",IF(O266&lt;&gt;"/",M266*O266,0))</f>
        <v>0</v>
      </c>
      <c r="R266" s="471">
        <f>IF(P$264="Error","Error",IF(P266&lt;&gt;"/",M266*P266,0))</f>
        <v>0</v>
      </c>
    </row>
    <row r="267" spans="1:24" ht="15" customHeight="1" thickBot="1">
      <c r="A267" s="998">
        <v>7</v>
      </c>
      <c r="B267" s="999" t="str">
        <f>IF(Paramètres!AQ12=0,"",Paramètres!AQ12)</f>
        <v/>
      </c>
      <c r="C267" s="811">
        <f t="shared" si="113"/>
        <v>0</v>
      </c>
      <c r="D267" s="587" t="str">
        <f t="shared" si="114"/>
        <v>/</v>
      </c>
      <c r="E267" s="116" t="str">
        <f>IF(G$259="Error","Error",IF(AND($E$259&lt;&gt;"/",$E$259&gt;'Paramètres - Admin'!$A8),'Paramètres - Admin'!$A9,"/"))</f>
        <v>/</v>
      </c>
      <c r="F267" s="391" t="str">
        <f>IF(E267&lt;&gt;"/",VLOOKUP(E267,COSTS_Giant[#All],2),"/")</f>
        <v>/</v>
      </c>
      <c r="G267" s="114" t="str">
        <f>IF(E267&lt;&gt;"/",VLOOKUP(E267,COSTS_Giant[#All],3),"/")</f>
        <v>/</v>
      </c>
      <c r="H267" s="391">
        <f t="shared" si="115"/>
        <v>0</v>
      </c>
      <c r="I267" s="117">
        <f t="shared" si="116"/>
        <v>0</v>
      </c>
      <c r="J267" s="996">
        <v>2</v>
      </c>
      <c r="K267" s="997" t="str">
        <f>IF(Paramètres!AX7=0,"",Paramètres!AX7)</f>
        <v/>
      </c>
      <c r="L267" s="810">
        <f>IF(L266&lt;&gt;0,L266+IF(AND(K266&lt;&gt;"",J266&lt;N$264),K266,0),IF(AND(K266&lt;&gt;"",J266&lt;N$264),K266,0))</f>
        <v>0</v>
      </c>
      <c r="M267" s="586" t="str">
        <f>IF(N267&lt;&gt;"/",IF(P$264="Error","Error",$Q$264+L267),"/")</f>
        <v>/</v>
      </c>
      <c r="N267" s="108" t="str">
        <f>IF(P$264="Error","Error",IF(AND($N$264&lt;&gt;"/",$N$264&gt;'Paramètres - Admin'!$A3),'Paramètres - Admin'!$A4,"/"))</f>
        <v>/</v>
      </c>
      <c r="O267" s="390" t="str">
        <f>IF(N267&lt;&gt;"/",VLOOKUP(N267,COSTS_PEKKA[#All],2),"/")</f>
        <v>/</v>
      </c>
      <c r="P267" s="94" t="str">
        <f>IF(N267&lt;&gt;"/",VLOOKUP(N267,COSTS_PEKKA[#All],3),"/")</f>
        <v>/</v>
      </c>
      <c r="Q267" s="390">
        <f>IF(P$264="Error","Error",IF(O267&lt;&gt;"/",M267*O267,0))</f>
        <v>0</v>
      </c>
      <c r="R267" s="534">
        <f>IF(P$264="Error","Error",IF(P267&lt;&gt;"/",M267*P267,0))</f>
        <v>0</v>
      </c>
    </row>
    <row r="268" spans="1:24" ht="15" customHeight="1" thickBot="1">
      <c r="A268" s="594"/>
      <c r="B268" s="581"/>
      <c r="C268" s="581"/>
      <c r="D268" s="581"/>
      <c r="E268" s="581"/>
      <c r="F268" s="582"/>
      <c r="G268" s="523" t="s">
        <v>31</v>
      </c>
      <c r="H268" s="392">
        <f>IF(G$259="Error","Error",SUM(H261:H267))</f>
        <v>0</v>
      </c>
      <c r="I268" s="226">
        <f>IF(G$259="Error","Error",SUM(I261:I267))</f>
        <v>0</v>
      </c>
      <c r="J268" s="996">
        <v>3</v>
      </c>
      <c r="K268" s="997" t="str">
        <f>IF(Paramètres!AX8=0,"",Paramètres!AX8)</f>
        <v/>
      </c>
      <c r="L268" s="810">
        <f>IF(L267&lt;&gt;0,L267+IF(AND(K267&lt;&gt;"",J267&lt;N$264),K267,0),IF(AND(K267&lt;&gt;"",J267&lt;N$264),K267,0))</f>
        <v>0</v>
      </c>
      <c r="M268" s="586" t="str">
        <f>IF(N268&lt;&gt;"/",IF(P$264="Error","Error",$Q$264+L268),"/")</f>
        <v>/</v>
      </c>
      <c r="N268" s="108" t="str">
        <f>IF(P$264="Error","Error",IF(AND($N$264&lt;&gt;"/",$N$264&gt;'Paramètres - Admin'!$A4),'Paramètres - Admin'!$A5,"/"))</f>
        <v>/</v>
      </c>
      <c r="O268" s="390" t="str">
        <f>IF(N268&lt;&gt;"/",VLOOKUP(N268,COSTS_PEKKA[#All],2),"/")</f>
        <v>/</v>
      </c>
      <c r="P268" s="94" t="str">
        <f>IF(N268&lt;&gt;"/",VLOOKUP(N268,COSTS_PEKKA[#All],3),"/")</f>
        <v>/</v>
      </c>
      <c r="Q268" s="390">
        <f>IF(P$264="Error","Error",IF(O268&lt;&gt;"/",M268*O268,0))</f>
        <v>0</v>
      </c>
      <c r="R268" s="534">
        <f>IF(P$264="Error","Error",IF(P268&lt;&gt;"/",M268*P268,0))</f>
        <v>0</v>
      </c>
    </row>
    <row r="269" spans="1:24" ht="15" customHeight="1">
      <c r="A269" s="1104" t="s">
        <v>187</v>
      </c>
      <c r="B269" s="1109"/>
      <c r="C269" s="1110"/>
      <c r="D269" s="80" t="s">
        <v>38</v>
      </c>
      <c r="E269" s="81" t="s">
        <v>39</v>
      </c>
      <c r="F269" s="82"/>
      <c r="G269" s="524" t="s">
        <v>256</v>
      </c>
      <c r="H269" s="526" t="s">
        <v>361</v>
      </c>
      <c r="I269" s="525" t="s">
        <v>257</v>
      </c>
      <c r="J269" s="996">
        <v>4</v>
      </c>
      <c r="K269" s="997" t="str">
        <f>IF(Paramètres!AX9=0,"",Paramètres!AX9)</f>
        <v/>
      </c>
      <c r="L269" s="810">
        <f>IF(L268&lt;&gt;0,L268+IF(AND(K268&lt;&gt;"",J268&lt;N$264),K268,0),IF(AND(K268&lt;&gt;"",J268&lt;N$264),K268,0))</f>
        <v>0</v>
      </c>
      <c r="M269" s="586" t="str">
        <f>IF(N269&lt;&gt;"/",IF(P$264="Error","Error",$Q$264+L269),"/")</f>
        <v>/</v>
      </c>
      <c r="N269" s="108" t="str">
        <f>IF(P$264="Error","Error",IF(AND($N$264&lt;&gt;"/",$N$264&gt;'Paramètres - Admin'!$A5),'Paramètres - Admin'!$A6,"/"))</f>
        <v>/</v>
      </c>
      <c r="O269" s="390" t="str">
        <f>IF(N269&lt;&gt;"/",VLOOKUP(N269,COSTS_PEKKA[#All],2),"/")</f>
        <v>/</v>
      </c>
      <c r="P269" s="94" t="str">
        <f>IF(N269&lt;&gt;"/",VLOOKUP(N269,COSTS_PEKKA[#All],3),"/")</f>
        <v>/</v>
      </c>
      <c r="Q269" s="390">
        <f>IF(P$264="Error","Error",IF(O269&lt;&gt;"/",M269*O269,0))</f>
        <v>0</v>
      </c>
      <c r="R269" s="534">
        <f>IF(P$264="Error","Error",IF(P269&lt;&gt;"/",M269*P269,0))</f>
        <v>0</v>
      </c>
    </row>
    <row r="270" spans="1:24" ht="15" customHeight="1" thickBot="1">
      <c r="A270" s="1101"/>
      <c r="B270" s="1102"/>
      <c r="C270" s="1103"/>
      <c r="D270" s="88">
        <f>VLOOKUP($A$2,AVAILABLE_Upgrades_Normal_Troops[#All],MATCH(A269,AVAILABLE_Upgrades_Normal_Troops[#Headers],0))</f>
        <v>0</v>
      </c>
      <c r="E270" s="528">
        <f>VLOOKUP(IF(ISERROR(LOOKUP(MATCH(1,Paramètres!$K$6:$K$45,0),Paramètres!$A$6:$A$45)),0,LOOKUP(MATCH(1,Paramètres!$K$6:$K$45,0),Paramètres!$A$6:$A$45)),AVAILABLE_Upgrades_Normal_Troops[#All],MATCH(A269,AVAILABLE_Upgrades_Normal_Troops[#Headers],0)+1)</f>
        <v>0</v>
      </c>
      <c r="F270" s="205"/>
      <c r="G270" s="96">
        <f>IF(SUM(B272:B277)&gt;D270,"Error",SUM(B272:B277))</f>
        <v>0</v>
      </c>
      <c r="H270" s="97">
        <f>IF(G$270="Error","Error",D270-G270)</f>
        <v>0</v>
      </c>
      <c r="I270" s="206">
        <f>IF(G$270="Error","Error",SUM(D272:D277))</f>
        <v>0</v>
      </c>
      <c r="J270" s="998">
        <v>5</v>
      </c>
      <c r="K270" s="999" t="str">
        <f>IF(Paramètres!AX10=0,"",Paramètres!AX10)</f>
        <v/>
      </c>
      <c r="L270" s="811">
        <f>IF(L269&lt;&gt;0,L269+IF(AND(K269&lt;&gt;"",J269&lt;N$264),K269,0),IF(AND(K269&lt;&gt;"",J269&lt;N$264),K269,0))</f>
        <v>0</v>
      </c>
      <c r="M270" s="587" t="str">
        <f>IF(N270&lt;&gt;"/",IF(P$264="Error","Error",$Q$264+L270),"/")</f>
        <v>/</v>
      </c>
      <c r="N270" s="116" t="str">
        <f>IF(P$264="Error","Error",IF(AND($N$264&lt;&gt;"/",$N$264&gt;'Paramètres - Admin'!$A6),'Paramètres - Admin'!$A7,"/"))</f>
        <v>/</v>
      </c>
      <c r="O270" s="391" t="str">
        <f>IF(N270&lt;&gt;"/",VLOOKUP(N270,COSTS_PEKKA[#All],2),"/")</f>
        <v>/</v>
      </c>
      <c r="P270" s="114" t="str">
        <f>IF(N270&lt;&gt;"/",VLOOKUP(N270,COSTS_PEKKA[#All],3),"/")</f>
        <v>/</v>
      </c>
      <c r="Q270" s="391">
        <f>IF(P$264="Error","Error",IF(O270&lt;&gt;"/",M270*O270,0))</f>
        <v>0</v>
      </c>
      <c r="R270" s="117">
        <f>IF(P$264="Error","Error",IF(P270&lt;&gt;"/",M270*P270,0))</f>
        <v>0</v>
      </c>
    </row>
    <row r="271" spans="1:24" ht="15" customHeight="1" thickBot="1">
      <c r="A271" s="532" t="s">
        <v>30</v>
      </c>
      <c r="B271" s="343" t="s">
        <v>29</v>
      </c>
      <c r="C271" s="593"/>
      <c r="D271" s="467" t="s">
        <v>29</v>
      </c>
      <c r="E271" s="468" t="s">
        <v>30</v>
      </c>
      <c r="F271" s="230" t="s">
        <v>258</v>
      </c>
      <c r="G271" s="230" t="s">
        <v>259</v>
      </c>
      <c r="H271" s="230" t="s">
        <v>232</v>
      </c>
      <c r="I271" s="231" t="s">
        <v>233</v>
      </c>
      <c r="J271" s="830"/>
      <c r="K271" s="830"/>
      <c r="L271" s="830"/>
      <c r="M271" s="830"/>
      <c r="N271" s="830"/>
      <c r="O271" s="831"/>
      <c r="P271" s="523" t="s">
        <v>31</v>
      </c>
      <c r="Q271" s="392">
        <f>IF(P$264="Error","Error",SUM(Q266:Q270))</f>
        <v>0</v>
      </c>
      <c r="R271" s="546">
        <f>IF(P$264="Error","Error",SUM(R266:R270))</f>
        <v>0</v>
      </c>
    </row>
    <row r="272" spans="1:24" ht="15" customHeight="1">
      <c r="A272" s="524">
        <v>1</v>
      </c>
      <c r="B272" s="995" t="str">
        <f>IF(Paramètres!AS6=0,"",Paramètres!AS6)</f>
        <v/>
      </c>
      <c r="C272" s="598">
        <f t="shared" ref="C272:C277" si="117">IF(C271&lt;&gt;0,C271+IF(AND(B271&lt;&gt;"",A271&lt;E$270),B271,0),IF(AND(B271&lt;&gt;"",A271&lt;E$270),B271,0))</f>
        <v>0</v>
      </c>
      <c r="D272" s="585" t="str">
        <f t="shared" ref="D272:D277" si="118">IF(E272&lt;&gt;"/",IF(G$270="Error","Error",$H$270+C272),"/")</f>
        <v>/</v>
      </c>
      <c r="E272" s="469" t="str">
        <f>IF(G$270="Error","Error",IF(AND($E$270&lt;&gt;"/",$E$270&gt;'Paramètres - Admin'!$A2),'Paramètres - Admin'!$A3,"/"))</f>
        <v>/</v>
      </c>
      <c r="F272" s="389" t="str">
        <f>IF(E272&lt;&gt;"/",VLOOKUP(E272,COSTS_Wall_Breaker[#All],2),"/")</f>
        <v>/</v>
      </c>
      <c r="G272" s="470" t="str">
        <f>IF(E272&lt;&gt;"/",VLOOKUP(E272,COSTS_Wall_Breaker[#All],3),"/")</f>
        <v>/</v>
      </c>
      <c r="H272" s="389">
        <f t="shared" ref="H272:H277" si="119">IF(G$270="Error","Error",IF(F272&lt;&gt;"/",D272*F272,0))</f>
        <v>0</v>
      </c>
      <c r="I272" s="471">
        <f t="shared" ref="I272:I277" si="120">IF(G$270="Error","Error",IF(G272&lt;&gt;"/",D272*G272,0))</f>
        <v>0</v>
      </c>
    </row>
    <row r="273" spans="1:51" ht="15" customHeight="1">
      <c r="A273" s="996">
        <v>2</v>
      </c>
      <c r="B273" s="997" t="str">
        <f>IF(Paramètres!AS7=0,"",Paramètres!AS7)</f>
        <v/>
      </c>
      <c r="C273" s="810">
        <f t="shared" si="117"/>
        <v>0</v>
      </c>
      <c r="D273" s="586" t="str">
        <f t="shared" si="118"/>
        <v>/</v>
      </c>
      <c r="E273" s="108" t="str">
        <f>IF(G$270="Error","Error",IF(AND($E$270&lt;&gt;"/",$E$270&gt;'Paramètres - Admin'!$A3),'Paramètres - Admin'!$A4,"/"))</f>
        <v>/</v>
      </c>
      <c r="F273" s="390" t="str">
        <f>IF(E273&lt;&gt;"/",VLOOKUP(E273,COSTS_Wall_Breaker[#All],2),"/")</f>
        <v>/</v>
      </c>
      <c r="G273" s="94" t="str">
        <f>IF(E273&lt;&gt;"/",VLOOKUP(E273,COSTS_Wall_Breaker[#All],3),"/")</f>
        <v>/</v>
      </c>
      <c r="H273" s="390">
        <f t="shared" si="119"/>
        <v>0</v>
      </c>
      <c r="I273" s="534">
        <f t="shared" si="120"/>
        <v>0</v>
      </c>
    </row>
    <row r="274" spans="1:51" ht="15" customHeight="1">
      <c r="A274" s="996">
        <v>3</v>
      </c>
      <c r="B274" s="997" t="str">
        <f>IF(Paramètres!AS8=0,"",Paramètres!AS8)</f>
        <v/>
      </c>
      <c r="C274" s="810">
        <f t="shared" si="117"/>
        <v>0</v>
      </c>
      <c r="D274" s="586" t="str">
        <f t="shared" si="118"/>
        <v>/</v>
      </c>
      <c r="E274" s="108" t="str">
        <f>IF(G$270="Error","Error",IF(AND($E$270&lt;&gt;"/",$E$270&gt;'Paramètres - Admin'!$A4),'Paramètres - Admin'!$A5,"/"))</f>
        <v>/</v>
      </c>
      <c r="F274" s="390" t="str">
        <f>IF(E274&lt;&gt;"/",VLOOKUP(E274,COSTS_Wall_Breaker[#All],2),"/")</f>
        <v>/</v>
      </c>
      <c r="G274" s="94" t="str">
        <f>IF(E274&lt;&gt;"/",VLOOKUP(E274,COSTS_Wall_Breaker[#All],3),"/")</f>
        <v>/</v>
      </c>
      <c r="H274" s="390">
        <f t="shared" si="119"/>
        <v>0</v>
      </c>
      <c r="I274" s="534">
        <f t="shared" si="120"/>
        <v>0</v>
      </c>
    </row>
    <row r="275" spans="1:51" ht="15" customHeight="1">
      <c r="A275" s="996">
        <v>4</v>
      </c>
      <c r="B275" s="997" t="str">
        <f>IF(Paramètres!AS9=0,"",Paramètres!AS9)</f>
        <v/>
      </c>
      <c r="C275" s="810">
        <f t="shared" si="117"/>
        <v>0</v>
      </c>
      <c r="D275" s="586" t="str">
        <f t="shared" si="118"/>
        <v>/</v>
      </c>
      <c r="E275" s="108" t="str">
        <f>IF(G$270="Error","Error",IF(AND($E$270&lt;&gt;"/",$E$270&gt;'Paramètres - Admin'!$A5),'Paramètres - Admin'!$A6,"/"))</f>
        <v>/</v>
      </c>
      <c r="F275" s="390" t="str">
        <f>IF(E275&lt;&gt;"/",VLOOKUP(E275,COSTS_Wall_Breaker[#All],2),"/")</f>
        <v>/</v>
      </c>
      <c r="G275" s="94" t="str">
        <f>IF(E275&lt;&gt;"/",VLOOKUP(E275,COSTS_Wall_Breaker[#All],3),"/")</f>
        <v>/</v>
      </c>
      <c r="H275" s="390">
        <f t="shared" si="119"/>
        <v>0</v>
      </c>
      <c r="I275" s="534">
        <f t="shared" si="120"/>
        <v>0</v>
      </c>
    </row>
    <row r="276" spans="1:51" ht="15" customHeight="1">
      <c r="A276" s="996">
        <v>5</v>
      </c>
      <c r="B276" s="997" t="str">
        <f>IF(Paramètres!AS10=0,"",Paramètres!AS10)</f>
        <v/>
      </c>
      <c r="C276" s="810">
        <f t="shared" si="117"/>
        <v>0</v>
      </c>
      <c r="D276" s="586" t="str">
        <f t="shared" si="118"/>
        <v>/</v>
      </c>
      <c r="E276" s="108" t="str">
        <f>IF(G$270="Error","Error",IF(AND($E$270&lt;&gt;"/",$E$270&gt;'Paramètres - Admin'!$A6),'Paramètres - Admin'!$A7,"/"))</f>
        <v>/</v>
      </c>
      <c r="F276" s="390" t="str">
        <f>IF(E276&lt;&gt;"/",VLOOKUP(E276,COSTS_Wall_Breaker[#All],2),"/")</f>
        <v>/</v>
      </c>
      <c r="G276" s="94" t="str">
        <f>IF(E276&lt;&gt;"/",VLOOKUP(E276,COSTS_Wall_Breaker[#All],3),"/")</f>
        <v>/</v>
      </c>
      <c r="H276" s="390">
        <f t="shared" si="119"/>
        <v>0</v>
      </c>
      <c r="I276" s="534">
        <f t="shared" si="120"/>
        <v>0</v>
      </c>
    </row>
    <row r="277" spans="1:51" ht="15" customHeight="1" thickBot="1">
      <c r="A277" s="998">
        <v>6</v>
      </c>
      <c r="B277" s="999" t="str">
        <f>IF(Paramètres!AS11=0,"",Paramètres!AS11)</f>
        <v/>
      </c>
      <c r="C277" s="811">
        <f t="shared" si="117"/>
        <v>0</v>
      </c>
      <c r="D277" s="587" t="str">
        <f t="shared" si="118"/>
        <v>/</v>
      </c>
      <c r="E277" s="116" t="str">
        <f>IF(G$270="Error","Error",IF(AND($E$270&lt;&gt;"/",$E$270&gt;'Paramètres - Admin'!$A7),'Paramètres - Admin'!$A8,"/"))</f>
        <v>/</v>
      </c>
      <c r="F277" s="391" t="str">
        <f>IF(E277&lt;&gt;"/",VLOOKUP(E277,COSTS_Wall_Breaker[#All],2),"/")</f>
        <v>/</v>
      </c>
      <c r="G277" s="114" t="str">
        <f>IF(E277&lt;&gt;"/",VLOOKUP(E277,COSTS_Wall_Breaker[#All],3),"/")</f>
        <v>/</v>
      </c>
      <c r="H277" s="391">
        <f t="shared" si="119"/>
        <v>0</v>
      </c>
      <c r="I277" s="117">
        <f t="shared" si="120"/>
        <v>0</v>
      </c>
      <c r="AO277" s="537"/>
      <c r="AP277" s="537"/>
      <c r="AQ277" s="537"/>
      <c r="AR277" s="537"/>
      <c r="AS277" s="537"/>
      <c r="AT277" s="537"/>
      <c r="AU277" s="537"/>
      <c r="AV277" s="537"/>
      <c r="AW277" s="537"/>
      <c r="AX277" s="537"/>
      <c r="AY277" s="537"/>
    </row>
    <row r="278" spans="1:51" ht="15" customHeight="1" thickBot="1">
      <c r="A278" s="967"/>
      <c r="B278" s="968"/>
      <c r="C278" s="968"/>
      <c r="D278" s="968"/>
      <c r="E278" s="968"/>
      <c r="F278" s="969"/>
      <c r="G278" s="523" t="s">
        <v>31</v>
      </c>
      <c r="H278" s="392">
        <f>IF(G$270="Error","Error",SUM(H272:H277))</f>
        <v>0</v>
      </c>
      <c r="I278" s="226">
        <f>IF(G$270="Error","Error",SUM(I272:I277))</f>
        <v>0</v>
      </c>
      <c r="AO278" s="537"/>
      <c r="AP278" s="537"/>
      <c r="AQ278" s="537"/>
      <c r="AR278" s="537"/>
      <c r="AS278" s="537"/>
      <c r="AT278" s="537"/>
      <c r="AU278" s="537"/>
      <c r="AV278" s="537"/>
      <c r="AW278" s="537"/>
      <c r="AX278" s="537"/>
      <c r="AY278" s="537"/>
    </row>
    <row r="279" spans="1:51" s="537" customFormat="1" ht="15" customHeight="1">
      <c r="A279" s="132"/>
      <c r="B279" s="132"/>
      <c r="C279" s="132"/>
      <c r="D279" s="132"/>
      <c r="E279" s="132"/>
      <c r="F279" s="132"/>
      <c r="AO279" s="131"/>
      <c r="AP279" s="131"/>
      <c r="AQ279" s="131"/>
      <c r="AR279" s="131"/>
      <c r="AS279" s="131"/>
      <c r="AT279" s="131"/>
      <c r="AU279" s="131"/>
      <c r="AV279" s="131"/>
      <c r="AW279" s="131"/>
      <c r="AX279" s="131"/>
      <c r="AY279" s="131"/>
    </row>
    <row r="280" spans="1:51" s="537" customFormat="1" ht="20.100000000000001" customHeight="1" thickBot="1"/>
    <row r="281" spans="1:51" s="537" customFormat="1" ht="19.5" customHeight="1" thickBot="1">
      <c r="A281" s="1096" t="s">
        <v>226</v>
      </c>
      <c r="B281" s="1097"/>
      <c r="C281" s="1097"/>
      <c r="D281" s="1097"/>
      <c r="E281" s="1097"/>
      <c r="F281" s="1097"/>
      <c r="G281" s="1097"/>
      <c r="H281" s="1097"/>
      <c r="I281" s="1097"/>
      <c r="J281" s="1097"/>
      <c r="K281" s="1097"/>
      <c r="L281" s="1097"/>
      <c r="M281" s="1097"/>
      <c r="N281" s="1097"/>
      <c r="O281" s="1097"/>
      <c r="P281" s="1097"/>
      <c r="Q281" s="1097"/>
      <c r="R281" s="1097"/>
    </row>
    <row r="282" spans="1:51" s="537" customFormat="1" ht="15" customHeight="1">
      <c r="A282" s="1104" t="s">
        <v>707</v>
      </c>
      <c r="B282" s="1109"/>
      <c r="C282" s="1110"/>
      <c r="D282" s="524" t="s">
        <v>38</v>
      </c>
      <c r="E282" s="525" t="s">
        <v>39</v>
      </c>
      <c r="F282" s="82"/>
      <c r="G282" s="524" t="s">
        <v>256</v>
      </c>
      <c r="H282" s="526" t="s">
        <v>361</v>
      </c>
      <c r="I282" s="525" t="s">
        <v>257</v>
      </c>
      <c r="J282" s="1104" t="s">
        <v>719</v>
      </c>
      <c r="K282" s="1109"/>
      <c r="L282" s="1110"/>
      <c r="M282" s="524" t="s">
        <v>38</v>
      </c>
      <c r="N282" s="525" t="s">
        <v>39</v>
      </c>
      <c r="O282" s="82"/>
      <c r="P282" s="524" t="s">
        <v>256</v>
      </c>
      <c r="Q282" s="526" t="s">
        <v>361</v>
      </c>
      <c r="R282" s="525" t="s">
        <v>257</v>
      </c>
    </row>
    <row r="283" spans="1:51" s="537" customFormat="1" ht="15" customHeight="1" thickBot="1">
      <c r="A283" s="1101"/>
      <c r="B283" s="1102"/>
      <c r="C283" s="1103"/>
      <c r="D283" s="527">
        <f>VLOOKUP($A$2,AVAILABLE_Upgrades_Dark_Spells[#All],MATCH(A282,AVAILABLE_Upgrades_Dark_Spells[#Headers],0))</f>
        <v>0</v>
      </c>
      <c r="E283" s="528">
        <f>VLOOKUP(IF(ISERROR(LOOKUP(MATCH(1,Paramètres!$K$6:$K$45,0),Paramètres!$A$6:$A$45)),0,LOOKUP(MATCH(1,Paramètres!$K$6:$K$45,0),Paramètres!$A$6:$A$45)),AVAILABLE_Upgrades_Dark_Spells[#All],MATCH(A282,AVAILABLE_Upgrades_Dark_Spells[#Headers],0)+1)</f>
        <v>0</v>
      </c>
      <c r="F283" s="205"/>
      <c r="G283" s="530">
        <f>IF(SUM(B285:B288)&gt;D283,"Error",SUM(B285:B288))</f>
        <v>0</v>
      </c>
      <c r="H283" s="531">
        <f>IF(G$283="Error","Error",D283-G283)</f>
        <v>0</v>
      </c>
      <c r="I283" s="538">
        <f>IF(G$283="Error","Error",SUM(D285:D288))</f>
        <v>0</v>
      </c>
      <c r="J283" s="1101"/>
      <c r="K283" s="1102"/>
      <c r="L283" s="1103"/>
      <c r="M283" s="527">
        <f>VLOOKUP($A$2,AVAILABLE_Upgrades_Dark_Spells[#All],MATCH(J282,AVAILABLE_Upgrades_Dark_Spells[#Headers],0))</f>
        <v>0</v>
      </c>
      <c r="N283" s="528">
        <f>VLOOKUP(IF(ISERROR(LOOKUP(MATCH(1,Paramètres!$K$6:$K$45,0),Paramètres!$A$6:$A$45)),0,LOOKUP(MATCH(1,Paramètres!$K$6:$K$45,0),Paramètres!$A$6:$A$45)),AVAILABLE_Upgrades_Dark_Spells[#All],MATCH(J282,AVAILABLE_Upgrades_Dark_Spells[#Headers],0)+1)</f>
        <v>0</v>
      </c>
      <c r="O283" s="205"/>
      <c r="P283" s="530">
        <f>IF(SUM(K285:K288)&gt;M283,"Error",SUM(K285:K288))</f>
        <v>0</v>
      </c>
      <c r="Q283" s="531">
        <f>IF(P$283="Error","Error",M283-P283)</f>
        <v>0</v>
      </c>
      <c r="R283" s="538">
        <f>IF(P$283="Error","Error",SUM(M285:M288))</f>
        <v>0</v>
      </c>
    </row>
    <row r="284" spans="1:51" s="537" customFormat="1" ht="15" customHeight="1" thickBot="1">
      <c r="A284" s="532" t="s">
        <v>30</v>
      </c>
      <c r="B284" s="535" t="s">
        <v>29</v>
      </c>
      <c r="C284" s="533"/>
      <c r="D284" s="542" t="s">
        <v>29</v>
      </c>
      <c r="E284" s="543" t="s">
        <v>30</v>
      </c>
      <c r="F284" s="544" t="s">
        <v>258</v>
      </c>
      <c r="G284" s="544" t="s">
        <v>259</v>
      </c>
      <c r="H284" s="544" t="s">
        <v>232</v>
      </c>
      <c r="I284" s="545" t="s">
        <v>233</v>
      </c>
      <c r="J284" s="532" t="s">
        <v>30</v>
      </c>
      <c r="K284" s="535" t="s">
        <v>29</v>
      </c>
      <c r="L284" s="533"/>
      <c r="M284" s="542" t="s">
        <v>29</v>
      </c>
      <c r="N284" s="543" t="s">
        <v>30</v>
      </c>
      <c r="O284" s="544" t="s">
        <v>258</v>
      </c>
      <c r="P284" s="544" t="s">
        <v>259</v>
      </c>
      <c r="Q284" s="544" t="s">
        <v>232</v>
      </c>
      <c r="R284" s="545" t="s">
        <v>233</v>
      </c>
    </row>
    <row r="285" spans="1:51" s="537" customFormat="1" ht="15" customHeight="1">
      <c r="A285" s="524">
        <v>1</v>
      </c>
      <c r="B285" s="995" t="str">
        <f>IF(Paramètres!AL6=0,"",Paramètres!AL6)</f>
        <v/>
      </c>
      <c r="C285" s="598">
        <f>IF(C284&lt;&gt;0,C284+IF(AND(B284&lt;&gt;"",A284&lt;E$283),B284,0),IF(AND(B284&lt;&gt;"",A284&lt;E$283),B284,0))</f>
        <v>0</v>
      </c>
      <c r="D285" s="585" t="str">
        <f>IF(E285&lt;&gt;"/",IF(G$283="Error","Error",$H$283+C285),"/")</f>
        <v>/</v>
      </c>
      <c r="E285" s="469" t="str">
        <f>IF(G$283="Error","Error",IF(AND($E$283&lt;&gt;"/",$E$283&gt;'Paramètres - Admin'!$A2),'Paramètres - Admin'!$A3,"/"))</f>
        <v>/</v>
      </c>
      <c r="F285" s="121" t="str">
        <f>IF(E285&lt;&gt;"/",VLOOKUP(E285,COSTS_Spell_Poison[#All],2),"/")</f>
        <v>/</v>
      </c>
      <c r="G285" s="470" t="str">
        <f>IF(E285&lt;&gt;"/",VLOOKUP(E285,COSTS_Spell_Poison[#All],3),"/")</f>
        <v>/</v>
      </c>
      <c r="H285" s="121">
        <f>IF(G$283="Error","Error",IF(F285&lt;&gt;"/",D285*F285,0))</f>
        <v>0</v>
      </c>
      <c r="I285" s="471">
        <f>IF(G$283="Error","Error",IF(G285&lt;&gt;"/",D285*G285,0))</f>
        <v>0</v>
      </c>
      <c r="J285" s="524">
        <v>1</v>
      </c>
      <c r="K285" s="995" t="str">
        <f>IF(Paramètres!AM6=0,"",Paramètres!AM6)</f>
        <v/>
      </c>
      <c r="L285" s="598">
        <f>IF(L284&lt;&gt;0,L284+IF(AND(K284&lt;&gt;"",J284&lt;N$283),K284,0),IF(AND(K284&lt;&gt;"",J284&lt;N$283),K284,0))</f>
        <v>0</v>
      </c>
      <c r="M285" s="585" t="str">
        <f>IF(N285&lt;&gt;"/",IF(P$283="Error","Error",$Q$283+L285),"/")</f>
        <v>/</v>
      </c>
      <c r="N285" s="469" t="str">
        <f>IF(P$283="Error","Error",IF(AND($N$283&lt;&gt;"/",$N$283&gt;'Paramètres - Admin'!$A2),'Paramètres - Admin'!$A3,"/"))</f>
        <v>/</v>
      </c>
      <c r="O285" s="121" t="str">
        <f>IF(N285&lt;&gt;"/",VLOOKUP(N285,COSTS_Spell_Earthquake[#All],2),"/")</f>
        <v>/</v>
      </c>
      <c r="P285" s="470" t="str">
        <f>IF(N285&lt;&gt;"/",VLOOKUP(N285,COSTS_Spell_Earthquake[#All],3),"/")</f>
        <v>/</v>
      </c>
      <c r="Q285" s="121">
        <f>IF(P$283="Error","Error",IF(O285&lt;&gt;"/",M285*O285,0))</f>
        <v>0</v>
      </c>
      <c r="R285" s="471">
        <f>IF(P$283="Error","Error",IF(P285&lt;&gt;"/",M285*P285,0))</f>
        <v>0</v>
      </c>
    </row>
    <row r="286" spans="1:51" s="537" customFormat="1" ht="15" customHeight="1">
      <c r="A286" s="996">
        <v>2</v>
      </c>
      <c r="B286" s="997" t="str">
        <f>IF(Paramètres!AL7=0,"",Paramètres!AL7)</f>
        <v/>
      </c>
      <c r="C286" s="810">
        <f t="shared" ref="C286:C288" si="121">IF(C285&lt;&gt;0,C285+IF(AND(B285&lt;&gt;"",A285&lt;E$283),B285,0),IF(AND(B285&lt;&gt;"",A285&lt;E$283),B285,0))</f>
        <v>0</v>
      </c>
      <c r="D286" s="586" t="str">
        <f>IF(E286&lt;&gt;"/",IF(G$283="Error","Error",$H$283+C286),"/")</f>
        <v>/</v>
      </c>
      <c r="E286" s="108" t="str">
        <f>IF(G$283="Error","Error",IF(AND($E$283&lt;&gt;"/",$E$283&gt;'Paramètres - Admin'!$A3),'Paramètres - Admin'!$A4,"/"))</f>
        <v>/</v>
      </c>
      <c r="F286" s="124" t="str">
        <f>IF(E286&lt;&gt;"/",VLOOKUP(E286,COSTS_Spell_Poison[#All],2),"/")</f>
        <v>/</v>
      </c>
      <c r="G286" s="94" t="str">
        <f>IF(E286&lt;&gt;"/",VLOOKUP(E286,COSTS_Spell_Poison[#All],3),"/")</f>
        <v>/</v>
      </c>
      <c r="H286" s="124">
        <f>IF(G$197="Error","Error",IF(F286&lt;&gt;"/",D286*F286,0))</f>
        <v>0</v>
      </c>
      <c r="I286" s="534">
        <f>IF(G$197="Error","Error",IF(G286&lt;&gt;"/",D286*G286,0))</f>
        <v>0</v>
      </c>
      <c r="J286" s="996">
        <v>2</v>
      </c>
      <c r="K286" s="997" t="str">
        <f>IF(Paramètres!AM7=0,"",Paramètres!AM7)</f>
        <v/>
      </c>
      <c r="L286" s="810">
        <f>IF(L285&lt;&gt;0,L285+IF(AND(K285&lt;&gt;"",J285&lt;N$283),K285,0),IF(AND(K285&lt;&gt;"",J285&lt;N$283),K285,0))</f>
        <v>0</v>
      </c>
      <c r="M286" s="586" t="str">
        <f>IF(N286&lt;&gt;"/",IF(P$283="Error","Error",$Q$283+L286),"/")</f>
        <v>/</v>
      </c>
      <c r="N286" s="108" t="str">
        <f>IF(P$283="Error","Error",IF(AND($N$283&lt;&gt;"/",$N$283&gt;'Paramètres - Admin'!$A3),'Paramètres - Admin'!$A4,"/"))</f>
        <v>/</v>
      </c>
      <c r="O286" s="124" t="str">
        <f>IF(N286&lt;&gt;"/",VLOOKUP(N286,COSTS_Spell_Earthquake[#All],2),"/")</f>
        <v>/</v>
      </c>
      <c r="P286" s="94" t="str">
        <f>IF(N286&lt;&gt;"/",VLOOKUP(N286,COSTS_Spell_Earthquake[#All],3),"/")</f>
        <v>/</v>
      </c>
      <c r="Q286" s="124">
        <f>IF(G$217="Error","Error",IF(O286&lt;&gt;"/",M286*O286,0))</f>
        <v>0</v>
      </c>
      <c r="R286" s="534">
        <f>IF(G$217="Error","Error",IF(P286&lt;&gt;"/",M286*P286,0))</f>
        <v>0</v>
      </c>
    </row>
    <row r="287" spans="1:51" s="537" customFormat="1" ht="15" customHeight="1">
      <c r="A287" s="996">
        <v>3</v>
      </c>
      <c r="B287" s="997" t="str">
        <f>IF(Paramètres!AL8=0,"",Paramètres!AL8)</f>
        <v/>
      </c>
      <c r="C287" s="810">
        <f t="shared" si="121"/>
        <v>0</v>
      </c>
      <c r="D287" s="586" t="str">
        <f>IF(E287&lt;&gt;"/",IF(G$283="Error","Error",$H$283+C287),"/")</f>
        <v>/</v>
      </c>
      <c r="E287" s="108" t="str">
        <f>IF(G$283="Error","Error",IF(AND($E$283&lt;&gt;"/",$E$283&gt;'Paramètres - Admin'!$A4),'Paramètres - Admin'!$A5,"/"))</f>
        <v>/</v>
      </c>
      <c r="F287" s="124" t="str">
        <f>IF(E287&lt;&gt;"/",VLOOKUP(E287,COSTS_Spell_Poison[#All],2),"/")</f>
        <v>/</v>
      </c>
      <c r="G287" s="94" t="str">
        <f>IF(E287&lt;&gt;"/",VLOOKUP(E287,COSTS_Spell_Poison[#All],3),"/")</f>
        <v>/</v>
      </c>
      <c r="H287" s="124">
        <f>IF(G$197="Error","Error",IF(F287&lt;&gt;"/",D287*F287,0))</f>
        <v>0</v>
      </c>
      <c r="I287" s="534">
        <f>IF(G$197="Error","Error",IF(G287&lt;&gt;"/",D287*G287,0))</f>
        <v>0</v>
      </c>
      <c r="J287" s="996">
        <v>3</v>
      </c>
      <c r="K287" s="997" t="str">
        <f>IF(Paramètres!AM8=0,"",Paramètres!AM8)</f>
        <v/>
      </c>
      <c r="L287" s="810">
        <f>IF(L286&lt;&gt;0,L286+IF(AND(K286&lt;&gt;"",J286&lt;N$283),K286,0),IF(AND(K286&lt;&gt;"",J286&lt;N$283),K286,0))</f>
        <v>0</v>
      </c>
      <c r="M287" s="586" t="str">
        <f>IF(N287&lt;&gt;"/",IF(P$283="Error","Error",$Q$283+L287),"/")</f>
        <v>/</v>
      </c>
      <c r="N287" s="108" t="str">
        <f>IF(P$283="Error","Error",IF(AND($N$283&lt;&gt;"/",$N$283&gt;'Paramètres - Admin'!$A4),'Paramètres - Admin'!$A5,"/"))</f>
        <v>/</v>
      </c>
      <c r="O287" s="124" t="str">
        <f>IF(N287&lt;&gt;"/",VLOOKUP(N287,COSTS_Spell_Earthquake[#All],2),"/")</f>
        <v>/</v>
      </c>
      <c r="P287" s="94" t="str">
        <f>IF(N287&lt;&gt;"/",VLOOKUP(N287,COSTS_Spell_Earthquake[#All],3),"/")</f>
        <v>/</v>
      </c>
      <c r="Q287" s="124">
        <f>IF(G$217="Error","Error",IF(O287&lt;&gt;"/",M287*O287,0))</f>
        <v>0</v>
      </c>
      <c r="R287" s="534">
        <f>IF(G$217="Error","Error",IF(P287&lt;&gt;"/",M287*P287,0))</f>
        <v>0</v>
      </c>
    </row>
    <row r="288" spans="1:51" s="537" customFormat="1" ht="15" customHeight="1" thickBot="1">
      <c r="A288" s="998">
        <v>4</v>
      </c>
      <c r="B288" s="999" t="str">
        <f>IF(Paramètres!AL9=0,"",Paramètres!AL9)</f>
        <v/>
      </c>
      <c r="C288" s="811">
        <f t="shared" si="121"/>
        <v>0</v>
      </c>
      <c r="D288" s="587" t="str">
        <f>IF(E288&lt;&gt;"/",IF(G$283="Error","Error",$H$283+C288),"/")</f>
        <v>/</v>
      </c>
      <c r="E288" s="116" t="str">
        <f>IF(G$283="Error","Error",IF(AND($E$283&lt;&gt;"/",$E$283&gt;'Paramètres - Admin'!$A5),'Paramètres - Admin'!$A6,"/"))</f>
        <v>/</v>
      </c>
      <c r="F288" s="207" t="str">
        <f>IF(E288&lt;&gt;"/",VLOOKUP(E288,COSTS_Spell_Poison[#All],2),"/")</f>
        <v>/</v>
      </c>
      <c r="G288" s="114" t="str">
        <f>IF(E288&lt;&gt;"/",VLOOKUP(E288,COSTS_Spell_Poison[#All],3),"/")</f>
        <v>/</v>
      </c>
      <c r="H288" s="207">
        <f>IF(G$197="Error","Error",IF(F288&lt;&gt;"/",D288*F288,0))</f>
        <v>0</v>
      </c>
      <c r="I288" s="117">
        <f>IF(G$197="Error","Error",IF(G288&lt;&gt;"/",D288*G288,0))</f>
        <v>0</v>
      </c>
      <c r="J288" s="998">
        <v>4</v>
      </c>
      <c r="K288" s="999" t="str">
        <f>IF(Paramètres!AM9=0,"",Paramètres!AM9)</f>
        <v/>
      </c>
      <c r="L288" s="811">
        <f>IF(L287&lt;&gt;0,L287+IF(AND(K287&lt;&gt;"",J287&lt;N$283),K287,0),IF(AND(K287&lt;&gt;"",J287&lt;N$283),K287,0))</f>
        <v>0</v>
      </c>
      <c r="M288" s="587" t="str">
        <f>IF(N288&lt;&gt;"/",IF(P$283="Error","Error",$Q$283+L288),"/")</f>
        <v>/</v>
      </c>
      <c r="N288" s="116" t="str">
        <f>IF(P$283="Error","Error",IF(AND($N$283&lt;&gt;"/",$N$283&gt;'Paramètres - Admin'!$A5),'Paramètres - Admin'!$A6,"/"))</f>
        <v>/</v>
      </c>
      <c r="O288" s="207" t="str">
        <f>IF(N288&lt;&gt;"/",VLOOKUP(N288,COSTS_Spell_Earthquake[#All],2),"/")</f>
        <v>/</v>
      </c>
      <c r="P288" s="114" t="str">
        <f>IF(N288&lt;&gt;"/",VLOOKUP(N288,COSTS_Spell_Earthquake[#All],3),"/")</f>
        <v>/</v>
      </c>
      <c r="Q288" s="207">
        <f>IF(G$217="Error","Error",IF(O288&lt;&gt;"/",M288*O288,0))</f>
        <v>0</v>
      </c>
      <c r="R288" s="117">
        <f>IF(G$217="Error","Error",IF(P288&lt;&gt;"/",M288*P288,0))</f>
        <v>0</v>
      </c>
    </row>
    <row r="289" spans="1:84" s="537" customFormat="1" ht="15" customHeight="1" thickBot="1">
      <c r="A289" s="795"/>
      <c r="B289" s="793"/>
      <c r="C289" s="793"/>
      <c r="D289" s="793"/>
      <c r="E289" s="793"/>
      <c r="F289" s="794"/>
      <c r="G289" s="278" t="s">
        <v>31</v>
      </c>
      <c r="H289" s="126">
        <f>IF(G$197="Error","Error",SUM(H285:H288))</f>
        <v>0</v>
      </c>
      <c r="I289" s="597">
        <f>IF(G$197="Error","Error",SUM(I285:I288))</f>
        <v>0</v>
      </c>
      <c r="J289" s="967"/>
      <c r="K289" s="968"/>
      <c r="L289" s="968"/>
      <c r="M289" s="968"/>
      <c r="N289" s="968"/>
      <c r="O289" s="969"/>
      <c r="P289" s="523" t="s">
        <v>31</v>
      </c>
      <c r="Q289" s="224">
        <f>IF(G$217="Error","Error",SUM(Q285:Q288))</f>
        <v>0</v>
      </c>
      <c r="R289" s="546">
        <f>IF(G$217="Error","Error",SUM(R285:R288))</f>
        <v>0</v>
      </c>
    </row>
    <row r="290" spans="1:84" s="537" customFormat="1" ht="15" customHeight="1">
      <c r="A290" s="1104" t="s">
        <v>708</v>
      </c>
      <c r="B290" s="1109"/>
      <c r="C290" s="1110"/>
      <c r="D290" s="524" t="s">
        <v>38</v>
      </c>
      <c r="E290" s="525" t="s">
        <v>39</v>
      </c>
      <c r="F290" s="82"/>
      <c r="G290" s="524" t="s">
        <v>256</v>
      </c>
      <c r="H290" s="526" t="s">
        <v>361</v>
      </c>
      <c r="I290" s="525" t="s">
        <v>257</v>
      </c>
    </row>
    <row r="291" spans="1:84" s="537" customFormat="1" ht="15" customHeight="1" thickBot="1">
      <c r="A291" s="1101"/>
      <c r="B291" s="1102"/>
      <c r="C291" s="1103"/>
      <c r="D291" s="527">
        <f>VLOOKUP($A$2,AVAILABLE_Upgrades_Dark_Spells[#All],MATCH(A290,AVAILABLE_Upgrades_Dark_Spells[#Headers],0))</f>
        <v>0</v>
      </c>
      <c r="E291" s="528">
        <f>VLOOKUP(IF(ISERROR(LOOKUP(MATCH(1,Paramètres!$K$6:$K$45,0),Paramètres!$A$6:$A$45)),0,LOOKUP(MATCH(1,Paramètres!$K$6:$K$45,0),Paramètres!$A$6:$A$45)),AVAILABLE_Upgrades_Dark_Spells[#All],MATCH(A290,AVAILABLE_Upgrades_Dark_Spells[#Headers],0)+1)</f>
        <v>0</v>
      </c>
      <c r="F291" s="205"/>
      <c r="G291" s="530">
        <f>IF(SUM(B293:B296)&gt;D291,"Error",SUM(B293:B296))</f>
        <v>0</v>
      </c>
      <c r="H291" s="531">
        <f>IF(G$283="Error","Error",D291-G291)</f>
        <v>0</v>
      </c>
      <c r="I291" s="538">
        <f>IF(G$283="Error","Error",SUM(D293:D296))</f>
        <v>0</v>
      </c>
    </row>
    <row r="292" spans="1:84" s="537" customFormat="1" ht="15" customHeight="1" thickBot="1">
      <c r="A292" s="532" t="s">
        <v>30</v>
      </c>
      <c r="B292" s="535" t="s">
        <v>29</v>
      </c>
      <c r="C292" s="533"/>
      <c r="D292" s="542" t="s">
        <v>29</v>
      </c>
      <c r="E292" s="543" t="s">
        <v>30</v>
      </c>
      <c r="F292" s="544" t="s">
        <v>258</v>
      </c>
      <c r="G292" s="544" t="s">
        <v>259</v>
      </c>
      <c r="H292" s="544" t="s">
        <v>232</v>
      </c>
      <c r="I292" s="545" t="s">
        <v>233</v>
      </c>
    </row>
    <row r="293" spans="1:84" s="537" customFormat="1" ht="15" customHeight="1">
      <c r="A293" s="524">
        <v>1</v>
      </c>
      <c r="B293" s="995" t="str">
        <f>IF(Paramètres!AN6=0,"",Paramètres!AN6)</f>
        <v/>
      </c>
      <c r="C293" s="598">
        <f>IF(C292&lt;&gt;0,C292+IF(AND(B292&lt;&gt;"",A292&lt;E$291),B292,0),IF(AND(B292&lt;&gt;"",A292&lt;E$291),B292,0))</f>
        <v>0</v>
      </c>
      <c r="D293" s="585" t="str">
        <f>IF(E293&lt;&gt;"/",IF(G$291="Error","Error",$H$291+C293),"/")</f>
        <v>/</v>
      </c>
      <c r="E293" s="469" t="str">
        <f>IF(G$291="Error","Error",IF(AND($E$291&lt;&gt;"/",$E$291&gt;'Paramètres - Admin'!$A2),'Paramètres - Admin'!$A3,"/"))</f>
        <v>/</v>
      </c>
      <c r="F293" s="121" t="str">
        <f>IF(E293&lt;&gt;"/",VLOOKUP(E293,COSTS_Spell_Haste[#All],2),"/")</f>
        <v>/</v>
      </c>
      <c r="G293" s="470" t="str">
        <f>IF(E293&lt;&gt;"/",VLOOKUP(E293,COSTS_Spell_Haste[#All],3),"/")</f>
        <v>/</v>
      </c>
      <c r="H293" s="121">
        <f>IF(G$291="Error","Error",IF(F293&lt;&gt;"/",D293*F293,0))</f>
        <v>0</v>
      </c>
      <c r="I293" s="471">
        <f>IF(G$291="Error","Error",IF(G293&lt;&gt;"/",D293*G293,0))</f>
        <v>0</v>
      </c>
    </row>
    <row r="294" spans="1:84" s="537" customFormat="1" ht="15" customHeight="1">
      <c r="A294" s="996">
        <v>2</v>
      </c>
      <c r="B294" s="997" t="str">
        <f>IF(Paramètres!AN7=0,"",Paramètres!AN7)</f>
        <v/>
      </c>
      <c r="C294" s="810">
        <f t="shared" ref="C294:C296" si="122">IF(C293&lt;&gt;0,C293+IF(AND(B293&lt;&gt;"",A293&lt;E$291),B293,0),IF(AND(B293&lt;&gt;"",A293&lt;E$291),B293,0))</f>
        <v>0</v>
      </c>
      <c r="D294" s="586" t="str">
        <f>IF(E294&lt;&gt;"/",IF(G$291="Error","Error",$H$291+C294),"/")</f>
        <v>/</v>
      </c>
      <c r="E294" s="108" t="str">
        <f>IF(G$291="Error","Error",IF(AND($E$291&lt;&gt;"/",$E$291&gt;'Paramètres - Admin'!$A3),'Paramètres - Admin'!$A4,"/"))</f>
        <v>/</v>
      </c>
      <c r="F294" s="124" t="str">
        <f>IF(E294&lt;&gt;"/",VLOOKUP(E294,COSTS_Spell_Haste[#All],2),"/")</f>
        <v>/</v>
      </c>
      <c r="G294" s="94" t="str">
        <f>IF(E294&lt;&gt;"/",VLOOKUP(E294,COSTS_Spell_Haste[#All],3),"/")</f>
        <v>/</v>
      </c>
      <c r="H294" s="124">
        <f>IF(G$291="Error","Error",IF(F294&lt;&gt;"/",D294*F294,0))</f>
        <v>0</v>
      </c>
      <c r="I294" s="534">
        <f>IF(G$291="Error","Error",IF(G294&lt;&gt;"/",D294*G294,0))</f>
        <v>0</v>
      </c>
      <c r="L294" s="131"/>
      <c r="M294" s="131"/>
      <c r="N294" s="131"/>
      <c r="O294" s="131"/>
      <c r="P294" s="131"/>
      <c r="Q294" s="131"/>
      <c r="R294" s="131"/>
      <c r="S294" s="131"/>
      <c r="T294" s="131"/>
      <c r="U294" s="131"/>
      <c r="V294" s="131"/>
    </row>
    <row r="295" spans="1:84" s="537" customFormat="1" ht="15" customHeight="1">
      <c r="A295" s="996">
        <v>3</v>
      </c>
      <c r="B295" s="997" t="str">
        <f>IF(Paramètres!AN8=0,"",Paramètres!AN8)</f>
        <v/>
      </c>
      <c r="C295" s="810">
        <f t="shared" si="122"/>
        <v>0</v>
      </c>
      <c r="D295" s="586" t="str">
        <f>IF(E295&lt;&gt;"/",IF(G$291="Error","Error",$H$291+C295),"/")</f>
        <v>/</v>
      </c>
      <c r="E295" s="108" t="str">
        <f>IF(G$291="Error","Error",IF(AND($E$291&lt;&gt;"/",$E$291&gt;'Paramètres - Admin'!$A4),'Paramètres - Admin'!$A5,"/"))</f>
        <v>/</v>
      </c>
      <c r="F295" s="124" t="str">
        <f>IF(E295&lt;&gt;"/",VLOOKUP(E295,COSTS_Spell_Haste[#All],2),"/")</f>
        <v>/</v>
      </c>
      <c r="G295" s="94" t="str">
        <f>IF(E295&lt;&gt;"/",VLOOKUP(E295,COSTS_Spell_Haste[#All],3),"/")</f>
        <v>/</v>
      </c>
      <c r="H295" s="124">
        <f>IF(G$291="Error","Error",IF(F295&lt;&gt;"/",D295*F295,0))</f>
        <v>0</v>
      </c>
      <c r="I295" s="534">
        <f>IF(G$291="Error","Error",IF(G295&lt;&gt;"/",D295*G295,0))</f>
        <v>0</v>
      </c>
      <c r="L295" s="131"/>
      <c r="M295" s="131"/>
      <c r="N295" s="131"/>
      <c r="O295" s="131"/>
      <c r="P295" s="131"/>
      <c r="Q295" s="131"/>
      <c r="R295" s="131"/>
      <c r="S295" s="131"/>
      <c r="T295" s="131"/>
      <c r="U295" s="131"/>
      <c r="V295" s="131"/>
    </row>
    <row r="296" spans="1:84" s="537" customFormat="1" ht="15" customHeight="1" thickBot="1">
      <c r="A296" s="998">
        <v>4</v>
      </c>
      <c r="B296" s="999" t="str">
        <f>IF(Paramètres!AN9=0,"",Paramètres!AN9)</f>
        <v/>
      </c>
      <c r="C296" s="811">
        <f t="shared" si="122"/>
        <v>0</v>
      </c>
      <c r="D296" s="587" t="str">
        <f>IF(E296&lt;&gt;"/",IF(G$291="Error","Error",$H$291+C296),"/")</f>
        <v>/</v>
      </c>
      <c r="E296" s="116" t="str">
        <f>IF(G$291="Error","Error",IF(AND($E$291&lt;&gt;"/",$E$291&gt;'Paramètres - Admin'!$A5),'Paramètres - Admin'!$A6,"/"))</f>
        <v>/</v>
      </c>
      <c r="F296" s="207" t="str">
        <f>IF(E296&lt;&gt;"/",VLOOKUP(E296,COSTS_Spell_Haste[#All],2),"/")</f>
        <v>/</v>
      </c>
      <c r="G296" s="114" t="str">
        <f>IF(E296&lt;&gt;"/",VLOOKUP(E296,COSTS_Spell_Haste[#All],3),"/")</f>
        <v>/</v>
      </c>
      <c r="H296" s="207">
        <f>IF(G$291="Error","Error",IF(F296&lt;&gt;"/",D296*F296,0))</f>
        <v>0</v>
      </c>
      <c r="I296" s="117">
        <f>IF(G$291="Error","Error",IF(G296&lt;&gt;"/",D296*G296,0))</f>
        <v>0</v>
      </c>
      <c r="L296" s="131"/>
      <c r="M296" s="131"/>
      <c r="N296" s="131"/>
      <c r="O296" s="131"/>
      <c r="P296" s="131"/>
      <c r="Q296" s="131"/>
      <c r="R296" s="131"/>
      <c r="S296" s="131"/>
      <c r="T296" s="131"/>
      <c r="U296" s="131"/>
      <c r="V296" s="131"/>
    </row>
    <row r="297" spans="1:84" s="537" customFormat="1" ht="15" customHeight="1" thickBot="1">
      <c r="A297" s="795"/>
      <c r="B297" s="793"/>
      <c r="C297" s="793"/>
      <c r="D297" s="793"/>
      <c r="E297" s="793"/>
      <c r="F297" s="794"/>
      <c r="G297" s="278" t="s">
        <v>31</v>
      </c>
      <c r="H297" s="398">
        <f>IF(P$197="Error","Error",SUM(H293:H296))</f>
        <v>0</v>
      </c>
      <c r="I297" s="597">
        <f>IF(P$197="Error","Error",SUM(I293:I296))</f>
        <v>0</v>
      </c>
      <c r="L297" s="131"/>
      <c r="M297" s="131"/>
      <c r="N297" s="131"/>
      <c r="O297" s="131"/>
      <c r="P297" s="131"/>
      <c r="Q297" s="131"/>
      <c r="R297" s="131"/>
      <c r="S297" s="131"/>
      <c r="T297" s="131"/>
      <c r="U297" s="131"/>
      <c r="V297" s="131"/>
    </row>
    <row r="298" spans="1:84" s="537" customFormat="1" ht="15" customHeight="1"/>
    <row r="299" spans="1:84" s="537" customFormat="1" ht="15" customHeight="1" thickBot="1">
      <c r="A299" s="132"/>
      <c r="B299" s="132"/>
      <c r="C299" s="132"/>
      <c r="D299" s="132"/>
      <c r="E299" s="132"/>
      <c r="F299" s="132"/>
      <c r="AO299" s="131"/>
      <c r="AP299" s="131"/>
      <c r="AQ299" s="131"/>
      <c r="AR299" s="131"/>
      <c r="AS299" s="131"/>
      <c r="AT299" s="131"/>
      <c r="AU299" s="131"/>
      <c r="AV299" s="131"/>
      <c r="AW299" s="131"/>
      <c r="AX299" s="131"/>
      <c r="AY299" s="131"/>
      <c r="BK299" s="131"/>
      <c r="BL299" s="131"/>
      <c r="BM299" s="131"/>
      <c r="BN299" s="131"/>
      <c r="BO299" s="131"/>
      <c r="BP299" s="131"/>
      <c r="BQ299" s="131"/>
      <c r="BR299" s="131"/>
      <c r="BS299" s="131"/>
      <c r="BT299" s="131"/>
      <c r="BU299" s="131"/>
      <c r="BV299" s="131"/>
      <c r="BW299" s="131"/>
      <c r="BX299" s="131"/>
      <c r="BY299" s="131"/>
      <c r="BZ299" s="131"/>
      <c r="CA299" s="131"/>
      <c r="CB299" s="131"/>
      <c r="CC299" s="131"/>
      <c r="CD299" s="131"/>
      <c r="CE299" s="131"/>
      <c r="CF299" s="131"/>
    </row>
    <row r="300" spans="1:84" s="537" customFormat="1" ht="19.5" customHeight="1" thickBot="1">
      <c r="A300" s="1096" t="s">
        <v>227</v>
      </c>
      <c r="B300" s="1097"/>
      <c r="C300" s="1097"/>
      <c r="D300" s="1097"/>
      <c r="E300" s="1097"/>
      <c r="F300" s="1097"/>
      <c r="G300" s="1097"/>
      <c r="H300" s="1097"/>
      <c r="I300" s="1097"/>
      <c r="J300" s="1097"/>
      <c r="K300" s="1097"/>
      <c r="L300" s="1097"/>
      <c r="M300" s="1097"/>
      <c r="N300" s="1097"/>
      <c r="O300" s="1097"/>
      <c r="P300" s="1097"/>
      <c r="Q300" s="1097"/>
      <c r="R300" s="1097"/>
    </row>
    <row r="301" spans="1:84" ht="15" customHeight="1">
      <c r="A301" s="1104" t="s">
        <v>183</v>
      </c>
      <c r="B301" s="1109"/>
      <c r="C301" s="1110"/>
      <c r="D301" s="80" t="s">
        <v>38</v>
      </c>
      <c r="E301" s="81" t="s">
        <v>39</v>
      </c>
      <c r="F301" s="82"/>
      <c r="G301" s="524" t="s">
        <v>256</v>
      </c>
      <c r="H301" s="526" t="s">
        <v>361</v>
      </c>
      <c r="I301" s="525" t="s">
        <v>257</v>
      </c>
      <c r="J301" s="1104" t="s">
        <v>245</v>
      </c>
      <c r="K301" s="1109"/>
      <c r="L301" s="1110"/>
      <c r="M301" s="80" t="s">
        <v>38</v>
      </c>
      <c r="N301" s="81" t="s">
        <v>39</v>
      </c>
      <c r="O301" s="82"/>
      <c r="P301" s="524" t="s">
        <v>256</v>
      </c>
      <c r="Q301" s="526" t="s">
        <v>361</v>
      </c>
      <c r="R301" s="525" t="s">
        <v>257</v>
      </c>
    </row>
    <row r="302" spans="1:84" ht="15" customHeight="1" thickBot="1">
      <c r="A302" s="1101"/>
      <c r="B302" s="1102"/>
      <c r="C302" s="1103"/>
      <c r="D302" s="88">
        <f>VLOOKUP($A$2,AVAILABLE_Upgrades_Dark_Troops[#All],MATCH(A301,AVAILABLE_Upgrades_Dark_Troops[#Headers],0))</f>
        <v>0</v>
      </c>
      <c r="E302" s="89">
        <f>VLOOKUP(IF(ISERROR(LOOKUP(MATCH(1,Paramètres!$K$6:$K$45,0),Paramètres!$A$6:$A$45)),0,LOOKUP(MATCH(1,Paramètres!$K$6:$K$45,0),Paramètres!$A$6:$A$45)),AVAILABLE_Upgrades_Dark_Troops[#All],MATCH(A301,AVAILABLE_Upgrades_Dark_Troops[#Headers],0)+1)</f>
        <v>0</v>
      </c>
      <c r="F302" s="205"/>
      <c r="G302" s="96">
        <f>IF(SUM(B304:B309)&gt;D302,"Error",SUM(B304:B309))</f>
        <v>0</v>
      </c>
      <c r="H302" s="97">
        <f>IF(G$302="Error","Error",D302-G302)</f>
        <v>0</v>
      </c>
      <c r="I302" s="206">
        <f>IF(G$302="Error","Error",SUM(D304:D309))</f>
        <v>0</v>
      </c>
      <c r="J302" s="1101"/>
      <c r="K302" s="1102"/>
      <c r="L302" s="1103"/>
      <c r="M302" s="88">
        <f>VLOOKUP($A$2,AVAILABLE_Upgrades_Dark_Troops[#All],MATCH(J301,AVAILABLE_Upgrades_Dark_Troops[#Headers],0))</f>
        <v>0</v>
      </c>
      <c r="N302" s="528">
        <f>VLOOKUP(IF(ISERROR(LOOKUP(MATCH(1,Paramètres!$K$6:$K$45,0),Paramètres!$A$6:$A$45)),0,LOOKUP(MATCH(1,Paramètres!$K$6:$K$45,0),Paramètres!$A$6:$A$45)),AVAILABLE_Upgrades_Dark_Troops[#All],MATCH(J301,AVAILABLE_Upgrades_Dark_Troops[#Headers],0)+1)</f>
        <v>0</v>
      </c>
      <c r="O302" s="205"/>
      <c r="P302" s="96">
        <f>IF(SUM(K304:K308)&gt;M302,"Error",SUM(K304:K308))</f>
        <v>0</v>
      </c>
      <c r="Q302" s="97">
        <f>IF(P$302="Error","Error",M302-P302)</f>
        <v>0</v>
      </c>
      <c r="R302" s="206">
        <f>IF(P$302="Error","Error",SUM(M304:M308))</f>
        <v>0</v>
      </c>
    </row>
    <row r="303" spans="1:84" ht="15" customHeight="1" thickBot="1">
      <c r="A303" s="532" t="s">
        <v>30</v>
      </c>
      <c r="B303" s="343" t="s">
        <v>29</v>
      </c>
      <c r="C303" s="593"/>
      <c r="D303" s="467" t="s">
        <v>29</v>
      </c>
      <c r="E303" s="468" t="s">
        <v>30</v>
      </c>
      <c r="F303" s="230" t="s">
        <v>258</v>
      </c>
      <c r="G303" s="230" t="s">
        <v>259</v>
      </c>
      <c r="H303" s="230" t="s">
        <v>232</v>
      </c>
      <c r="I303" s="231" t="s">
        <v>233</v>
      </c>
      <c r="J303" s="532" t="s">
        <v>30</v>
      </c>
      <c r="K303" s="343" t="s">
        <v>29</v>
      </c>
      <c r="L303" s="593"/>
      <c r="M303" s="467" t="s">
        <v>29</v>
      </c>
      <c r="N303" s="468" t="s">
        <v>30</v>
      </c>
      <c r="O303" s="230" t="s">
        <v>258</v>
      </c>
      <c r="P303" s="230" t="s">
        <v>259</v>
      </c>
      <c r="Q303" s="230" t="s">
        <v>232</v>
      </c>
      <c r="R303" s="231" t="s">
        <v>233</v>
      </c>
    </row>
    <row r="304" spans="1:84" ht="15" customHeight="1">
      <c r="A304" s="524">
        <v>1</v>
      </c>
      <c r="B304" s="995" t="str">
        <f>IF(Paramètres!AY6=0,"",Paramètres!AY6)</f>
        <v/>
      </c>
      <c r="C304" s="598">
        <f>IF(C303&lt;&gt;0,C303+IF(AND(B303&lt;&gt;"",A303&lt;E$302),B303,0),IF(AND(B303&lt;&gt;"",A303&lt;E$302),B303,0))</f>
        <v>0</v>
      </c>
      <c r="D304" s="585" t="str">
        <f t="shared" ref="D304:D310" si="123">IF(E304&lt;&gt;"/",IF(G$302="Error","Error",$H$302+C304),"/")</f>
        <v>/</v>
      </c>
      <c r="E304" s="469" t="str">
        <f>IF(G$302="Error","Error",IF(AND($E$302&lt;&gt;"/",$E$302&gt;'Paramètres - Admin'!$A2),'Paramètres - Admin'!$A3,"/"))</f>
        <v>/</v>
      </c>
      <c r="F304" s="121" t="str">
        <f>IF(E304&lt;&gt;"/",VLOOKUP(E304,COSTS_Minion[#All],2),"/")</f>
        <v>/</v>
      </c>
      <c r="G304" s="470" t="str">
        <f>IF(E304&lt;&gt;"/",VLOOKUP(E304,COSTS_Minion[#All],3),"/")</f>
        <v>/</v>
      </c>
      <c r="H304" s="121">
        <f t="shared" ref="H304:H310" si="124">IF(G$302="Error","Error",IF(F304&lt;&gt;"/",D304*F304,0))</f>
        <v>0</v>
      </c>
      <c r="I304" s="471">
        <f t="shared" ref="I304:I310" si="125">IF(G$302="Error","Error",IF(G304&lt;&gt;"/",D304*G304,0))</f>
        <v>0</v>
      </c>
      <c r="J304" s="524">
        <v>1</v>
      </c>
      <c r="K304" s="995" t="str">
        <f>IF(Paramètres!AZ6=0,"",Paramètres!AZ6)</f>
        <v/>
      </c>
      <c r="L304" s="598">
        <f>IF(L303&lt;&gt;0,L303+IF(AND(K303&lt;&gt;"",J303&lt;N$302),K303,0),IF(AND(K303&lt;&gt;"",J303&lt;N$302),K303,0))</f>
        <v>0</v>
      </c>
      <c r="M304" s="585" t="str">
        <f>IF(N304&lt;&gt;"/",IF(P$302="Error","Error",$Q$302+L304),"/")</f>
        <v>/</v>
      </c>
      <c r="N304" s="469" t="str">
        <f>IF(P$302="Error","Error",IF(AND($N$302&lt;&gt;"/",$N$302&gt;'Paramètres - Admin'!$A2),'Paramètres - Admin'!$A3,"/"))</f>
        <v>/</v>
      </c>
      <c r="O304" s="121" t="str">
        <f>IF(N304&lt;&gt;"/",VLOOKUP(N304,COSTS_Hog_Rider[#All],2),"/")</f>
        <v>/</v>
      </c>
      <c r="P304" s="470" t="str">
        <f>IF(N304&lt;&gt;"/",VLOOKUP(N304,COSTS_Hog_Rider[#All],3),"/")</f>
        <v>/</v>
      </c>
      <c r="Q304" s="121">
        <f>IF(P$302="Error","Error",IF(O304&lt;&gt;"/",M304*O304,0))</f>
        <v>0</v>
      </c>
      <c r="R304" s="471">
        <f>IF(P$302="Error","Error",IF(P304&lt;&gt;"/",M304*P304,0))</f>
        <v>0</v>
      </c>
    </row>
    <row r="305" spans="1:18" ht="15" customHeight="1">
      <c r="A305" s="996">
        <v>2</v>
      </c>
      <c r="B305" s="997" t="str">
        <f>IF(Paramètres!AY7=0,"",Paramètres!AY7)</f>
        <v/>
      </c>
      <c r="C305" s="810">
        <f t="shared" ref="C305:C309" si="126">IF(C304&lt;&gt;0,C304+IF(AND(B304&lt;&gt;"",A304&lt;E$302),B304,0),IF(AND(B304&lt;&gt;"",A304&lt;E$302),B304,0))</f>
        <v>0</v>
      </c>
      <c r="D305" s="586" t="str">
        <f t="shared" si="123"/>
        <v>/</v>
      </c>
      <c r="E305" s="108" t="str">
        <f>IF(G$302="Error","Error",IF(AND($E$302&lt;&gt;"/",$E$302&gt;'Paramètres - Admin'!$A3),'Paramètres - Admin'!$A4,"/"))</f>
        <v>/</v>
      </c>
      <c r="F305" s="124" t="str">
        <f>IF(E305&lt;&gt;"/",VLOOKUP(E305,COSTS_Minion[#All],2),"/")</f>
        <v>/</v>
      </c>
      <c r="G305" s="94" t="str">
        <f>IF(E305&lt;&gt;"/",VLOOKUP(E305,COSTS_Minion[#All],3),"/")</f>
        <v>/</v>
      </c>
      <c r="H305" s="124">
        <f t="shared" si="124"/>
        <v>0</v>
      </c>
      <c r="I305" s="534">
        <f t="shared" si="125"/>
        <v>0</v>
      </c>
      <c r="J305" s="996">
        <v>2</v>
      </c>
      <c r="K305" s="997" t="str">
        <f>IF(Paramètres!AZ7=0,"",Paramètres!AZ7)</f>
        <v/>
      </c>
      <c r="L305" s="810">
        <f>IF(L304&lt;&gt;0,L304+IF(AND(K304&lt;&gt;"",J304&lt;N$302),K304,0),IF(AND(K304&lt;&gt;"",J304&lt;N$302),K304,0))</f>
        <v>0</v>
      </c>
      <c r="M305" s="586" t="str">
        <f>IF(N305&lt;&gt;"/",IF(P$302="Error","Error",$Q$302+L305),"/")</f>
        <v>/</v>
      </c>
      <c r="N305" s="108" t="str">
        <f>IF(P$302="Error","Error",IF(AND($N$302&lt;&gt;"/",$N$302&gt;'Paramètres - Admin'!$A3),'Paramètres - Admin'!$A4,"/"))</f>
        <v>/</v>
      </c>
      <c r="O305" s="124" t="str">
        <f>IF(N305&lt;&gt;"/",VLOOKUP(N305,COSTS_Hog_Rider[#All],2),"/")</f>
        <v>/</v>
      </c>
      <c r="P305" s="94" t="str">
        <f>IF(N305&lt;&gt;"/",VLOOKUP(N305,COSTS_Hog_Rider[#All],3),"/")</f>
        <v>/</v>
      </c>
      <c r="Q305" s="124">
        <f>IF(P$302="Error","Error",IF(O305&lt;&gt;"/",M305*O305,0))</f>
        <v>0</v>
      </c>
      <c r="R305" s="534">
        <f>IF(P$302="Error","Error",IF(P305&lt;&gt;"/",M305*P305,0))</f>
        <v>0</v>
      </c>
    </row>
    <row r="306" spans="1:18" ht="15" customHeight="1">
      <c r="A306" s="996">
        <v>3</v>
      </c>
      <c r="B306" s="997" t="str">
        <f>IF(Paramètres!AY8=0,"",Paramètres!AY8)</f>
        <v/>
      </c>
      <c r="C306" s="810">
        <f t="shared" si="126"/>
        <v>0</v>
      </c>
      <c r="D306" s="586" t="str">
        <f t="shared" si="123"/>
        <v>/</v>
      </c>
      <c r="E306" s="108" t="str">
        <f>IF(G$302="Error","Error",IF(AND($E$302&lt;&gt;"/",$E$302&gt;'Paramètres - Admin'!$A4),'Paramètres - Admin'!$A5,"/"))</f>
        <v>/</v>
      </c>
      <c r="F306" s="124" t="str">
        <f>IF(E306&lt;&gt;"/",VLOOKUP(E306,COSTS_Minion[#All],2),"/")</f>
        <v>/</v>
      </c>
      <c r="G306" s="94" t="str">
        <f>IF(E306&lt;&gt;"/",VLOOKUP(E306,COSTS_Minion[#All],3),"/")</f>
        <v>/</v>
      </c>
      <c r="H306" s="124">
        <f t="shared" si="124"/>
        <v>0</v>
      </c>
      <c r="I306" s="534">
        <f t="shared" si="125"/>
        <v>0</v>
      </c>
      <c r="J306" s="996">
        <v>3</v>
      </c>
      <c r="K306" s="997" t="str">
        <f>IF(Paramètres!AZ8=0,"",Paramètres!AZ8)</f>
        <v/>
      </c>
      <c r="L306" s="810">
        <f>IF(L305&lt;&gt;0,L305+IF(AND(K305&lt;&gt;"",J305&lt;N$302),K305,0),IF(AND(K305&lt;&gt;"",J305&lt;N$302),K305,0))</f>
        <v>0</v>
      </c>
      <c r="M306" s="586" t="str">
        <f>IF(N306&lt;&gt;"/",IF(P$302="Error","Error",$Q$302+L306),"/")</f>
        <v>/</v>
      </c>
      <c r="N306" s="108" t="str">
        <f>IF(P$302="Error","Error",IF(AND($N$302&lt;&gt;"/",$N$302&gt;'Paramètres - Admin'!$A4),'Paramètres - Admin'!$A5,"/"))</f>
        <v>/</v>
      </c>
      <c r="O306" s="124" t="str">
        <f>IF(N306&lt;&gt;"/",VLOOKUP(N306,COSTS_Hog_Rider[#All],2),"/")</f>
        <v>/</v>
      </c>
      <c r="P306" s="94" t="str">
        <f>IF(N306&lt;&gt;"/",VLOOKUP(N306,COSTS_Hog_Rider[#All],3),"/")</f>
        <v>/</v>
      </c>
      <c r="Q306" s="124">
        <f>IF(P$302="Error","Error",IF(O306&lt;&gt;"/",M306*O306,0))</f>
        <v>0</v>
      </c>
      <c r="R306" s="534">
        <f>IF(P$302="Error","Error",IF(P306&lt;&gt;"/",M306*P306,0))</f>
        <v>0</v>
      </c>
    </row>
    <row r="307" spans="1:18" ht="15" customHeight="1">
      <c r="A307" s="996">
        <v>4</v>
      </c>
      <c r="B307" s="997" t="str">
        <f>IF(Paramètres!AY9=0,"",Paramètres!AY9)</f>
        <v/>
      </c>
      <c r="C307" s="810">
        <f t="shared" si="126"/>
        <v>0</v>
      </c>
      <c r="D307" s="586" t="str">
        <f t="shared" si="123"/>
        <v>/</v>
      </c>
      <c r="E307" s="108" t="str">
        <f>IF(G$302="Error","Error",IF(AND($E$302&lt;&gt;"/",$E$302&gt;'Paramètres - Admin'!$A5),'Paramètres - Admin'!$A6,"/"))</f>
        <v>/</v>
      </c>
      <c r="F307" s="124" t="str">
        <f>IF(E307&lt;&gt;"/",VLOOKUP(E307,COSTS_Minion[#All],2),"/")</f>
        <v>/</v>
      </c>
      <c r="G307" s="94" t="str">
        <f>IF(E307&lt;&gt;"/",VLOOKUP(E307,COSTS_Minion[#All],3),"/")</f>
        <v>/</v>
      </c>
      <c r="H307" s="124">
        <f t="shared" si="124"/>
        <v>0</v>
      </c>
      <c r="I307" s="534">
        <f t="shared" si="125"/>
        <v>0</v>
      </c>
      <c r="J307" s="996">
        <v>4</v>
      </c>
      <c r="K307" s="997" t="str">
        <f>IF(Paramètres!AZ9=0,"",Paramètres!AZ9)</f>
        <v/>
      </c>
      <c r="L307" s="810">
        <f>IF(L306&lt;&gt;0,L306+IF(AND(K306&lt;&gt;"",J306&lt;N$302),K306,0),IF(AND(K306&lt;&gt;"",J306&lt;N$302),K306,0))</f>
        <v>0</v>
      </c>
      <c r="M307" s="586" t="str">
        <f>IF(N307&lt;&gt;"/",IF(P$302="Error","Error",$Q$302+L307),"/")</f>
        <v>/</v>
      </c>
      <c r="N307" s="108" t="str">
        <f>IF(P$302="Error","Error",IF(AND($N$302&lt;&gt;"/",$N$302&gt;'Paramètres - Admin'!$A5),'Paramètres - Admin'!$A6,"/"))</f>
        <v>/</v>
      </c>
      <c r="O307" s="124" t="str">
        <f>IF(N307&lt;&gt;"/",VLOOKUP(N307,COSTS_Hog_Rider[#All],2),"/")</f>
        <v>/</v>
      </c>
      <c r="P307" s="94" t="str">
        <f>IF(N307&lt;&gt;"/",VLOOKUP(N307,COSTS_Hog_Rider[#All],3),"/")</f>
        <v>/</v>
      </c>
      <c r="Q307" s="124">
        <f>IF(P$302="Error","Error",IF(O307&lt;&gt;"/",M307*O307,0))</f>
        <v>0</v>
      </c>
      <c r="R307" s="534">
        <f>IF(P$302="Error","Error",IF(P307&lt;&gt;"/",M307*P307,0))</f>
        <v>0</v>
      </c>
    </row>
    <row r="308" spans="1:18" ht="15" customHeight="1" thickBot="1">
      <c r="A308" s="996">
        <v>5</v>
      </c>
      <c r="B308" s="997" t="str">
        <f>IF(Paramètres!AY10=0,"",Paramètres!AY10)</f>
        <v/>
      </c>
      <c r="C308" s="810">
        <f t="shared" si="126"/>
        <v>0</v>
      </c>
      <c r="D308" s="586" t="str">
        <f t="shared" si="123"/>
        <v>/</v>
      </c>
      <c r="E308" s="108" t="str">
        <f>IF(G$302="Error","Error",IF(AND($E$302&lt;&gt;"/",$E$302&gt;'Paramètres - Admin'!$A6),'Paramètres - Admin'!$A7,"/"))</f>
        <v>/</v>
      </c>
      <c r="F308" s="124" t="str">
        <f>IF(E308&lt;&gt;"/",VLOOKUP(E308,COSTS_Minion[#All],2),"/")</f>
        <v>/</v>
      </c>
      <c r="G308" s="94" t="str">
        <f>IF(E308&lt;&gt;"/",VLOOKUP(E308,COSTS_Minion[#All],3),"/")</f>
        <v>/</v>
      </c>
      <c r="H308" s="124">
        <f t="shared" si="124"/>
        <v>0</v>
      </c>
      <c r="I308" s="534">
        <f t="shared" si="125"/>
        <v>0</v>
      </c>
      <c r="J308" s="998">
        <v>5</v>
      </c>
      <c r="K308" s="999" t="str">
        <f>IF(Paramètres!AZ10=0,"",Paramètres!AZ10)</f>
        <v/>
      </c>
      <c r="L308" s="811">
        <f>IF(L307&lt;&gt;0,L307+IF(AND(K307&lt;&gt;"",J307&lt;N$302),K307,0),IF(AND(K307&lt;&gt;"",J307&lt;N$302),K307,0))</f>
        <v>0</v>
      </c>
      <c r="M308" s="587" t="str">
        <f>IF(N308&lt;&gt;"/",IF(P$302="Error","Error",$Q$302+L308),"/")</f>
        <v>/</v>
      </c>
      <c r="N308" s="116" t="str">
        <f>IF(P$302="Error","Error",IF(AND($N$302&lt;&gt;"/",$N$302&gt;'Paramètres - Admin'!$A6),'Paramètres - Admin'!$A7,"/"))</f>
        <v>/</v>
      </c>
      <c r="O308" s="207" t="str">
        <f>IF(N308&lt;&gt;"/",VLOOKUP(N308,COSTS_Hog_Rider[#All],2),"/")</f>
        <v>/</v>
      </c>
      <c r="P308" s="114" t="str">
        <f>IF(N308&lt;&gt;"/",VLOOKUP(N308,COSTS_Hog_Rider[#All],3),"/")</f>
        <v>/</v>
      </c>
      <c r="Q308" s="207">
        <f>IF(P$302="Error","Error",IF(O308&lt;&gt;"/",M308*O308,0))</f>
        <v>0</v>
      </c>
      <c r="R308" s="117">
        <f>IF(P$302="Error","Error",IF(P308&lt;&gt;"/",M308*P308,0))</f>
        <v>0</v>
      </c>
    </row>
    <row r="309" spans="1:18" ht="15" customHeight="1" thickBot="1">
      <c r="A309" s="996">
        <v>6</v>
      </c>
      <c r="B309" s="997" t="str">
        <f>IF(Paramètres!AY11=0,"",Paramètres!AY11)</f>
        <v/>
      </c>
      <c r="C309" s="810">
        <f t="shared" si="126"/>
        <v>0</v>
      </c>
      <c r="D309" s="586" t="str">
        <f t="shared" si="123"/>
        <v>/</v>
      </c>
      <c r="E309" s="108" t="str">
        <f>IF(G$302="Error","Error",IF(AND($E$302&lt;&gt;"/",$E$302&gt;'Paramètres - Admin'!$A7),'Paramètres - Admin'!$A8,"/"))</f>
        <v>/</v>
      </c>
      <c r="F309" s="124" t="str">
        <f>IF(E309&lt;&gt;"/",VLOOKUP(E309,COSTS_Minion[#All],2),"/")</f>
        <v>/</v>
      </c>
      <c r="G309" s="94" t="str">
        <f>IF(E309&lt;&gt;"/",VLOOKUP(E309,COSTS_Minion[#All],3),"/")</f>
        <v>/</v>
      </c>
      <c r="H309" s="124">
        <f t="shared" si="124"/>
        <v>0</v>
      </c>
      <c r="I309" s="534">
        <f t="shared" si="125"/>
        <v>0</v>
      </c>
      <c r="J309" s="961"/>
      <c r="K309" s="583"/>
      <c r="L309" s="583"/>
      <c r="M309" s="583"/>
      <c r="N309" s="583"/>
      <c r="O309" s="584"/>
      <c r="P309" s="523" t="s">
        <v>31</v>
      </c>
      <c r="Q309" s="228">
        <f>IF(P$302="Error","Error",SUM(Q304:Q308))</f>
        <v>0</v>
      </c>
      <c r="R309" s="226">
        <f>IF(P$302="Error","Error",SUM(R304:R308))</f>
        <v>0</v>
      </c>
    </row>
    <row r="310" spans="1:18" ht="15" customHeight="1" thickBot="1">
      <c r="A310" s="998">
        <v>7</v>
      </c>
      <c r="B310" s="999" t="str">
        <f>IF(Paramètres!AY12=0,"",Paramètres!AY12)</f>
        <v/>
      </c>
      <c r="C310" s="811">
        <f t="shared" ref="C310" si="127">IF(C309&lt;&gt;0,C309+IF(AND(B309&lt;&gt;"",A309&lt;E$302),B309,0),IF(AND(B309&lt;&gt;"",A309&lt;E$302),B309,0))</f>
        <v>0</v>
      </c>
      <c r="D310" s="587" t="str">
        <f t="shared" si="123"/>
        <v>/</v>
      </c>
      <c r="E310" s="116" t="str">
        <f>IF(G$302="Error","Error",IF(AND($E$302&lt;&gt;"/",$E$302&gt;'Paramètres - Admin'!$A8),'Paramètres - Admin'!$A9,"/"))</f>
        <v>/</v>
      </c>
      <c r="F310" s="207" t="str">
        <f>IF(E310&lt;&gt;"/",VLOOKUP(E310,COSTS_Minion[#All],2),"/")</f>
        <v>/</v>
      </c>
      <c r="G310" s="114" t="str">
        <f>IF(E310&lt;&gt;"/",VLOOKUP(E310,COSTS_Minion[#All],3),"/")</f>
        <v>/</v>
      </c>
      <c r="H310" s="207">
        <f t="shared" si="124"/>
        <v>0</v>
      </c>
      <c r="I310" s="117">
        <f t="shared" si="125"/>
        <v>0</v>
      </c>
      <c r="J310" s="1104" t="s">
        <v>67</v>
      </c>
      <c r="K310" s="1109"/>
      <c r="L310" s="1110"/>
      <c r="M310" s="80" t="s">
        <v>38</v>
      </c>
      <c r="N310" s="81" t="s">
        <v>39</v>
      </c>
      <c r="O310" s="82"/>
      <c r="P310" s="524" t="s">
        <v>256</v>
      </c>
      <c r="Q310" s="526" t="s">
        <v>361</v>
      </c>
      <c r="R310" s="525" t="s">
        <v>257</v>
      </c>
    </row>
    <row r="311" spans="1:18" ht="15" customHeight="1" thickBot="1">
      <c r="A311" s="961"/>
      <c r="B311" s="583"/>
      <c r="C311" s="583"/>
      <c r="D311" s="583"/>
      <c r="E311" s="583"/>
      <c r="F311" s="584"/>
      <c r="G311" s="523" t="s">
        <v>31</v>
      </c>
      <c r="H311" s="228">
        <f>IF(G$302="Error","Error",SUM(H304:H309))</f>
        <v>0</v>
      </c>
      <c r="I311" s="226">
        <f>IF(G$302="Error","Error",SUM(I304:I308))</f>
        <v>0</v>
      </c>
      <c r="J311" s="1101"/>
      <c r="K311" s="1102"/>
      <c r="L311" s="1103"/>
      <c r="M311" s="88">
        <f>VLOOKUP($A$2,AVAILABLE_Upgrades_Dark_Troops[#All],MATCH(J310,AVAILABLE_Upgrades_Dark_Troops[#Headers],0))</f>
        <v>0</v>
      </c>
      <c r="N311" s="528">
        <f>VLOOKUP(IF(ISERROR(LOOKUP(MATCH(1,Paramètres!$K$6:$K$45,0),Paramètres!$A$6:$A$45)),0,LOOKUP(MATCH(1,Paramètres!$K$6:$K$45,0),Paramètres!$A$6:$A$45)),AVAILABLE_Upgrades_Dark_Troops[#All],MATCH(J310,AVAILABLE_Upgrades_Dark_Troops[#Headers],0)+1)</f>
        <v>0</v>
      </c>
      <c r="O311" s="205"/>
      <c r="P311" s="96">
        <f>IF(SUM(K313:K317)&gt;M311,"Error",SUM(K313:K317))</f>
        <v>0</v>
      </c>
      <c r="Q311" s="97">
        <f>IF(P$311="Error","Error",M311-P311)</f>
        <v>0</v>
      </c>
      <c r="R311" s="206">
        <f>IF(P$311="Error","Error",SUM(M313:M317))</f>
        <v>0</v>
      </c>
    </row>
    <row r="312" spans="1:18" ht="15" customHeight="1" thickBot="1">
      <c r="A312" s="1104" t="s">
        <v>66</v>
      </c>
      <c r="B312" s="1109"/>
      <c r="C312" s="1110"/>
      <c r="D312" s="80" t="s">
        <v>38</v>
      </c>
      <c r="E312" s="81" t="s">
        <v>39</v>
      </c>
      <c r="F312" s="82"/>
      <c r="G312" s="524" t="s">
        <v>256</v>
      </c>
      <c r="H312" s="526" t="s">
        <v>361</v>
      </c>
      <c r="I312" s="525" t="s">
        <v>257</v>
      </c>
      <c r="J312" s="532" t="s">
        <v>30</v>
      </c>
      <c r="K312" s="343" t="s">
        <v>29</v>
      </c>
      <c r="L312" s="593"/>
      <c r="M312" s="467" t="s">
        <v>29</v>
      </c>
      <c r="N312" s="468" t="s">
        <v>30</v>
      </c>
      <c r="O312" s="230" t="s">
        <v>258</v>
      </c>
      <c r="P312" s="230" t="s">
        <v>259</v>
      </c>
      <c r="Q312" s="230" t="s">
        <v>232</v>
      </c>
      <c r="R312" s="231" t="s">
        <v>233</v>
      </c>
    </row>
    <row r="313" spans="1:18" ht="15" customHeight="1" thickBot="1">
      <c r="A313" s="1101"/>
      <c r="B313" s="1102"/>
      <c r="C313" s="1103"/>
      <c r="D313" s="88">
        <f>VLOOKUP($A$2,AVAILABLE_Upgrades_Dark_Troops[#All],MATCH(A312,AVAILABLE_Upgrades_Dark_Troops[#Headers],0))</f>
        <v>0</v>
      </c>
      <c r="E313" s="528">
        <f>VLOOKUP(IF(ISERROR(LOOKUP(MATCH(1,Paramètres!$K$6:$K$45,0),Paramètres!$A$6:$A$45)),0,LOOKUP(MATCH(1,Paramètres!$K$6:$K$45,0),Paramètres!$A$6:$A$45)),AVAILABLE_Upgrades_Dark_Troops[#All],MATCH(A312,AVAILABLE_Upgrades_Dark_Troops[#Headers],0)+1)</f>
        <v>0</v>
      </c>
      <c r="F313" s="205"/>
      <c r="G313" s="96">
        <f>IF(SUM(B315:B318)&gt;D313,"Error",SUM(B315:B318))</f>
        <v>0</v>
      </c>
      <c r="H313" s="97">
        <f>IF(G$313="Error","Error",D313-G313)</f>
        <v>0</v>
      </c>
      <c r="I313" s="206">
        <f>IF(G$313="Error","Error",SUM(D315:D318))</f>
        <v>0</v>
      </c>
      <c r="J313" s="524">
        <v>1</v>
      </c>
      <c r="K313" s="995" t="str">
        <f>IF(Paramètres!BB6=0,"",Paramètres!BB6)</f>
        <v/>
      </c>
      <c r="L313" s="598">
        <f>IF(L312&lt;&gt;0,L312+IF(AND(K312&lt;&gt;"",J312&lt;N$311),K312,0),IF(AND(K312&lt;&gt;"",J312&lt;N$311),K312,0))</f>
        <v>0</v>
      </c>
      <c r="M313" s="585" t="str">
        <f>IF(N313&lt;&gt;"/",IF(P$311="Error","Error",$Q$311+L313),"/")</f>
        <v>/</v>
      </c>
      <c r="N313" s="469" t="str">
        <f>IF(P$311="Error","Error",IF(AND($N$311&lt;&gt;"/",$N$311&gt;'Paramètres - Admin'!$A2),'Paramètres - Admin'!$A3,"/"))</f>
        <v>/</v>
      </c>
      <c r="O313" s="121" t="str">
        <f>IF(N313&lt;&gt;"/",VLOOKUP(N313,COSTS_Golem[#All],2),"/")</f>
        <v>/</v>
      </c>
      <c r="P313" s="470" t="str">
        <f>IF(N313&lt;&gt;"/",VLOOKUP(N313,COSTS_Golem[#All],3),"/")</f>
        <v>/</v>
      </c>
      <c r="Q313" s="121">
        <f>IF(P$311="Error","Error",IF(O313&lt;&gt;"/",M313*O313,0))</f>
        <v>0</v>
      </c>
      <c r="R313" s="471">
        <f>IF(P$311="Error","Error",IF(P313&lt;&gt;"/",M313*P313,0))</f>
        <v>0</v>
      </c>
    </row>
    <row r="314" spans="1:18" ht="15" customHeight="1" thickBot="1">
      <c r="A314" s="532" t="s">
        <v>30</v>
      </c>
      <c r="B314" s="343" t="s">
        <v>29</v>
      </c>
      <c r="C314" s="593"/>
      <c r="D314" s="467" t="s">
        <v>29</v>
      </c>
      <c r="E314" s="468" t="s">
        <v>30</v>
      </c>
      <c r="F314" s="230" t="s">
        <v>258</v>
      </c>
      <c r="G314" s="230" t="s">
        <v>259</v>
      </c>
      <c r="H314" s="230" t="s">
        <v>232</v>
      </c>
      <c r="I314" s="231" t="s">
        <v>233</v>
      </c>
      <c r="J314" s="996">
        <v>2</v>
      </c>
      <c r="K314" s="997" t="str">
        <f>IF(Paramètres!BB7=0,"",Paramètres!BB7)</f>
        <v/>
      </c>
      <c r="L314" s="810">
        <f>IF(L313&lt;&gt;0,L313+IF(AND(K313&lt;&gt;"",J313&lt;N$311),K313,0),IF(AND(K313&lt;&gt;"",J313&lt;N$311),K313,0))</f>
        <v>0</v>
      </c>
      <c r="M314" s="586" t="str">
        <f>IF(N314&lt;&gt;"/",IF(P$311="Error","Error",$Q$311+L314),"/")</f>
        <v>/</v>
      </c>
      <c r="N314" s="108" t="str">
        <f>IF(P$311="Error","Error",IF(AND($N$311&lt;&gt;"/",$N$311&gt;'Paramètres - Admin'!$A3),'Paramètres - Admin'!$A4,"/"))</f>
        <v>/</v>
      </c>
      <c r="O314" s="124" t="str">
        <f>IF(N314&lt;&gt;"/",VLOOKUP(N314,COSTS_Golem[#All],2),"/")</f>
        <v>/</v>
      </c>
      <c r="P314" s="94" t="str">
        <f>IF(N314&lt;&gt;"/",VLOOKUP(N314,COSTS_Golem[#All],3),"/")</f>
        <v>/</v>
      </c>
      <c r="Q314" s="124">
        <f>IF(P$311="Error","Error",IF(O314&lt;&gt;"/",M314*O314,0))</f>
        <v>0</v>
      </c>
      <c r="R314" s="534">
        <f>IF(P$311="Error","Error",IF(P314&lt;&gt;"/",M314*P314,0))</f>
        <v>0</v>
      </c>
    </row>
    <row r="315" spans="1:18" ht="15" customHeight="1">
      <c r="A315" s="524">
        <v>1</v>
      </c>
      <c r="B315" s="995" t="str">
        <f>IF(Paramètres!BA6=0,"",Paramètres!BA6)</f>
        <v/>
      </c>
      <c r="C315" s="598">
        <f>IF(C314&lt;&gt;0,C314+IF(AND(B314&lt;&gt;"",A314&lt;E$313),B314,0),IF(AND(B314&lt;&gt;"",A314&lt;E$313),B314,0))</f>
        <v>0</v>
      </c>
      <c r="D315" s="585" t="str">
        <f>IF(E315&lt;&gt;"/",IF(G$313="Error","Error",$H$313+C315),"/")</f>
        <v>/</v>
      </c>
      <c r="E315" s="469" t="str">
        <f>IF(G$313="Error","Error",IF(AND($E$313&lt;&gt;"/",$E$313&gt;'Paramètres - Admin'!$A2),'Paramètres - Admin'!$A3,"/"))</f>
        <v>/</v>
      </c>
      <c r="F315" s="121" t="str">
        <f>IF(E315&lt;&gt;"/",VLOOKUP(E315,COSTS_Valkyrie[#All],2),"/")</f>
        <v>/</v>
      </c>
      <c r="G315" s="470" t="str">
        <f>IF(E315&lt;&gt;"/",VLOOKUP(E315,COSTS_Valkyrie[#All],3),"/")</f>
        <v>/</v>
      </c>
      <c r="H315" s="121">
        <f>IF(G$313="Error","Error",IF(F315&lt;&gt;"/",D315*F315,0))</f>
        <v>0</v>
      </c>
      <c r="I315" s="471">
        <f>IF(G$313="Error","Error",IF(G315&lt;&gt;"/",D315*G315,0))</f>
        <v>0</v>
      </c>
      <c r="J315" s="996">
        <v>3</v>
      </c>
      <c r="K315" s="997" t="str">
        <f>IF(Paramètres!BB8=0,"",Paramètres!BB8)</f>
        <v/>
      </c>
      <c r="L315" s="810">
        <f>IF(L314&lt;&gt;0,L314+IF(AND(K314&lt;&gt;"",J314&lt;N$311),K314,0),IF(AND(K314&lt;&gt;"",J314&lt;N$311),K314,0))</f>
        <v>0</v>
      </c>
      <c r="M315" s="586" t="str">
        <f>IF(N315&lt;&gt;"/",IF(P$311="Error","Error",$Q$311+L315),"/")</f>
        <v>/</v>
      </c>
      <c r="N315" s="108" t="str">
        <f>IF(P$311="Error","Error",IF(AND($N$311&lt;&gt;"/",$N$311&gt;'Paramètres - Admin'!$A4),'Paramètres - Admin'!$A5,"/"))</f>
        <v>/</v>
      </c>
      <c r="O315" s="124" t="str">
        <f>IF(N315&lt;&gt;"/",VLOOKUP(N315,COSTS_Golem[#All],2),"/")</f>
        <v>/</v>
      </c>
      <c r="P315" s="94" t="str">
        <f>IF(N315&lt;&gt;"/",VLOOKUP(N315,COSTS_Golem[#All],3),"/")</f>
        <v>/</v>
      </c>
      <c r="Q315" s="124">
        <f>IF(P$311="Error","Error",IF(O315&lt;&gt;"/",M315*O315,0))</f>
        <v>0</v>
      </c>
      <c r="R315" s="534">
        <f>IF(P$311="Error","Error",IF(P315&lt;&gt;"/",M315*P315,0))</f>
        <v>0</v>
      </c>
    </row>
    <row r="316" spans="1:18" ht="15" customHeight="1">
      <c r="A316" s="996">
        <v>2</v>
      </c>
      <c r="B316" s="997" t="str">
        <f>IF(Paramètres!BA7=0,"",Paramètres!BA7)</f>
        <v/>
      </c>
      <c r="C316" s="810">
        <f>IF(C315&lt;&gt;0,C315+IF(AND(B315&lt;&gt;"",A315&lt;E$313),B315,0),IF(AND(B315&lt;&gt;"",A315&lt;E$313),B315,0))</f>
        <v>0</v>
      </c>
      <c r="D316" s="586" t="str">
        <f>IF(E316&lt;&gt;"/",IF(G$313="Error","Error",$H$313+C316),"/")</f>
        <v>/</v>
      </c>
      <c r="E316" s="108" t="str">
        <f>IF(G$313="Error","Error",IF(AND($E$313&lt;&gt;"/",$E$313&gt;'Paramètres - Admin'!$A3),'Paramètres - Admin'!$A4,"/"))</f>
        <v>/</v>
      </c>
      <c r="F316" s="124" t="str">
        <f>IF(E316&lt;&gt;"/",VLOOKUP(E316,COSTS_Valkyrie[#All],2),"/")</f>
        <v>/</v>
      </c>
      <c r="G316" s="94" t="str">
        <f>IF(E316&lt;&gt;"/",VLOOKUP(E316,COSTS_Valkyrie[#All],3),"/")</f>
        <v>/</v>
      </c>
      <c r="H316" s="124">
        <f>IF(G$313="Error","Error",IF(F316&lt;&gt;"/",D316*F316,0))</f>
        <v>0</v>
      </c>
      <c r="I316" s="534">
        <f>IF(G$313="Error","Error",IF(G316&lt;&gt;"/",D316*G316,0))</f>
        <v>0</v>
      </c>
      <c r="J316" s="996">
        <v>4</v>
      </c>
      <c r="K316" s="997" t="str">
        <f>IF(Paramètres!BB9=0,"",Paramètres!BB9)</f>
        <v/>
      </c>
      <c r="L316" s="810">
        <f>IF(L315&lt;&gt;0,L315+IF(AND(K315&lt;&gt;"",J315&lt;N$311),K315,0),IF(AND(K315&lt;&gt;"",J315&lt;N$311),K315,0))</f>
        <v>0</v>
      </c>
      <c r="M316" s="586" t="str">
        <f>IF(N316&lt;&gt;"/",IF(P$311="Error","Error",$Q$311+L316),"/")</f>
        <v>/</v>
      </c>
      <c r="N316" s="108" t="str">
        <f>IF(P$311="Error","Error",IF(AND($N$311&lt;&gt;"/",$N$311&gt;'Paramètres - Admin'!$A5),'Paramètres - Admin'!$A6,"/"))</f>
        <v>/</v>
      </c>
      <c r="O316" s="124" t="str">
        <f>IF(N316&lt;&gt;"/",VLOOKUP(N316,COSTS_Golem[#All],2),"/")</f>
        <v>/</v>
      </c>
      <c r="P316" s="94" t="str">
        <f>IF(N316&lt;&gt;"/",VLOOKUP(N316,COSTS_Golem[#All],3),"/")</f>
        <v>/</v>
      </c>
      <c r="Q316" s="124">
        <f>IF(P$311="Error","Error",IF(O316&lt;&gt;"/",M316*O316,0))</f>
        <v>0</v>
      </c>
      <c r="R316" s="534">
        <f>IF(P$311="Error","Error",IF(P316&lt;&gt;"/",M316*P316,0))</f>
        <v>0</v>
      </c>
    </row>
    <row r="317" spans="1:18" ht="15" customHeight="1" thickBot="1">
      <c r="A317" s="996">
        <v>3</v>
      </c>
      <c r="B317" s="997" t="str">
        <f>IF(Paramètres!BA8=0,"",Paramètres!BA8)</f>
        <v/>
      </c>
      <c r="C317" s="810">
        <f>IF(C316&lt;&gt;0,C316+IF(AND(B316&lt;&gt;"",A316&lt;E$313),B316,0),IF(AND(B316&lt;&gt;"",A316&lt;E$313),B316,0))</f>
        <v>0</v>
      </c>
      <c r="D317" s="586" t="str">
        <f>IF(E317&lt;&gt;"/",IF(G$313="Error","Error",$H$313+C317),"/")</f>
        <v>/</v>
      </c>
      <c r="E317" s="108" t="str">
        <f>IF(G$313="Error","Error",IF(AND($E$313&lt;&gt;"/",$E$313&gt;'Paramètres - Admin'!$A4),'Paramètres - Admin'!$A5,"/"))</f>
        <v>/</v>
      </c>
      <c r="F317" s="124" t="str">
        <f>IF(E317&lt;&gt;"/",VLOOKUP(E317,COSTS_Valkyrie[#All],2),"/")</f>
        <v>/</v>
      </c>
      <c r="G317" s="94" t="str">
        <f>IF(E317&lt;&gt;"/",VLOOKUP(E317,COSTS_Valkyrie[#All],3),"/")</f>
        <v>/</v>
      </c>
      <c r="H317" s="124">
        <f>IF(G$313="Error","Error",IF(F317&lt;&gt;"/",D317*F317,0))</f>
        <v>0</v>
      </c>
      <c r="I317" s="534">
        <f>IF(G$313="Error","Error",IF(G317&lt;&gt;"/",D317*G317,0))</f>
        <v>0</v>
      </c>
      <c r="J317" s="998">
        <v>5</v>
      </c>
      <c r="K317" s="999" t="str">
        <f>IF(Paramètres!BB10=0,"",Paramètres!BB10)</f>
        <v/>
      </c>
      <c r="L317" s="811">
        <f>IF(L316&lt;&gt;0,L316+IF(AND(K316&lt;&gt;"",J316&lt;N$311),K316,0),IF(AND(K316&lt;&gt;"",J316&lt;N$311),K316,0))</f>
        <v>0</v>
      </c>
      <c r="M317" s="587" t="str">
        <f>IF(N317&lt;&gt;"/",IF(P$311="Error","Error",$Q$311+L317),"/")</f>
        <v>/</v>
      </c>
      <c r="N317" s="116" t="str">
        <f>IF(P$311="Error","Error",IF(AND($N$311&lt;&gt;"/",$N$311&gt;'Paramètres - Admin'!$A6),'Paramètres - Admin'!$A7,"/"))</f>
        <v>/</v>
      </c>
      <c r="O317" s="207" t="str">
        <f>IF(N317&lt;&gt;"/",VLOOKUP(N317,COSTS_Golem[#All],2),"/")</f>
        <v>/</v>
      </c>
      <c r="P317" s="114" t="str">
        <f>IF(N317&lt;&gt;"/",VLOOKUP(N317,COSTS_Golem[#All],3),"/")</f>
        <v>/</v>
      </c>
      <c r="Q317" s="207">
        <f>IF(P$311="Error","Error",IF(O317&lt;&gt;"/",M317*O317,0))</f>
        <v>0</v>
      </c>
      <c r="R317" s="117">
        <f>IF(P$311="Error","Error",IF(P317&lt;&gt;"/",M317*P317,0))</f>
        <v>0</v>
      </c>
    </row>
    <row r="318" spans="1:18" ht="15" customHeight="1" thickBot="1">
      <c r="A318" s="998">
        <v>4</v>
      </c>
      <c r="B318" s="999" t="str">
        <f>IF(Paramètres!BA9=0,"",Paramètres!BA9)</f>
        <v/>
      </c>
      <c r="C318" s="811">
        <f>IF(C317&lt;&gt;0,C317+IF(AND(B317&lt;&gt;"",A317&lt;E$313),B317,0),IF(AND(B317&lt;&gt;"",A317&lt;E$313),B317,0))</f>
        <v>0</v>
      </c>
      <c r="D318" s="587" t="str">
        <f>IF(E318&lt;&gt;"/",IF(G$313="Error","Error",$H$313+C318),"/")</f>
        <v>/</v>
      </c>
      <c r="E318" s="116" t="str">
        <f>IF(G$313="Error","Error",IF(AND($E$313&lt;&gt;"/",$E$313&gt;'Paramètres - Admin'!$A5),'Paramètres - Admin'!$A6,"/"))</f>
        <v>/</v>
      </c>
      <c r="F318" s="207" t="str">
        <f>IF(E318&lt;&gt;"/",VLOOKUP(E318,COSTS_Valkyrie[#All],2),"/")</f>
        <v>/</v>
      </c>
      <c r="G318" s="114" t="str">
        <f>IF(E318&lt;&gt;"/",VLOOKUP(E318,COSTS_Valkyrie[#All],3),"/")</f>
        <v>/</v>
      </c>
      <c r="H318" s="207">
        <f>IF(G$313="Error","Error",IF(F318&lt;&gt;"/",D318*F318,0))</f>
        <v>0</v>
      </c>
      <c r="I318" s="117">
        <f>IF(G$313="Error","Error",IF(G318&lt;&gt;"/",D318*G318,0))</f>
        <v>0</v>
      </c>
      <c r="J318" s="960"/>
      <c r="K318" s="583"/>
      <c r="L318" s="583"/>
      <c r="M318" s="583"/>
      <c r="N318" s="583"/>
      <c r="O318" s="584"/>
      <c r="P318" s="523" t="s">
        <v>31</v>
      </c>
      <c r="Q318" s="228">
        <f>IF(P$311="Error","Error",SUM(Q313:Q317))</f>
        <v>0</v>
      </c>
      <c r="R318" s="226">
        <f>IF(P$311="Error","Error",SUM(R313:R317))</f>
        <v>0</v>
      </c>
    </row>
    <row r="319" spans="1:18" ht="15" customHeight="1" thickBot="1">
      <c r="A319" s="967"/>
      <c r="B319" s="968"/>
      <c r="C319" s="968"/>
      <c r="D319" s="968"/>
      <c r="E319" s="968"/>
      <c r="F319" s="969"/>
      <c r="G319" s="523" t="s">
        <v>31</v>
      </c>
      <c r="H319" s="228">
        <f>IF(G$313="Error","Error",SUM(H315:H318))</f>
        <v>0</v>
      </c>
      <c r="I319" s="226">
        <f>IF(G$313="Error","Error",SUM(I315:I318))</f>
        <v>0</v>
      </c>
      <c r="J319" s="1109" t="s">
        <v>573</v>
      </c>
      <c r="K319" s="1109"/>
      <c r="L319" s="1110"/>
      <c r="M319" s="524" t="s">
        <v>38</v>
      </c>
      <c r="N319" s="525" t="s">
        <v>39</v>
      </c>
      <c r="O319" s="82"/>
      <c r="P319" s="524" t="s">
        <v>256</v>
      </c>
      <c r="Q319" s="526" t="s">
        <v>361</v>
      </c>
      <c r="R319" s="525" t="s">
        <v>257</v>
      </c>
    </row>
    <row r="320" spans="1:18" ht="15" customHeight="1" thickBot="1">
      <c r="A320" s="1104" t="s">
        <v>536</v>
      </c>
      <c r="B320" s="1109"/>
      <c r="C320" s="1110"/>
      <c r="D320" s="80" t="s">
        <v>38</v>
      </c>
      <c r="E320" s="81" t="s">
        <v>39</v>
      </c>
      <c r="F320" s="82"/>
      <c r="G320" s="524" t="s">
        <v>256</v>
      </c>
      <c r="H320" s="526" t="s">
        <v>361</v>
      </c>
      <c r="I320" s="525" t="s">
        <v>257</v>
      </c>
      <c r="J320" s="1102"/>
      <c r="K320" s="1102"/>
      <c r="L320" s="1103"/>
      <c r="M320" s="527">
        <f>VLOOKUP($A$2,AVAILABLE_Upgrades_Dark_Troops[#All],MATCH(J319,AVAILABLE_Upgrades_Dark_Troops[#Headers],0))</f>
        <v>0</v>
      </c>
      <c r="N320" s="528">
        <f>VLOOKUP(IF(ISERROR(LOOKUP(MATCH(1,Paramètres!$K$6:$K$45,0),Paramètres!$A$6:$A$45)),0,LOOKUP(MATCH(1,Paramètres!$K$6:$K$45,0),Paramètres!$A$6:$A$45)),AVAILABLE_Upgrades_Dark_Troops[#All],MATCH(J319,AVAILABLE_Upgrades_Dark_Troops[#Headers],0)+1)</f>
        <v>0</v>
      </c>
      <c r="O320" s="205"/>
      <c r="P320" s="530">
        <f>IF(SUM(K322:K324)&gt;M320,"Error",SUM(K322:K324))</f>
        <v>0</v>
      </c>
      <c r="Q320" s="531">
        <f>IF(G$321="Error","Error",M320-P320)</f>
        <v>0</v>
      </c>
      <c r="R320" s="538">
        <f>IF(G$321="Error","Error",SUM(M322:M324))</f>
        <v>0</v>
      </c>
    </row>
    <row r="321" spans="1:84" ht="15" customHeight="1" thickBot="1">
      <c r="A321" s="1101"/>
      <c r="B321" s="1102"/>
      <c r="C321" s="1103"/>
      <c r="D321" s="88">
        <f>VLOOKUP($A$2,AVAILABLE_Upgrades_Dark_Troops[#All],MATCH(A320,AVAILABLE_Upgrades_Dark_Troops[#Headers],0))</f>
        <v>0</v>
      </c>
      <c r="E321" s="528">
        <f>VLOOKUP(IF(ISERROR(LOOKUP(MATCH(1,Paramètres!$K$6:$K$45,0),Paramètres!$A$6:$A$45)),0,LOOKUP(MATCH(1,Paramètres!$K$6:$K$45,0),Paramètres!$A$6:$A$45)),AVAILABLE_Upgrades_Dark_Troops[#All],MATCH(A320,AVAILABLE_Upgrades_Dark_Troops[#Headers],0)+1)</f>
        <v>0</v>
      </c>
      <c r="F321" s="205"/>
      <c r="G321" s="96">
        <f>IF(SUM(B323:B324)&gt;D321,"Error",SUM(B323:B324))</f>
        <v>0</v>
      </c>
      <c r="H321" s="97">
        <f>IF(G$321="Error","Error",D321-G321)</f>
        <v>0</v>
      </c>
      <c r="I321" s="206">
        <f>IF(G$321="Error","Error",SUM(D323:D324))</f>
        <v>0</v>
      </c>
      <c r="J321" s="532" t="s">
        <v>30</v>
      </c>
      <c r="K321" s="343" t="s">
        <v>29</v>
      </c>
      <c r="L321" s="593"/>
      <c r="M321" s="467" t="s">
        <v>29</v>
      </c>
      <c r="N321" s="468" t="s">
        <v>30</v>
      </c>
      <c r="O321" s="230" t="s">
        <v>258</v>
      </c>
      <c r="P321" s="230" t="s">
        <v>259</v>
      </c>
      <c r="Q321" s="230" t="s">
        <v>232</v>
      </c>
      <c r="R321" s="231" t="s">
        <v>233</v>
      </c>
      <c r="BV321" s="537"/>
      <c r="BW321" s="537"/>
      <c r="BX321" s="537"/>
      <c r="BY321" s="537"/>
      <c r="BZ321" s="537"/>
      <c r="CA321" s="537"/>
      <c r="CB321" s="537"/>
      <c r="CC321" s="537"/>
      <c r="CD321" s="537"/>
      <c r="CE321" s="537"/>
      <c r="CF321" s="537"/>
    </row>
    <row r="322" spans="1:84" ht="15" customHeight="1" thickBot="1">
      <c r="A322" s="532" t="s">
        <v>30</v>
      </c>
      <c r="B322" s="343" t="s">
        <v>29</v>
      </c>
      <c r="C322" s="593"/>
      <c r="D322" s="467" t="s">
        <v>29</v>
      </c>
      <c r="E322" s="468" t="s">
        <v>30</v>
      </c>
      <c r="F322" s="230" t="s">
        <v>258</v>
      </c>
      <c r="G322" s="230" t="s">
        <v>259</v>
      </c>
      <c r="H322" s="230" t="s">
        <v>232</v>
      </c>
      <c r="I322" s="231" t="s">
        <v>233</v>
      </c>
      <c r="J322" s="524">
        <v>1</v>
      </c>
      <c r="K322" s="995" t="str">
        <f>IF(Paramètres!BD6=0,"",Paramètres!BD6)</f>
        <v/>
      </c>
      <c r="L322" s="598">
        <f>IF(L321&lt;&gt;0,L321+IF(AND(K321&lt;&gt;"",J321&lt;N$320),K321,0),IF(AND(K321&lt;&gt;"",J321&lt;N$320),K321,0))</f>
        <v>0</v>
      </c>
      <c r="M322" s="585" t="str">
        <f>IF(N322&lt;&gt;"/",IF(G$321="Error","Error",$H$321+L322),"/")</f>
        <v>/</v>
      </c>
      <c r="N322" s="469" t="str">
        <f>IF($P$320="Error","Error",IF(AND($N$320&lt;&gt;"/",$N$320&gt;'Paramètres - Admin'!$A2),'Paramètres - Admin'!$A3,"/"))</f>
        <v>/</v>
      </c>
      <c r="O322" s="121" t="str">
        <f>IF(N322&lt;&gt;"/",VLOOKUP(N322,COSTS_Lava_Hound[#All],2),"/")</f>
        <v>/</v>
      </c>
      <c r="P322" s="470" t="str">
        <f>IF(N322&lt;&gt;"/",VLOOKUP(N322,COSTS_Lava_Hound[#All],3),"/")</f>
        <v>/</v>
      </c>
      <c r="Q322" s="121">
        <f>IF(P$320="Error","Error",IF(O322&lt;&gt;"/",M322*O322,0))</f>
        <v>0</v>
      </c>
      <c r="R322" s="471">
        <f>IF(P$320="Error","Error",IF(P322&lt;&gt;"/",M322*P322,0))</f>
        <v>0</v>
      </c>
    </row>
    <row r="323" spans="1:84" ht="15" customHeight="1">
      <c r="A323" s="524">
        <v>1</v>
      </c>
      <c r="B323" s="995" t="str">
        <f>IF(Paramètres!BC6=0,"",Paramètres!BC6)</f>
        <v/>
      </c>
      <c r="C323" s="598">
        <f>IF(C322&lt;&gt;0,C322+IF(AND(B322&lt;&gt;"",A322&lt;E$321),B322,0),IF(AND(B322&lt;&gt;"",A322&lt;E$321),B322,0))</f>
        <v>0</v>
      </c>
      <c r="D323" s="585" t="str">
        <f>IF(E323&lt;&gt;"/",IF(G$321="Error","Error",$H$321+C323),"/")</f>
        <v>/</v>
      </c>
      <c r="E323" s="469" t="str">
        <f>IF(G$321="Error","Error",IF(AND($E$321&lt;&gt;"/",$E$321&gt;'Paramètres - Admin'!$A2),'Paramètres - Admin'!$A3,"/"))</f>
        <v>/</v>
      </c>
      <c r="F323" s="121" t="str">
        <f>IF(E323&lt;&gt;"/",VLOOKUP(E323,COSTS_Witch[#All],2),"/")</f>
        <v>/</v>
      </c>
      <c r="G323" s="470" t="str">
        <f>IF(E323&lt;&gt;"/",VLOOKUP(E323,COSTS_Witch[#All],3),"/")</f>
        <v>/</v>
      </c>
      <c r="H323" s="121">
        <f>IF(G$321="Error","Error",IF(F323&lt;&gt;"/",D323*F323,0))</f>
        <v>0</v>
      </c>
      <c r="I323" s="471">
        <f>IF(G$321="Error","Error",IF(G323&lt;&gt;"/",D323*G323,0))</f>
        <v>0</v>
      </c>
      <c r="J323" s="996">
        <v>2</v>
      </c>
      <c r="K323" s="997" t="str">
        <f>IF(Paramètres!BD7=0,"",Paramètres!BD7)</f>
        <v/>
      </c>
      <c r="L323" s="810">
        <f>IF(L322&lt;&gt;0,L322+IF(AND(K322&lt;&gt;"",J322&lt;N$320),K322,0),IF(AND(K322&lt;&gt;"",J322&lt;N$320),K322,0))</f>
        <v>0</v>
      </c>
      <c r="M323" s="586" t="str">
        <f>IF(N323&lt;&gt;"/",IF(G$321="Error","Error",$H$321+L323),"/")</f>
        <v>/</v>
      </c>
      <c r="N323" s="108" t="str">
        <f>IF($P$320="Error","Error",IF(AND($N$320&lt;&gt;"/",$N$320&gt;'Paramètres - Admin'!$A3),'Paramètres - Admin'!$A4,"/"))</f>
        <v>/</v>
      </c>
      <c r="O323" s="124" t="str">
        <f>IF(N323&lt;&gt;"/",VLOOKUP(N323,COSTS_Lava_Hound[#All],2),"/")</f>
        <v>/</v>
      </c>
      <c r="P323" s="94" t="str">
        <f>IF(N323&lt;&gt;"/",VLOOKUP(N323,COSTS_Lava_Hound[#All],3),"/")</f>
        <v>/</v>
      </c>
      <c r="Q323" s="124">
        <f>IF(P$320="Error","Error",IF(O323&lt;&gt;"/",M323*O323,0))</f>
        <v>0</v>
      </c>
      <c r="R323" s="534">
        <f>IF(P$320="Error","Error",IF(P323&lt;&gt;"/",M323*P323,0))</f>
        <v>0</v>
      </c>
    </row>
    <row r="324" spans="1:84" ht="15" customHeight="1" thickBot="1">
      <c r="A324" s="996">
        <v>2</v>
      </c>
      <c r="B324" s="997" t="str">
        <f>IF(Paramètres!BC7=0,"",Paramètres!BC7)</f>
        <v/>
      </c>
      <c r="C324" s="810">
        <f>IF(C323&lt;&gt;0,C323+IF(AND(B323&lt;&gt;"",A323&lt;E$321),B323,0),IF(AND(B323&lt;&gt;"",A323&lt;E$321),B323,0))</f>
        <v>0</v>
      </c>
      <c r="D324" s="586" t="str">
        <f>IF(E324&lt;&gt;"/",IF(G$321="Error","Error",$H$321+C324),"/")</f>
        <v>/</v>
      </c>
      <c r="E324" s="108" t="str">
        <f>IF(G$321="Error","Error",IF(AND($E$321&lt;&gt;"/",$E$321&gt;'Paramètres - Admin'!$A3),'Paramètres - Admin'!$A4,"/"))</f>
        <v>/</v>
      </c>
      <c r="F324" s="124" t="str">
        <f>IF(E324&lt;&gt;"/",VLOOKUP(E324,COSTS_Witch[#All],2),"/")</f>
        <v>/</v>
      </c>
      <c r="G324" s="94" t="str">
        <f>IF(E324&lt;&gt;"/",VLOOKUP(E324,COSTS_Witch[#All],3),"/")</f>
        <v>/</v>
      </c>
      <c r="H324" s="124">
        <f>IF(G$321="Error","Error",IF(F324&lt;&gt;"/",D324*F324,0))</f>
        <v>0</v>
      </c>
      <c r="I324" s="534">
        <f>IF(G$321="Error","Error",IF(G324&lt;&gt;"/",D324*G324,0))</f>
        <v>0</v>
      </c>
      <c r="J324" s="998">
        <v>3</v>
      </c>
      <c r="K324" s="999" t="str">
        <f>IF(Paramètres!BD8=0,"",Paramètres!BD8)</f>
        <v/>
      </c>
      <c r="L324" s="811">
        <f>IF(L323&lt;&gt;0,L323+IF(AND(K323&lt;&gt;"",J323&lt;N$320),K323,0),IF(AND(K323&lt;&gt;"",J323&lt;N$320),K323,0))</f>
        <v>0</v>
      </c>
      <c r="M324" s="587" t="str">
        <f>IF(N324&lt;&gt;"/",IF(G$321="Error","Error",$H$321+L324),"/")</f>
        <v>/</v>
      </c>
      <c r="N324" s="116" t="str">
        <f>IF($P$320="Error","Error",IF(AND($N$320&lt;&gt;"/",$N$320&gt;'Paramètres - Admin'!$A4),'Paramètres - Admin'!$A5,"/"))</f>
        <v>/</v>
      </c>
      <c r="O324" s="207" t="str">
        <f>IF(N324&lt;&gt;"/",VLOOKUP(N324,COSTS_Lava_Hound[#All],2),"/")</f>
        <v>/</v>
      </c>
      <c r="P324" s="114" t="str">
        <f>IF(N324&lt;&gt;"/",VLOOKUP(N324,COSTS_Lava_Hound[#All],3),"/")</f>
        <v>/</v>
      </c>
      <c r="Q324" s="207">
        <f>IF(P$320="Error","Error",IF(O324&lt;&gt;"/",M324*O324,0))</f>
        <v>0</v>
      </c>
      <c r="R324" s="117">
        <f>IF(P$320="Error","Error",IF(P324&lt;&gt;"/",M324*P324,0))</f>
        <v>0</v>
      </c>
    </row>
    <row r="325" spans="1:84" ht="15" customHeight="1" thickBot="1">
      <c r="A325" s="998">
        <v>3</v>
      </c>
      <c r="B325" s="999" t="str">
        <f>IF(Paramètres!BC8=0,"",Paramètres!BC8)</f>
        <v/>
      </c>
      <c r="C325" s="811">
        <f>IF(C324&lt;&gt;0,C324+IF(AND(B324&lt;&gt;"",A324&lt;E$321),B324,0),IF(AND(B324&lt;&gt;"",A324&lt;E$321),B324,0))</f>
        <v>0</v>
      </c>
      <c r="D325" s="587" t="str">
        <f>IF(E325&lt;&gt;"/",IF(G$321="Error","Error",$H$321+C325),"/")</f>
        <v>/</v>
      </c>
      <c r="E325" s="116" t="str">
        <f>IF(G$321="Error","Error",IF(AND($E$321&lt;&gt;"/",$E$321&gt;'Paramètres - Admin'!$A4),'Paramètres - Admin'!$A5,"/"))</f>
        <v>/</v>
      </c>
      <c r="F325" s="207" t="str">
        <f>IF(E325&lt;&gt;"/",VLOOKUP(E325,COSTS_Witch[#All],2),"/")</f>
        <v>/</v>
      </c>
      <c r="G325" s="114" t="str">
        <f>IF(E325&lt;&gt;"/",VLOOKUP(E325,COSTS_Witch[#All],3),"/")</f>
        <v>/</v>
      </c>
      <c r="H325" s="207">
        <f>IF(G$321="Error","Error",IF(F325&lt;&gt;"/",D325*F325,0))</f>
        <v>0</v>
      </c>
      <c r="I325" s="117">
        <f>IF(G$321="Error","Error",IF(G325&lt;&gt;"/",D325*G325,0))</f>
        <v>0</v>
      </c>
      <c r="J325" s="961"/>
      <c r="K325" s="583"/>
      <c r="L325" s="583"/>
      <c r="M325" s="583"/>
      <c r="N325" s="583"/>
      <c r="O325" s="584"/>
      <c r="P325" s="523" t="s">
        <v>31</v>
      </c>
      <c r="Q325" s="228">
        <f>IF(P$320="Error","Error",SUM(Q322:Q324))</f>
        <v>0</v>
      </c>
      <c r="R325" s="546">
        <f>IF(P$320="Error","Error",SUM(R322:R324))</f>
        <v>0</v>
      </c>
      <c r="BK325" s="537"/>
      <c r="BL325" s="537"/>
      <c r="BM325" s="537"/>
      <c r="BN325" s="537"/>
      <c r="BO325" s="537"/>
      <c r="BP325" s="537"/>
      <c r="BQ325" s="537"/>
      <c r="BR325" s="537"/>
      <c r="BS325" s="537"/>
      <c r="BT325" s="537"/>
      <c r="BU325" s="537"/>
    </row>
    <row r="326" spans="1:84" ht="15" customHeight="1" thickBot="1">
      <c r="A326" s="960"/>
      <c r="B326" s="583"/>
      <c r="C326" s="583"/>
      <c r="D326" s="583"/>
      <c r="E326" s="583"/>
      <c r="F326" s="584"/>
      <c r="G326" s="523" t="s">
        <v>31</v>
      </c>
      <c r="H326" s="228">
        <f>IF(G$321="Error","Error",SUM(H323:H324))</f>
        <v>0</v>
      </c>
      <c r="I326" s="226">
        <f>IF(G$321="Error","Error",SUM(I323:I324))</f>
        <v>0</v>
      </c>
    </row>
    <row r="327" spans="1:84" ht="15" customHeight="1">
      <c r="AO327" s="537"/>
      <c r="AP327" s="537"/>
      <c r="AQ327" s="537"/>
      <c r="AR327" s="537"/>
      <c r="AS327" s="537"/>
      <c r="AT327" s="537"/>
      <c r="AU327" s="537"/>
      <c r="AV327" s="537"/>
      <c r="AW327" s="537"/>
      <c r="AX327" s="537"/>
      <c r="AY327" s="537"/>
    </row>
    <row r="328" spans="1:84" s="537" customFormat="1" ht="15" customHeight="1">
      <c r="A328" s="132"/>
      <c r="B328" s="132"/>
      <c r="C328" s="132"/>
      <c r="D328" s="132"/>
      <c r="E328" s="132"/>
      <c r="F328" s="132"/>
      <c r="AO328" s="131"/>
      <c r="AP328" s="131"/>
      <c r="AQ328" s="131"/>
      <c r="AR328" s="131"/>
      <c r="AS328" s="131"/>
      <c r="AT328" s="131"/>
      <c r="AU328" s="131"/>
      <c r="AV328" s="131"/>
      <c r="AW328" s="131"/>
      <c r="AX328" s="131"/>
      <c r="AY328" s="131"/>
      <c r="BK328" s="131"/>
      <c r="BL328" s="131"/>
      <c r="BM328" s="131"/>
      <c r="BN328" s="131"/>
      <c r="BO328" s="131"/>
      <c r="BP328" s="131"/>
      <c r="BQ328" s="131"/>
      <c r="BR328" s="131"/>
      <c r="BS328" s="131"/>
      <c r="BT328" s="131"/>
      <c r="BU328" s="131"/>
      <c r="BV328" s="131"/>
      <c r="BW328" s="131"/>
      <c r="BX328" s="131"/>
      <c r="BY328" s="131"/>
      <c r="BZ328" s="131"/>
      <c r="CA328" s="131"/>
      <c r="CB328" s="131"/>
      <c r="CC328" s="131"/>
      <c r="CD328" s="131"/>
      <c r="CE328" s="131"/>
      <c r="CF328" s="131"/>
    </row>
    <row r="329" spans="1:84" s="537" customFormat="1" ht="19.5" customHeight="1" thickBot="1">
      <c r="A329" s="1111" t="s">
        <v>178</v>
      </c>
      <c r="B329" s="1112"/>
      <c r="C329" s="1112"/>
      <c r="D329" s="1112"/>
      <c r="E329" s="1112"/>
      <c r="F329" s="1112"/>
      <c r="G329" s="1112"/>
      <c r="H329" s="1112"/>
      <c r="I329" s="1112"/>
      <c r="J329" s="1112"/>
      <c r="K329" s="1112"/>
      <c r="L329" s="1112"/>
      <c r="M329" s="1112"/>
      <c r="N329" s="1112"/>
      <c r="O329" s="1112"/>
      <c r="P329" s="1112"/>
      <c r="Q329" s="1112"/>
      <c r="R329" s="1112"/>
      <c r="S329" s="1112"/>
      <c r="T329" s="1112"/>
      <c r="U329" s="1112"/>
      <c r="V329" s="1112"/>
      <c r="W329" s="1112"/>
      <c r="X329" s="1112"/>
      <c r="Y329" s="1112"/>
      <c r="Z329" s="1112"/>
      <c r="AA329" s="1112"/>
    </row>
    <row r="330" spans="1:84" ht="15" customHeight="1">
      <c r="A330" s="1104" t="s">
        <v>196</v>
      </c>
      <c r="B330" s="1109"/>
      <c r="C330" s="1110"/>
      <c r="D330" s="80" t="s">
        <v>38</v>
      </c>
      <c r="E330" s="81" t="s">
        <v>39</v>
      </c>
      <c r="F330" s="82"/>
      <c r="G330" s="524" t="s">
        <v>256</v>
      </c>
      <c r="H330" s="526" t="s">
        <v>361</v>
      </c>
      <c r="I330" s="525" t="s">
        <v>257</v>
      </c>
      <c r="J330" s="1104" t="s">
        <v>182</v>
      </c>
      <c r="K330" s="1105"/>
      <c r="L330" s="1043"/>
      <c r="M330" s="80" t="s">
        <v>38</v>
      </c>
      <c r="N330" s="81" t="s">
        <v>39</v>
      </c>
      <c r="O330" s="82"/>
      <c r="P330" s="524" t="s">
        <v>256</v>
      </c>
      <c r="Q330" s="526" t="s">
        <v>361</v>
      </c>
      <c r="R330" s="525" t="s">
        <v>257</v>
      </c>
      <c r="S330" s="1104" t="s">
        <v>739</v>
      </c>
      <c r="T330" s="1105"/>
      <c r="U330" s="1043"/>
      <c r="V330" s="524" t="s">
        <v>38</v>
      </c>
      <c r="W330" s="525" t="s">
        <v>39</v>
      </c>
      <c r="X330" s="82"/>
      <c r="Y330" s="524" t="s">
        <v>256</v>
      </c>
      <c r="Z330" s="526" t="s">
        <v>361</v>
      </c>
      <c r="AA330" s="525" t="s">
        <v>257</v>
      </c>
    </row>
    <row r="331" spans="1:84" ht="15" customHeight="1" thickBot="1">
      <c r="A331" s="1101"/>
      <c r="B331" s="1102"/>
      <c r="C331" s="1103"/>
      <c r="D331" s="88">
        <f>VLOOKUP($A$2,AVAILABLE_Heroes[#All],MATCH(A330,AVAILABLE_Heroes[#Headers],0))</f>
        <v>0</v>
      </c>
      <c r="E331" s="89">
        <f>VLOOKUP($A$2,AVAILABLE_Heroes[#All],MATCH(A330,AVAILABLE_Heroes[#Headers],0)+1)</f>
        <v>0</v>
      </c>
      <c r="F331" s="205"/>
      <c r="G331" s="96">
        <f>IF(SUM(B333:B372)&gt;D331,"Error",SUM(B333:B372))</f>
        <v>0</v>
      </c>
      <c r="H331" s="97">
        <f>IF(G$331="Error","Error",D331-G331)</f>
        <v>0</v>
      </c>
      <c r="I331" s="206">
        <f>IF(G$331="Error","Error",SUM(D333:D372))</f>
        <v>0</v>
      </c>
      <c r="J331" s="1106"/>
      <c r="K331" s="1107"/>
      <c r="L331" s="1108"/>
      <c r="M331" s="88">
        <f>VLOOKUP($A$2,AVAILABLE_Heroes[#All],MATCH(J330,AVAILABLE_Heroes[#Headers],0))</f>
        <v>0</v>
      </c>
      <c r="N331" s="89">
        <f>VLOOKUP($A$2,AVAILABLE_Heroes[#All],MATCH(J330,AVAILABLE_Heroes[#Headers],0)+1)</f>
        <v>0</v>
      </c>
      <c r="O331" s="205"/>
      <c r="P331" s="96">
        <f>IF(SUM(K333:K372)&gt;M331,"Error",SUM(K333:K372))</f>
        <v>0</v>
      </c>
      <c r="Q331" s="97">
        <f>IF(P$331="Error","Error",M331-P331)</f>
        <v>0</v>
      </c>
      <c r="R331" s="206">
        <f>IF(P$331="Error","Error",SUM(M333:M372))</f>
        <v>0</v>
      </c>
      <c r="S331" s="1106"/>
      <c r="T331" s="1107"/>
      <c r="U331" s="1108"/>
      <c r="V331" s="527">
        <f>VLOOKUP($A$2,AVAILABLE_Heroes[#All],MATCH(S330,AVAILABLE_Heroes[#Headers],0))</f>
        <v>0</v>
      </c>
      <c r="W331" s="528">
        <f>VLOOKUP($A$2,AVAILABLE_Heroes[#All],MATCH(S330,AVAILABLE_Heroes[#Headers],0)+1)</f>
        <v>0</v>
      </c>
      <c r="X331" s="205"/>
      <c r="Y331" s="530">
        <f>IF(SUM(T333:T372)&gt;V331,"Error",SUM(T333:T372))</f>
        <v>0</v>
      </c>
      <c r="Z331" s="531">
        <f>IF(Y$331="Error","Error",V331-Y331)</f>
        <v>0</v>
      </c>
      <c r="AA331" s="538">
        <f>IF(Y$331="Error","Error",SUM(V333:V372))</f>
        <v>0</v>
      </c>
    </row>
    <row r="332" spans="1:84" ht="15" customHeight="1" thickBot="1">
      <c r="A332" s="99" t="s">
        <v>30</v>
      </c>
      <c r="B332" s="128" t="s">
        <v>29</v>
      </c>
      <c r="C332" s="101"/>
      <c r="D332" s="220" t="s">
        <v>29</v>
      </c>
      <c r="E332" s="221" t="s">
        <v>30</v>
      </c>
      <c r="F332" s="544" t="s">
        <v>258</v>
      </c>
      <c r="G332" s="544" t="s">
        <v>259</v>
      </c>
      <c r="H332" s="544" t="s">
        <v>232</v>
      </c>
      <c r="I332" s="545" t="s">
        <v>233</v>
      </c>
      <c r="J332" s="208" t="s">
        <v>30</v>
      </c>
      <c r="K332" s="128" t="s">
        <v>29</v>
      </c>
      <c r="L332" s="101"/>
      <c r="M332" s="220" t="s">
        <v>29</v>
      </c>
      <c r="N332" s="221" t="s">
        <v>30</v>
      </c>
      <c r="O332" s="544" t="s">
        <v>258</v>
      </c>
      <c r="P332" s="544" t="s">
        <v>259</v>
      </c>
      <c r="Q332" s="544" t="s">
        <v>232</v>
      </c>
      <c r="R332" s="545" t="s">
        <v>233</v>
      </c>
      <c r="S332" s="208" t="s">
        <v>30</v>
      </c>
      <c r="T332" s="535" t="s">
        <v>29</v>
      </c>
      <c r="U332" s="533"/>
      <c r="V332" s="542" t="s">
        <v>29</v>
      </c>
      <c r="W332" s="543" t="s">
        <v>30</v>
      </c>
      <c r="X332" s="544" t="s">
        <v>258</v>
      </c>
      <c r="Y332" s="544" t="s">
        <v>259</v>
      </c>
      <c r="Z332" s="544" t="s">
        <v>232</v>
      </c>
      <c r="AA332" s="545" t="s">
        <v>233</v>
      </c>
    </row>
    <row r="333" spans="1:84" ht="15" customHeight="1">
      <c r="A333" s="524">
        <v>1</v>
      </c>
      <c r="B333" s="995" t="str">
        <f>IF(Paramètres!BE6=0,"",Paramètres!BE6)</f>
        <v/>
      </c>
      <c r="C333" s="598">
        <f t="shared" ref="C333:C372" si="128">IF(C332&lt;&gt;0,C332+IF(AND(B332&lt;&gt;"",A332&lt;E$331),B332,0),IF(AND(B332&lt;&gt;"",A332&lt;E$331),B332,0))</f>
        <v>0</v>
      </c>
      <c r="D333" s="585" t="str">
        <f t="shared" ref="D333:D372" si="129">IF(E333&lt;&gt;"/",IF(G$331="Error","Error",$H$331+C333),"/")</f>
        <v>/</v>
      </c>
      <c r="E333" s="469" t="str">
        <f>IF(G$331="Error","Error",IF(AND($E$331&lt;&gt;"/",$E$331&gt;'Paramètres - Admin'!$A2),'Paramètres - Admin'!$A3,"/"))</f>
        <v>/</v>
      </c>
      <c r="F333" s="121" t="str">
        <f>IF(E333&lt;&gt;"/",VLOOKUP(E333,COSTS_Barbarian_King[#All],2),"/")</f>
        <v>/</v>
      </c>
      <c r="G333" s="470" t="str">
        <f>IF(E333&lt;&gt;"/",VLOOKUP(E333,COSTS_Barbarian_King[#All],3),"/")</f>
        <v>/</v>
      </c>
      <c r="H333" s="121">
        <f t="shared" ref="H333:H372" si="130">IF(G$331="Error","Error",IF(F333&lt;&gt;"/",D333*F333,0))</f>
        <v>0</v>
      </c>
      <c r="I333" s="471">
        <f t="shared" ref="I333:I372" si="131">IF(G$331="Error","Error",IF(G333&lt;&gt;"/",D333*G333,0))</f>
        <v>0</v>
      </c>
      <c r="J333" s="524">
        <v>1</v>
      </c>
      <c r="K333" s="995" t="str">
        <f>IF(Paramètres!BF6=0,"",Paramètres!BF6)</f>
        <v/>
      </c>
      <c r="L333" s="598">
        <f t="shared" ref="L333:L372" si="132">IF(L332&lt;&gt;0,L332+IF(AND(K332&lt;&gt;"",J332&lt;N$331),K332,0),IF(AND(K332&lt;&gt;"",J332&lt;N$331),K332,0))</f>
        <v>0</v>
      </c>
      <c r="M333" s="585" t="str">
        <f t="shared" ref="M333:M372" si="133">IF(N333&lt;&gt;"/",IF(P$331="Error","Error",$Q$331+L333),"/")</f>
        <v>/</v>
      </c>
      <c r="N333" s="469" t="str">
        <f>IF(P$331="Error","Error",IF(AND($N$331&lt;&gt;"/",$N$331&gt;'Paramètres - Admin'!$A2),'Paramètres - Admin'!$A3,"/"))</f>
        <v>/</v>
      </c>
      <c r="O333" s="121" t="str">
        <f>IF(N333&lt;&gt;"/",VLOOKUP(N333,COSTS_Archer_Queen[#All],2),"/")</f>
        <v>/</v>
      </c>
      <c r="P333" s="470" t="str">
        <f>IF(N333&lt;&gt;"/",VLOOKUP(N333,COSTS_Archer_Queen[#All],3),"/")</f>
        <v>/</v>
      </c>
      <c r="Q333" s="121">
        <f t="shared" ref="Q333:Q372" si="134">IF(P$331="Error","Error",IF(O333&lt;&gt;"/",M333*O333,0))</f>
        <v>0</v>
      </c>
      <c r="R333" s="471">
        <f t="shared" ref="R333:R372" si="135">IF(P$331="Error","Error",IF(P333&lt;&gt;"/",M333*P333,0))</f>
        <v>0</v>
      </c>
      <c r="S333" s="524">
        <v>1</v>
      </c>
      <c r="T333" s="995" t="str">
        <f>IF(Paramètres!BG6=0,"",Paramètres!BG6)</f>
        <v/>
      </c>
      <c r="U333" s="598">
        <f t="shared" ref="U333:U372" si="136">IF(U332&lt;&gt;0,U332+IF(AND(T332&lt;&gt;"",S332&lt;W$331),T332,0),IF(AND(T332&lt;&gt;"",S332&lt;W$331),T332,0))</f>
        <v>0</v>
      </c>
      <c r="V333" s="585" t="str">
        <f>IF(W333&lt;&gt;"/",IF(Y$331="Error","Error",$Z$331+U333),"/")</f>
        <v>/</v>
      </c>
      <c r="W333" s="469" t="str">
        <f>IF(Y$331="Error","Error",IF(AND($W$331&lt;&gt;"/",$W$331&gt;'Paramètres - Admin'!$A2),'Paramètres - Admin'!$A3,"/"))</f>
        <v>/</v>
      </c>
      <c r="X333" s="1008" t="str">
        <f>IF(W333&lt;&gt;"/",VLOOKUP(W333,COSTS_Grand_Warden[#All],2),"/")</f>
        <v>/</v>
      </c>
      <c r="Y333" s="470" t="str">
        <f>IF(W333&lt;&gt;"/",VLOOKUP(W333,COSTS_Grand_Warden[#All],3),"/")</f>
        <v>/</v>
      </c>
      <c r="Z333" s="1008">
        <f>IF(Y$331="Error","Error",IF(X333&lt;&gt;"/",V333*X333,0))</f>
        <v>0</v>
      </c>
      <c r="AA333" s="471">
        <f>IF(Y$331="Error","Error",IF(Y333&lt;&gt;"/",V333*Y333,0))</f>
        <v>0</v>
      </c>
    </row>
    <row r="334" spans="1:84" ht="15" customHeight="1">
      <c r="A334" s="996">
        <v>2</v>
      </c>
      <c r="B334" s="997" t="str">
        <f>IF(Paramètres!BE7=0,"",Paramètres!BE7)</f>
        <v/>
      </c>
      <c r="C334" s="810">
        <f t="shared" si="128"/>
        <v>0</v>
      </c>
      <c r="D334" s="586" t="str">
        <f t="shared" si="129"/>
        <v>/</v>
      </c>
      <c r="E334" s="108" t="str">
        <f>IF(G$331="Error","Error",IF(AND($E$331&lt;&gt;"/",$E$331&gt;'Paramètres - Admin'!$A3),'Paramètres - Admin'!$A4,"/"))</f>
        <v>/</v>
      </c>
      <c r="F334" s="124" t="str">
        <f>IF(E334&lt;&gt;"/",VLOOKUP(E334,COSTS_Barbarian_King[#All],2),"/")</f>
        <v>/</v>
      </c>
      <c r="G334" s="94" t="str">
        <f>IF(E334&lt;&gt;"/",VLOOKUP(E334,COSTS_Barbarian_King[#All],3),"/")</f>
        <v>/</v>
      </c>
      <c r="H334" s="124">
        <f t="shared" si="130"/>
        <v>0</v>
      </c>
      <c r="I334" s="534">
        <f t="shared" si="131"/>
        <v>0</v>
      </c>
      <c r="J334" s="996">
        <v>2</v>
      </c>
      <c r="K334" s="997" t="str">
        <f>IF(Paramètres!BF7=0,"",Paramètres!BF7)</f>
        <v/>
      </c>
      <c r="L334" s="810">
        <f t="shared" si="132"/>
        <v>0</v>
      </c>
      <c r="M334" s="586" t="str">
        <f t="shared" si="133"/>
        <v>/</v>
      </c>
      <c r="N334" s="108" t="str">
        <f>IF(P$331="Error","Error",IF(AND($N$331&lt;&gt;"/",$N$331&gt;'Paramètres - Admin'!$A3),'Paramètres - Admin'!$A4,"/"))</f>
        <v>/</v>
      </c>
      <c r="O334" s="124" t="str">
        <f>IF(N334&lt;&gt;"/",VLOOKUP(N334,COSTS_Archer_Queen[#All],2),"/")</f>
        <v>/</v>
      </c>
      <c r="P334" s="94" t="str">
        <f>IF(N334&lt;&gt;"/",VLOOKUP(N334,COSTS_Archer_Queen[#All],3),"/")</f>
        <v>/</v>
      </c>
      <c r="Q334" s="124">
        <f t="shared" si="134"/>
        <v>0</v>
      </c>
      <c r="R334" s="534">
        <f t="shared" si="135"/>
        <v>0</v>
      </c>
      <c r="S334" s="996">
        <v>2</v>
      </c>
      <c r="T334" s="997" t="str">
        <f>IF(Paramètres!BG7=0,"",Paramètres!BG7)</f>
        <v/>
      </c>
      <c r="U334" s="810">
        <f t="shared" si="136"/>
        <v>0</v>
      </c>
      <c r="V334" s="586" t="str">
        <f t="shared" ref="V334:V372" si="137">IF(W334&lt;&gt;"/",IF(Y$331="Error","Error",$Z$331+U334),"/")</f>
        <v>/</v>
      </c>
      <c r="W334" s="108" t="str">
        <f>IF(Y$331="Error","Error",IF(AND($W$331&lt;&gt;"/",$W$331&gt;'Paramètres - Admin'!$A3),'Paramètres - Admin'!$A4,"/"))</f>
        <v>/</v>
      </c>
      <c r="X334" s="829" t="str">
        <f>IF(W334&lt;&gt;"/",VLOOKUP(W334,COSTS_Grand_Warden[#All],2),"/")</f>
        <v>/</v>
      </c>
      <c r="Y334" s="94" t="str">
        <f>IF(W334&lt;&gt;"/",VLOOKUP(W334,COSTS_Grand_Warden[#All],3),"/")</f>
        <v>/</v>
      </c>
      <c r="Z334" s="829">
        <f t="shared" ref="Z334:Z372" si="138">IF(Y$331="Error","Error",IF(X334&lt;&gt;"/",V334*X334,0))</f>
        <v>0</v>
      </c>
      <c r="AA334" s="534">
        <f t="shared" ref="AA334:AA372" si="139">IF(Y$331="Error","Error",IF(Y334&lt;&gt;"/",V334*Y334,0))</f>
        <v>0</v>
      </c>
    </row>
    <row r="335" spans="1:84" ht="15" customHeight="1">
      <c r="A335" s="996">
        <v>3</v>
      </c>
      <c r="B335" s="997" t="str">
        <f>IF(Paramètres!BE8=0,"",Paramètres!BE8)</f>
        <v/>
      </c>
      <c r="C335" s="810">
        <f t="shared" si="128"/>
        <v>0</v>
      </c>
      <c r="D335" s="586" t="str">
        <f t="shared" si="129"/>
        <v>/</v>
      </c>
      <c r="E335" s="108" t="str">
        <f>IF(G$331="Error","Error",IF(AND($E$331&lt;&gt;"/",$E$331&gt;'Paramètres - Admin'!$A4),'Paramètres - Admin'!$A5,"/"))</f>
        <v>/</v>
      </c>
      <c r="F335" s="124" t="str">
        <f>IF(E335&lt;&gt;"/",VLOOKUP(E335,COSTS_Barbarian_King[#All],2),"/")</f>
        <v>/</v>
      </c>
      <c r="G335" s="94" t="str">
        <f>IF(E335&lt;&gt;"/",VLOOKUP(E335,COSTS_Barbarian_King[#All],3),"/")</f>
        <v>/</v>
      </c>
      <c r="H335" s="124">
        <f t="shared" si="130"/>
        <v>0</v>
      </c>
      <c r="I335" s="534">
        <f t="shared" si="131"/>
        <v>0</v>
      </c>
      <c r="J335" s="996">
        <v>3</v>
      </c>
      <c r="K335" s="997" t="str">
        <f>IF(Paramètres!BF8=0,"",Paramètres!BF8)</f>
        <v/>
      </c>
      <c r="L335" s="810">
        <f t="shared" si="132"/>
        <v>0</v>
      </c>
      <c r="M335" s="586" t="str">
        <f t="shared" si="133"/>
        <v>/</v>
      </c>
      <c r="N335" s="108" t="str">
        <f>IF(P$331="Error","Error",IF(AND($N$331&lt;&gt;"/",$N$331&gt;'Paramètres - Admin'!$A4),'Paramètres - Admin'!$A5,"/"))</f>
        <v>/</v>
      </c>
      <c r="O335" s="124" t="str">
        <f>IF(N335&lt;&gt;"/",VLOOKUP(N335,COSTS_Archer_Queen[#All],2),"/")</f>
        <v>/</v>
      </c>
      <c r="P335" s="94" t="str">
        <f>IF(N335&lt;&gt;"/",VLOOKUP(N335,COSTS_Archer_Queen[#All],3),"/")</f>
        <v>/</v>
      </c>
      <c r="Q335" s="124">
        <f t="shared" si="134"/>
        <v>0</v>
      </c>
      <c r="R335" s="534">
        <f t="shared" si="135"/>
        <v>0</v>
      </c>
      <c r="S335" s="996">
        <v>3</v>
      </c>
      <c r="T335" s="997" t="str">
        <f>IF(Paramètres!BG8=0,"",Paramètres!BG8)</f>
        <v/>
      </c>
      <c r="U335" s="810">
        <f t="shared" si="136"/>
        <v>0</v>
      </c>
      <c r="V335" s="586" t="str">
        <f t="shared" si="137"/>
        <v>/</v>
      </c>
      <c r="W335" s="108" t="str">
        <f>IF(Y$331="Error","Error",IF(AND($W$331&lt;&gt;"/",$W$331&gt;'Paramètres - Admin'!$A4),'Paramètres - Admin'!$A5,"/"))</f>
        <v>/</v>
      </c>
      <c r="X335" s="829" t="str">
        <f>IF(W335&lt;&gt;"/",VLOOKUP(W335,COSTS_Grand_Warden[#All],2),"/")</f>
        <v>/</v>
      </c>
      <c r="Y335" s="94" t="str">
        <f>IF(W335&lt;&gt;"/",VLOOKUP(W335,COSTS_Grand_Warden[#All],3),"/")</f>
        <v>/</v>
      </c>
      <c r="Z335" s="829">
        <f t="shared" si="138"/>
        <v>0</v>
      </c>
      <c r="AA335" s="534">
        <f t="shared" si="139"/>
        <v>0</v>
      </c>
    </row>
    <row r="336" spans="1:84" ht="15" customHeight="1">
      <c r="A336" s="996">
        <v>4</v>
      </c>
      <c r="B336" s="997" t="str">
        <f>IF(Paramètres!BE9=0,"",Paramètres!BE9)</f>
        <v/>
      </c>
      <c r="C336" s="810">
        <f t="shared" si="128"/>
        <v>0</v>
      </c>
      <c r="D336" s="586" t="str">
        <f t="shared" si="129"/>
        <v>/</v>
      </c>
      <c r="E336" s="108" t="str">
        <f>IF(G$331="Error","Error",IF(AND($E$331&lt;&gt;"/",$E$331&gt;'Paramètres - Admin'!$A5),'Paramètres - Admin'!$A6,"/"))</f>
        <v>/</v>
      </c>
      <c r="F336" s="124" t="str">
        <f>IF(E336&lt;&gt;"/",VLOOKUP(E336,COSTS_Barbarian_King[#All],2),"/")</f>
        <v>/</v>
      </c>
      <c r="G336" s="94" t="str">
        <f>IF(E336&lt;&gt;"/",VLOOKUP(E336,COSTS_Barbarian_King[#All],3),"/")</f>
        <v>/</v>
      </c>
      <c r="H336" s="124">
        <f t="shared" si="130"/>
        <v>0</v>
      </c>
      <c r="I336" s="534">
        <f t="shared" si="131"/>
        <v>0</v>
      </c>
      <c r="J336" s="996">
        <v>4</v>
      </c>
      <c r="K336" s="997" t="str">
        <f>IF(Paramètres!BF9=0,"",Paramètres!BF9)</f>
        <v/>
      </c>
      <c r="L336" s="810">
        <f t="shared" si="132"/>
        <v>0</v>
      </c>
      <c r="M336" s="586" t="str">
        <f t="shared" si="133"/>
        <v>/</v>
      </c>
      <c r="N336" s="108" t="str">
        <f>IF(P$331="Error","Error",IF(AND($N$331&lt;&gt;"/",$N$331&gt;'Paramètres - Admin'!$A5),'Paramètres - Admin'!$A6,"/"))</f>
        <v>/</v>
      </c>
      <c r="O336" s="124" t="str">
        <f>IF(N336&lt;&gt;"/",VLOOKUP(N336,COSTS_Archer_Queen[#All],2),"/")</f>
        <v>/</v>
      </c>
      <c r="P336" s="94" t="str">
        <f>IF(N336&lt;&gt;"/",VLOOKUP(N336,COSTS_Archer_Queen[#All],3),"/")</f>
        <v>/</v>
      </c>
      <c r="Q336" s="124">
        <f t="shared" si="134"/>
        <v>0</v>
      </c>
      <c r="R336" s="534">
        <f t="shared" si="135"/>
        <v>0</v>
      </c>
      <c r="S336" s="996">
        <v>4</v>
      </c>
      <c r="T336" s="997" t="str">
        <f>IF(Paramètres!BG9=0,"",Paramètres!BG9)</f>
        <v/>
      </c>
      <c r="U336" s="810">
        <f t="shared" si="136"/>
        <v>0</v>
      </c>
      <c r="V336" s="586" t="str">
        <f t="shared" si="137"/>
        <v>/</v>
      </c>
      <c r="W336" s="108" t="str">
        <f>IF(Y$331="Error","Error",IF(AND($W$331&lt;&gt;"/",$W$331&gt;'Paramètres - Admin'!$A5),'Paramètres - Admin'!$A6,"/"))</f>
        <v>/</v>
      </c>
      <c r="X336" s="829" t="str">
        <f>IF(W336&lt;&gt;"/",VLOOKUP(W336,COSTS_Grand_Warden[#All],2),"/")</f>
        <v>/</v>
      </c>
      <c r="Y336" s="94" t="str">
        <f>IF(W336&lt;&gt;"/",VLOOKUP(W336,COSTS_Grand_Warden[#All],3),"/")</f>
        <v>/</v>
      </c>
      <c r="Z336" s="829">
        <f t="shared" si="138"/>
        <v>0</v>
      </c>
      <c r="AA336" s="534">
        <f t="shared" si="139"/>
        <v>0</v>
      </c>
    </row>
    <row r="337" spans="1:27" ht="15" customHeight="1">
      <c r="A337" s="996">
        <v>5</v>
      </c>
      <c r="B337" s="997" t="str">
        <f>IF(Paramètres!BE10=0,"",Paramètres!BE10)</f>
        <v/>
      </c>
      <c r="C337" s="810">
        <f t="shared" si="128"/>
        <v>0</v>
      </c>
      <c r="D337" s="586" t="str">
        <f t="shared" si="129"/>
        <v>/</v>
      </c>
      <c r="E337" s="108" t="str">
        <f>IF(G$331="Error","Error",IF(AND($E$331&lt;&gt;"/",$E$331&gt;'Paramètres - Admin'!$A6),'Paramètres - Admin'!$A7,"/"))</f>
        <v>/</v>
      </c>
      <c r="F337" s="124" t="str">
        <f>IF(E337&lt;&gt;"/",VLOOKUP(E337,COSTS_Barbarian_King[#All],2),"/")</f>
        <v>/</v>
      </c>
      <c r="G337" s="94" t="str">
        <f>IF(E337&lt;&gt;"/",VLOOKUP(E337,COSTS_Barbarian_King[#All],3),"/")</f>
        <v>/</v>
      </c>
      <c r="H337" s="124">
        <f t="shared" si="130"/>
        <v>0</v>
      </c>
      <c r="I337" s="534">
        <f t="shared" si="131"/>
        <v>0</v>
      </c>
      <c r="J337" s="996">
        <v>5</v>
      </c>
      <c r="K337" s="997" t="str">
        <f>IF(Paramètres!BF10=0,"",Paramètres!BF10)</f>
        <v/>
      </c>
      <c r="L337" s="810">
        <f t="shared" si="132"/>
        <v>0</v>
      </c>
      <c r="M337" s="586" t="str">
        <f t="shared" si="133"/>
        <v>/</v>
      </c>
      <c r="N337" s="108" t="str">
        <f>IF(P$331="Error","Error",IF(AND($N$331&lt;&gt;"/",$N$331&gt;'Paramètres - Admin'!$A6),'Paramètres - Admin'!$A7,"/"))</f>
        <v>/</v>
      </c>
      <c r="O337" s="124" t="str">
        <f>IF(N337&lt;&gt;"/",VLOOKUP(N337,COSTS_Archer_Queen[#All],2),"/")</f>
        <v>/</v>
      </c>
      <c r="P337" s="94" t="str">
        <f>IF(N337&lt;&gt;"/",VLOOKUP(N337,COSTS_Archer_Queen[#All],3),"/")</f>
        <v>/</v>
      </c>
      <c r="Q337" s="124">
        <f t="shared" si="134"/>
        <v>0</v>
      </c>
      <c r="R337" s="534">
        <f t="shared" si="135"/>
        <v>0</v>
      </c>
      <c r="S337" s="996">
        <v>5</v>
      </c>
      <c r="T337" s="997" t="str">
        <f>IF(Paramètres!BG10=0,"",Paramètres!BG10)</f>
        <v/>
      </c>
      <c r="U337" s="810">
        <f t="shared" si="136"/>
        <v>0</v>
      </c>
      <c r="V337" s="586" t="str">
        <f t="shared" si="137"/>
        <v>/</v>
      </c>
      <c r="W337" s="108" t="str">
        <f>IF(Y$331="Error","Error",IF(AND($W$331&lt;&gt;"/",$W$331&gt;'Paramètres - Admin'!$A6),'Paramètres - Admin'!$A7,"/"))</f>
        <v>/</v>
      </c>
      <c r="X337" s="829" t="str">
        <f>IF(W337&lt;&gt;"/",VLOOKUP(W337,COSTS_Grand_Warden[#All],2),"/")</f>
        <v>/</v>
      </c>
      <c r="Y337" s="94" t="str">
        <f>IF(W337&lt;&gt;"/",VLOOKUP(W337,COSTS_Grand_Warden[#All],3),"/")</f>
        <v>/</v>
      </c>
      <c r="Z337" s="829">
        <f t="shared" si="138"/>
        <v>0</v>
      </c>
      <c r="AA337" s="534">
        <f t="shared" si="139"/>
        <v>0</v>
      </c>
    </row>
    <row r="338" spans="1:27" ht="15" customHeight="1">
      <c r="A338" s="996">
        <v>6</v>
      </c>
      <c r="B338" s="997" t="str">
        <f>IF(Paramètres!BE11=0,"",Paramètres!BE11)</f>
        <v/>
      </c>
      <c r="C338" s="810">
        <f t="shared" si="128"/>
        <v>0</v>
      </c>
      <c r="D338" s="586" t="str">
        <f t="shared" si="129"/>
        <v>/</v>
      </c>
      <c r="E338" s="108" t="str">
        <f>IF(G$331="Error","Error",IF(AND($E$331&lt;&gt;"/",$E$331&gt;'Paramètres - Admin'!$A7),'Paramètres - Admin'!$A8,"/"))</f>
        <v>/</v>
      </c>
      <c r="F338" s="124" t="str">
        <f>IF(E338&lt;&gt;"/",VLOOKUP(E338,COSTS_Barbarian_King[#All],2),"/")</f>
        <v>/</v>
      </c>
      <c r="G338" s="94" t="str">
        <f>IF(E338&lt;&gt;"/",VLOOKUP(E338,COSTS_Barbarian_King[#All],3),"/")</f>
        <v>/</v>
      </c>
      <c r="H338" s="124">
        <f t="shared" si="130"/>
        <v>0</v>
      </c>
      <c r="I338" s="534">
        <f t="shared" si="131"/>
        <v>0</v>
      </c>
      <c r="J338" s="996">
        <v>6</v>
      </c>
      <c r="K338" s="997" t="str">
        <f>IF(Paramètres!BF11=0,"",Paramètres!BF11)</f>
        <v/>
      </c>
      <c r="L338" s="810">
        <f t="shared" si="132"/>
        <v>0</v>
      </c>
      <c r="M338" s="586" t="str">
        <f t="shared" si="133"/>
        <v>/</v>
      </c>
      <c r="N338" s="108" t="str">
        <f>IF(P$331="Error","Error",IF(AND($N$331&lt;&gt;"/",$N$331&gt;'Paramètres - Admin'!$A7),'Paramètres - Admin'!$A8,"/"))</f>
        <v>/</v>
      </c>
      <c r="O338" s="124" t="str">
        <f>IF(N338&lt;&gt;"/",VLOOKUP(N338,COSTS_Archer_Queen[#All],2),"/")</f>
        <v>/</v>
      </c>
      <c r="P338" s="94" t="str">
        <f>IF(N338&lt;&gt;"/",VLOOKUP(N338,COSTS_Archer_Queen[#All],3),"/")</f>
        <v>/</v>
      </c>
      <c r="Q338" s="124">
        <f t="shared" si="134"/>
        <v>0</v>
      </c>
      <c r="R338" s="534">
        <f t="shared" si="135"/>
        <v>0</v>
      </c>
      <c r="S338" s="996">
        <v>6</v>
      </c>
      <c r="T338" s="997" t="str">
        <f>IF(Paramètres!BG11=0,"",Paramètres!BG11)</f>
        <v/>
      </c>
      <c r="U338" s="810">
        <f t="shared" si="136"/>
        <v>0</v>
      </c>
      <c r="V338" s="586" t="str">
        <f t="shared" si="137"/>
        <v>/</v>
      </c>
      <c r="W338" s="108" t="str">
        <f>IF(Y$331="Error","Error",IF(AND($W$331&lt;&gt;"/",$W$331&gt;'Paramètres - Admin'!$A7),'Paramètres - Admin'!$A8,"/"))</f>
        <v>/</v>
      </c>
      <c r="X338" s="829" t="str">
        <f>IF(W338&lt;&gt;"/",VLOOKUP(W338,COSTS_Grand_Warden[#All],2),"/")</f>
        <v>/</v>
      </c>
      <c r="Y338" s="94" t="str">
        <f>IF(W338&lt;&gt;"/",VLOOKUP(W338,COSTS_Grand_Warden[#All],3),"/")</f>
        <v>/</v>
      </c>
      <c r="Z338" s="829">
        <f t="shared" si="138"/>
        <v>0</v>
      </c>
      <c r="AA338" s="534">
        <f t="shared" si="139"/>
        <v>0</v>
      </c>
    </row>
    <row r="339" spans="1:27" ht="15" customHeight="1">
      <c r="A339" s="996">
        <v>7</v>
      </c>
      <c r="B339" s="997" t="str">
        <f>IF(Paramètres!BE12=0,"",Paramètres!BE12)</f>
        <v/>
      </c>
      <c r="C339" s="810">
        <f t="shared" si="128"/>
        <v>0</v>
      </c>
      <c r="D339" s="586" t="str">
        <f t="shared" si="129"/>
        <v>/</v>
      </c>
      <c r="E339" s="108" t="str">
        <f>IF(G$331="Error","Error",IF(AND($E$331&lt;&gt;"/",$E$331&gt;'Paramètres - Admin'!$A8),'Paramètres - Admin'!$A9,"/"))</f>
        <v>/</v>
      </c>
      <c r="F339" s="124" t="str">
        <f>IF(E339&lt;&gt;"/",VLOOKUP(E339,COSTS_Barbarian_King[#All],2),"/")</f>
        <v>/</v>
      </c>
      <c r="G339" s="94" t="str">
        <f>IF(E339&lt;&gt;"/",VLOOKUP(E339,COSTS_Barbarian_King[#All],3),"/")</f>
        <v>/</v>
      </c>
      <c r="H339" s="124">
        <f t="shared" si="130"/>
        <v>0</v>
      </c>
      <c r="I339" s="534">
        <f t="shared" si="131"/>
        <v>0</v>
      </c>
      <c r="J339" s="996">
        <v>7</v>
      </c>
      <c r="K339" s="997" t="str">
        <f>IF(Paramètres!BF12=0,"",Paramètres!BF12)</f>
        <v/>
      </c>
      <c r="L339" s="810">
        <f t="shared" si="132"/>
        <v>0</v>
      </c>
      <c r="M339" s="586" t="str">
        <f t="shared" si="133"/>
        <v>/</v>
      </c>
      <c r="N339" s="108" t="str">
        <f>IF(P$331="Error","Error",IF(AND($N$331&lt;&gt;"/",$N$331&gt;'Paramètres - Admin'!$A8),'Paramètres - Admin'!$A9,"/"))</f>
        <v>/</v>
      </c>
      <c r="O339" s="124" t="str">
        <f>IF(N339&lt;&gt;"/",VLOOKUP(N339,COSTS_Archer_Queen[#All],2),"/")</f>
        <v>/</v>
      </c>
      <c r="P339" s="94" t="str">
        <f>IF(N339&lt;&gt;"/",VLOOKUP(N339,COSTS_Archer_Queen[#All],3),"/")</f>
        <v>/</v>
      </c>
      <c r="Q339" s="124">
        <f t="shared" si="134"/>
        <v>0</v>
      </c>
      <c r="R339" s="534">
        <f t="shared" si="135"/>
        <v>0</v>
      </c>
      <c r="S339" s="996">
        <v>7</v>
      </c>
      <c r="T339" s="997" t="str">
        <f>IF(Paramètres!BG12=0,"",Paramètres!BG12)</f>
        <v/>
      </c>
      <c r="U339" s="810">
        <f t="shared" si="136"/>
        <v>0</v>
      </c>
      <c r="V339" s="586" t="str">
        <f t="shared" si="137"/>
        <v>/</v>
      </c>
      <c r="W339" s="108" t="str">
        <f>IF(Y$331="Error","Error",IF(AND($W$331&lt;&gt;"/",$W$331&gt;'Paramètres - Admin'!$A8),'Paramètres - Admin'!$A9,"/"))</f>
        <v>/</v>
      </c>
      <c r="X339" s="829" t="str">
        <f>IF(W339&lt;&gt;"/",VLOOKUP(W339,COSTS_Grand_Warden[#All],2),"/")</f>
        <v>/</v>
      </c>
      <c r="Y339" s="94" t="str">
        <f>IF(W339&lt;&gt;"/",VLOOKUP(W339,COSTS_Grand_Warden[#All],3),"/")</f>
        <v>/</v>
      </c>
      <c r="Z339" s="829">
        <f t="shared" si="138"/>
        <v>0</v>
      </c>
      <c r="AA339" s="534">
        <f t="shared" si="139"/>
        <v>0</v>
      </c>
    </row>
    <row r="340" spans="1:27" ht="15" customHeight="1">
      <c r="A340" s="996">
        <v>8</v>
      </c>
      <c r="B340" s="997" t="str">
        <f>IF(Paramètres!BE13=0,"",Paramètres!BE13)</f>
        <v/>
      </c>
      <c r="C340" s="810">
        <f t="shared" si="128"/>
        <v>0</v>
      </c>
      <c r="D340" s="586" t="str">
        <f t="shared" si="129"/>
        <v>/</v>
      </c>
      <c r="E340" s="108" t="str">
        <f>IF(G$331="Error","Error",IF(AND($E$331&lt;&gt;"/",$E$331&gt;'Paramètres - Admin'!$A9),'Paramètres - Admin'!$A10,"/"))</f>
        <v>/</v>
      </c>
      <c r="F340" s="124" t="str">
        <f>IF(E340&lt;&gt;"/",VLOOKUP(E340,COSTS_Barbarian_King[#All],2),"/")</f>
        <v>/</v>
      </c>
      <c r="G340" s="94" t="str">
        <f>IF(E340&lt;&gt;"/",VLOOKUP(E340,COSTS_Barbarian_King[#All],3),"/")</f>
        <v>/</v>
      </c>
      <c r="H340" s="124">
        <f t="shared" si="130"/>
        <v>0</v>
      </c>
      <c r="I340" s="534">
        <f t="shared" si="131"/>
        <v>0</v>
      </c>
      <c r="J340" s="996">
        <v>8</v>
      </c>
      <c r="K340" s="997" t="str">
        <f>IF(Paramètres!BF13=0,"",Paramètres!BF13)</f>
        <v/>
      </c>
      <c r="L340" s="810">
        <f t="shared" si="132"/>
        <v>0</v>
      </c>
      <c r="M340" s="586" t="str">
        <f t="shared" si="133"/>
        <v>/</v>
      </c>
      <c r="N340" s="108" t="str">
        <f>IF(P$331="Error","Error",IF(AND($N$331&lt;&gt;"/",$N$331&gt;'Paramètres - Admin'!$A9),'Paramètres - Admin'!$A10,"/"))</f>
        <v>/</v>
      </c>
      <c r="O340" s="124" t="str">
        <f>IF(N340&lt;&gt;"/",VLOOKUP(N340,COSTS_Archer_Queen[#All],2),"/")</f>
        <v>/</v>
      </c>
      <c r="P340" s="94" t="str">
        <f>IF(N340&lt;&gt;"/",VLOOKUP(N340,COSTS_Archer_Queen[#All],3),"/")</f>
        <v>/</v>
      </c>
      <c r="Q340" s="124">
        <f t="shared" si="134"/>
        <v>0</v>
      </c>
      <c r="R340" s="534">
        <f t="shared" si="135"/>
        <v>0</v>
      </c>
      <c r="S340" s="996">
        <v>8</v>
      </c>
      <c r="T340" s="997" t="str">
        <f>IF(Paramètres!BG13=0,"",Paramètres!BG13)</f>
        <v/>
      </c>
      <c r="U340" s="810">
        <f t="shared" si="136"/>
        <v>0</v>
      </c>
      <c r="V340" s="586" t="str">
        <f t="shared" si="137"/>
        <v>/</v>
      </c>
      <c r="W340" s="108" t="str">
        <f>IF(Y$331="Error","Error",IF(AND($W$331&lt;&gt;"/",$W$331&gt;'Paramètres - Admin'!$A9),'Paramètres - Admin'!$A10,"/"))</f>
        <v>/</v>
      </c>
      <c r="X340" s="829" t="str">
        <f>IF(W340&lt;&gt;"/",VLOOKUP(W340,COSTS_Grand_Warden[#All],2),"/")</f>
        <v>/</v>
      </c>
      <c r="Y340" s="94" t="str">
        <f>IF(W340&lt;&gt;"/",VLOOKUP(W340,COSTS_Grand_Warden[#All],3),"/")</f>
        <v>/</v>
      </c>
      <c r="Z340" s="829">
        <f t="shared" si="138"/>
        <v>0</v>
      </c>
      <c r="AA340" s="534">
        <f t="shared" si="139"/>
        <v>0</v>
      </c>
    </row>
    <row r="341" spans="1:27" ht="15" customHeight="1">
      <c r="A341" s="996">
        <v>9</v>
      </c>
      <c r="B341" s="997" t="str">
        <f>IF(Paramètres!BE14=0,"",Paramètres!BE14)</f>
        <v/>
      </c>
      <c r="C341" s="810">
        <f t="shared" si="128"/>
        <v>0</v>
      </c>
      <c r="D341" s="586" t="str">
        <f t="shared" si="129"/>
        <v>/</v>
      </c>
      <c r="E341" s="108" t="str">
        <f>IF(G$331="Error","Error",IF(AND($E$331&lt;&gt;"/",$E$331&gt;'Paramètres - Admin'!$A10),'Paramètres - Admin'!$A11,"/"))</f>
        <v>/</v>
      </c>
      <c r="F341" s="124" t="str">
        <f>IF(E341&lt;&gt;"/",VLOOKUP(E341,COSTS_Barbarian_King[#All],2),"/")</f>
        <v>/</v>
      </c>
      <c r="G341" s="94" t="str">
        <f>IF(E341&lt;&gt;"/",VLOOKUP(E341,COSTS_Barbarian_King[#All],3),"/")</f>
        <v>/</v>
      </c>
      <c r="H341" s="124">
        <f t="shared" si="130"/>
        <v>0</v>
      </c>
      <c r="I341" s="534">
        <f t="shared" si="131"/>
        <v>0</v>
      </c>
      <c r="J341" s="996">
        <v>9</v>
      </c>
      <c r="K341" s="997" t="str">
        <f>IF(Paramètres!BF14=0,"",Paramètres!BF14)</f>
        <v/>
      </c>
      <c r="L341" s="810">
        <f t="shared" si="132"/>
        <v>0</v>
      </c>
      <c r="M341" s="586" t="str">
        <f t="shared" si="133"/>
        <v>/</v>
      </c>
      <c r="N341" s="108" t="str">
        <f>IF(P$331="Error","Error",IF(AND($N$331&lt;&gt;"/",$N$331&gt;'Paramètres - Admin'!$A10),'Paramètres - Admin'!$A11,"/"))</f>
        <v>/</v>
      </c>
      <c r="O341" s="124" t="str">
        <f>IF(N341&lt;&gt;"/",VLOOKUP(N341,COSTS_Archer_Queen[#All],2),"/")</f>
        <v>/</v>
      </c>
      <c r="P341" s="94" t="str">
        <f>IF(N341&lt;&gt;"/",VLOOKUP(N341,COSTS_Archer_Queen[#All],3),"/")</f>
        <v>/</v>
      </c>
      <c r="Q341" s="124">
        <f t="shared" si="134"/>
        <v>0</v>
      </c>
      <c r="R341" s="534">
        <f t="shared" si="135"/>
        <v>0</v>
      </c>
      <c r="S341" s="996">
        <v>9</v>
      </c>
      <c r="T341" s="997" t="str">
        <f>IF(Paramètres!BG14=0,"",Paramètres!BG14)</f>
        <v/>
      </c>
      <c r="U341" s="810">
        <f t="shared" si="136"/>
        <v>0</v>
      </c>
      <c r="V341" s="586" t="str">
        <f t="shared" si="137"/>
        <v>/</v>
      </c>
      <c r="W341" s="108" t="str">
        <f>IF(Y$331="Error","Error",IF(AND($W$331&lt;&gt;"/",$W$331&gt;'Paramètres - Admin'!$A10),'Paramètres - Admin'!$A11,"/"))</f>
        <v>/</v>
      </c>
      <c r="X341" s="829" t="str">
        <f>IF(W341&lt;&gt;"/",VLOOKUP(W341,COSTS_Grand_Warden[#All],2),"/")</f>
        <v>/</v>
      </c>
      <c r="Y341" s="94" t="str">
        <f>IF(W341&lt;&gt;"/",VLOOKUP(W341,COSTS_Grand_Warden[#All],3),"/")</f>
        <v>/</v>
      </c>
      <c r="Z341" s="829">
        <f t="shared" si="138"/>
        <v>0</v>
      </c>
      <c r="AA341" s="534">
        <f t="shared" si="139"/>
        <v>0</v>
      </c>
    </row>
    <row r="342" spans="1:27" ht="15" customHeight="1">
      <c r="A342" s="996">
        <v>10</v>
      </c>
      <c r="B342" s="997" t="str">
        <f>IF(Paramètres!BE15=0,"",Paramètres!BE15)</f>
        <v/>
      </c>
      <c r="C342" s="810">
        <f t="shared" si="128"/>
        <v>0</v>
      </c>
      <c r="D342" s="586" t="str">
        <f t="shared" si="129"/>
        <v>/</v>
      </c>
      <c r="E342" s="108" t="str">
        <f>IF(G$331="Error","Error",IF(AND($E$331&lt;&gt;"/",$E$331&gt;'Paramètres - Admin'!$A11),'Paramètres - Admin'!$A12,"/"))</f>
        <v>/</v>
      </c>
      <c r="F342" s="124" t="str">
        <f>IF(E342&lt;&gt;"/",VLOOKUP(E342,COSTS_Barbarian_King[#All],2),"/")</f>
        <v>/</v>
      </c>
      <c r="G342" s="94" t="str">
        <f>IF(E342&lt;&gt;"/",VLOOKUP(E342,COSTS_Barbarian_King[#All],3),"/")</f>
        <v>/</v>
      </c>
      <c r="H342" s="124">
        <f t="shared" si="130"/>
        <v>0</v>
      </c>
      <c r="I342" s="534">
        <f t="shared" si="131"/>
        <v>0</v>
      </c>
      <c r="J342" s="996">
        <v>10</v>
      </c>
      <c r="K342" s="997" t="str">
        <f>IF(Paramètres!BF15=0,"",Paramètres!BF15)</f>
        <v/>
      </c>
      <c r="L342" s="810">
        <f t="shared" si="132"/>
        <v>0</v>
      </c>
      <c r="M342" s="586" t="str">
        <f t="shared" si="133"/>
        <v>/</v>
      </c>
      <c r="N342" s="108" t="str">
        <f>IF(P$331="Error","Error",IF(AND($N$331&lt;&gt;"/",$N$331&gt;'Paramètres - Admin'!$A11),'Paramètres - Admin'!$A12,"/"))</f>
        <v>/</v>
      </c>
      <c r="O342" s="124" t="str">
        <f>IF(N342&lt;&gt;"/",VLOOKUP(N342,COSTS_Archer_Queen[#All],2),"/")</f>
        <v>/</v>
      </c>
      <c r="P342" s="94" t="str">
        <f>IF(N342&lt;&gt;"/",VLOOKUP(N342,COSTS_Archer_Queen[#All],3),"/")</f>
        <v>/</v>
      </c>
      <c r="Q342" s="124">
        <f t="shared" si="134"/>
        <v>0</v>
      </c>
      <c r="R342" s="534">
        <f t="shared" si="135"/>
        <v>0</v>
      </c>
      <c r="S342" s="996">
        <v>10</v>
      </c>
      <c r="T342" s="997" t="str">
        <f>IF(Paramètres!BG15=0,"",Paramètres!BG15)</f>
        <v/>
      </c>
      <c r="U342" s="810">
        <f t="shared" si="136"/>
        <v>0</v>
      </c>
      <c r="V342" s="586" t="str">
        <f t="shared" si="137"/>
        <v>/</v>
      </c>
      <c r="W342" s="108" t="str">
        <f>IF(Y$331="Error","Error",IF(AND($W$331&lt;&gt;"/",$W$331&gt;'Paramètres - Admin'!$A11),'Paramètres - Admin'!$A12,"/"))</f>
        <v>/</v>
      </c>
      <c r="X342" s="829" t="str">
        <f>IF(W342&lt;&gt;"/",VLOOKUP(W342,COSTS_Grand_Warden[#All],2),"/")</f>
        <v>/</v>
      </c>
      <c r="Y342" s="94" t="str">
        <f>IF(W342&lt;&gt;"/",VLOOKUP(W342,COSTS_Grand_Warden[#All],3),"/")</f>
        <v>/</v>
      </c>
      <c r="Z342" s="829">
        <f t="shared" si="138"/>
        <v>0</v>
      </c>
      <c r="AA342" s="534">
        <f t="shared" si="139"/>
        <v>0</v>
      </c>
    </row>
    <row r="343" spans="1:27" ht="15" customHeight="1">
      <c r="A343" s="996">
        <v>11</v>
      </c>
      <c r="B343" s="997" t="str">
        <f>IF(Paramètres!BE16=0,"",Paramètres!BE16)</f>
        <v/>
      </c>
      <c r="C343" s="810">
        <f t="shared" si="128"/>
        <v>0</v>
      </c>
      <c r="D343" s="586" t="str">
        <f t="shared" si="129"/>
        <v>/</v>
      </c>
      <c r="E343" s="108" t="str">
        <f>IF(G$331="Error","Error",IF(AND($E$331&lt;&gt;"/",$E$331&gt;'Paramètres - Admin'!$A12),'Paramètres - Admin'!$A13,"/"))</f>
        <v>/</v>
      </c>
      <c r="F343" s="124" t="str">
        <f>IF(E343&lt;&gt;"/",VLOOKUP(E343,COSTS_Barbarian_King[#All],2),"/")</f>
        <v>/</v>
      </c>
      <c r="G343" s="94" t="str">
        <f>IF(E343&lt;&gt;"/",VLOOKUP(E343,COSTS_Barbarian_King[#All],3),"/")</f>
        <v>/</v>
      </c>
      <c r="H343" s="124">
        <f t="shared" si="130"/>
        <v>0</v>
      </c>
      <c r="I343" s="534">
        <f t="shared" si="131"/>
        <v>0</v>
      </c>
      <c r="J343" s="996">
        <v>11</v>
      </c>
      <c r="K343" s="997" t="str">
        <f>IF(Paramètres!BF16=0,"",Paramètres!BF16)</f>
        <v/>
      </c>
      <c r="L343" s="810">
        <f t="shared" si="132"/>
        <v>0</v>
      </c>
      <c r="M343" s="586" t="str">
        <f t="shared" si="133"/>
        <v>/</v>
      </c>
      <c r="N343" s="108" t="str">
        <f>IF(P$331="Error","Error",IF(AND($N$331&lt;&gt;"/",$N$331&gt;'Paramètres - Admin'!$A12),'Paramètres - Admin'!$A13,"/"))</f>
        <v>/</v>
      </c>
      <c r="O343" s="124" t="str">
        <f>IF(N343&lt;&gt;"/",VLOOKUP(N343,COSTS_Archer_Queen[#All],2),"/")</f>
        <v>/</v>
      </c>
      <c r="P343" s="94" t="str">
        <f>IF(N343&lt;&gt;"/",VLOOKUP(N343,COSTS_Archer_Queen[#All],3),"/")</f>
        <v>/</v>
      </c>
      <c r="Q343" s="124">
        <f t="shared" si="134"/>
        <v>0</v>
      </c>
      <c r="R343" s="534">
        <f t="shared" si="135"/>
        <v>0</v>
      </c>
      <c r="S343" s="996">
        <v>11</v>
      </c>
      <c r="T343" s="997" t="str">
        <f>IF(Paramètres!BG16=0,"",Paramètres!BG16)</f>
        <v/>
      </c>
      <c r="U343" s="810">
        <f t="shared" si="136"/>
        <v>0</v>
      </c>
      <c r="V343" s="586" t="str">
        <f t="shared" si="137"/>
        <v>/</v>
      </c>
      <c r="W343" s="108" t="str">
        <f>IF(Y$331="Error","Error",IF(AND($W$331&lt;&gt;"/",$W$331&gt;'Paramètres - Admin'!$A12),'Paramètres - Admin'!$A13,"/"))</f>
        <v>/</v>
      </c>
      <c r="X343" s="829" t="str">
        <f>IF(W343&lt;&gt;"/",VLOOKUP(W343,COSTS_Grand_Warden[#All],2),"/")</f>
        <v>/</v>
      </c>
      <c r="Y343" s="94" t="str">
        <f>IF(W343&lt;&gt;"/",VLOOKUP(W343,COSTS_Grand_Warden[#All],3),"/")</f>
        <v>/</v>
      </c>
      <c r="Z343" s="829">
        <f t="shared" si="138"/>
        <v>0</v>
      </c>
      <c r="AA343" s="534">
        <f t="shared" si="139"/>
        <v>0</v>
      </c>
    </row>
    <row r="344" spans="1:27" ht="15" customHeight="1">
      <c r="A344" s="996">
        <v>12</v>
      </c>
      <c r="B344" s="997" t="str">
        <f>IF(Paramètres!BE17=0,"",Paramètres!BE17)</f>
        <v/>
      </c>
      <c r="C344" s="810">
        <f t="shared" si="128"/>
        <v>0</v>
      </c>
      <c r="D344" s="586" t="str">
        <f t="shared" si="129"/>
        <v>/</v>
      </c>
      <c r="E344" s="108" t="str">
        <f>IF(G$331="Error","Error",IF(AND($E$331&lt;&gt;"/",$E$331&gt;'Paramètres - Admin'!$A13),'Paramètres - Admin'!$A14,"/"))</f>
        <v>/</v>
      </c>
      <c r="F344" s="124" t="str">
        <f>IF(E344&lt;&gt;"/",VLOOKUP(E344,COSTS_Barbarian_King[#All],2),"/")</f>
        <v>/</v>
      </c>
      <c r="G344" s="94" t="str">
        <f>IF(E344&lt;&gt;"/",VLOOKUP(E344,COSTS_Barbarian_King[#All],3),"/")</f>
        <v>/</v>
      </c>
      <c r="H344" s="124">
        <f t="shared" si="130"/>
        <v>0</v>
      </c>
      <c r="I344" s="534">
        <f t="shared" si="131"/>
        <v>0</v>
      </c>
      <c r="J344" s="996">
        <v>12</v>
      </c>
      <c r="K344" s="997" t="str">
        <f>IF(Paramètres!BF17=0,"",Paramètres!BF17)</f>
        <v/>
      </c>
      <c r="L344" s="810">
        <f t="shared" si="132"/>
        <v>0</v>
      </c>
      <c r="M344" s="586" t="str">
        <f t="shared" si="133"/>
        <v>/</v>
      </c>
      <c r="N344" s="108" t="str">
        <f>IF(P$331="Error","Error",IF(AND($N$331&lt;&gt;"/",$N$331&gt;'Paramètres - Admin'!$A13),'Paramètres - Admin'!$A14,"/"))</f>
        <v>/</v>
      </c>
      <c r="O344" s="124" t="str">
        <f>IF(N344&lt;&gt;"/",VLOOKUP(N344,COSTS_Archer_Queen[#All],2),"/")</f>
        <v>/</v>
      </c>
      <c r="P344" s="94" t="str">
        <f>IF(N344&lt;&gt;"/",VLOOKUP(N344,COSTS_Archer_Queen[#All],3),"/")</f>
        <v>/</v>
      </c>
      <c r="Q344" s="124">
        <f t="shared" si="134"/>
        <v>0</v>
      </c>
      <c r="R344" s="534">
        <f t="shared" si="135"/>
        <v>0</v>
      </c>
      <c r="S344" s="996">
        <v>12</v>
      </c>
      <c r="T344" s="997" t="str">
        <f>IF(Paramètres!BG17=0,"",Paramètres!BG17)</f>
        <v/>
      </c>
      <c r="U344" s="810">
        <f t="shared" si="136"/>
        <v>0</v>
      </c>
      <c r="V344" s="586" t="str">
        <f t="shared" si="137"/>
        <v>/</v>
      </c>
      <c r="W344" s="108" t="str">
        <f>IF(Y$331="Error","Error",IF(AND($W$331&lt;&gt;"/",$W$331&gt;'Paramètres - Admin'!$A13),'Paramètres - Admin'!$A14,"/"))</f>
        <v>/</v>
      </c>
      <c r="X344" s="829" t="str">
        <f>IF(W344&lt;&gt;"/",VLOOKUP(W344,COSTS_Grand_Warden[#All],2),"/")</f>
        <v>/</v>
      </c>
      <c r="Y344" s="94" t="str">
        <f>IF(W344&lt;&gt;"/",VLOOKUP(W344,COSTS_Grand_Warden[#All],3),"/")</f>
        <v>/</v>
      </c>
      <c r="Z344" s="829">
        <f t="shared" si="138"/>
        <v>0</v>
      </c>
      <c r="AA344" s="534">
        <f t="shared" si="139"/>
        <v>0</v>
      </c>
    </row>
    <row r="345" spans="1:27" ht="15" customHeight="1">
      <c r="A345" s="996">
        <v>13</v>
      </c>
      <c r="B345" s="997" t="str">
        <f>IF(Paramètres!BE18=0,"",Paramètres!BE18)</f>
        <v/>
      </c>
      <c r="C345" s="810">
        <f t="shared" si="128"/>
        <v>0</v>
      </c>
      <c r="D345" s="586" t="str">
        <f t="shared" si="129"/>
        <v>/</v>
      </c>
      <c r="E345" s="108" t="str">
        <f>IF(G$331="Error","Error",IF(AND($E$331&lt;&gt;"/",$E$331&gt;'Paramètres - Admin'!$A14),'Paramètres - Admin'!$A15,"/"))</f>
        <v>/</v>
      </c>
      <c r="F345" s="124" t="str">
        <f>IF(E345&lt;&gt;"/",VLOOKUP(E345,COSTS_Barbarian_King[#All],2),"/")</f>
        <v>/</v>
      </c>
      <c r="G345" s="94" t="str">
        <f>IF(E345&lt;&gt;"/",VLOOKUP(E345,COSTS_Barbarian_King[#All],3),"/")</f>
        <v>/</v>
      </c>
      <c r="H345" s="124">
        <f t="shared" si="130"/>
        <v>0</v>
      </c>
      <c r="I345" s="534">
        <f t="shared" si="131"/>
        <v>0</v>
      </c>
      <c r="J345" s="996">
        <v>13</v>
      </c>
      <c r="K345" s="997" t="str">
        <f>IF(Paramètres!BF18=0,"",Paramètres!BF18)</f>
        <v/>
      </c>
      <c r="L345" s="810">
        <f t="shared" si="132"/>
        <v>0</v>
      </c>
      <c r="M345" s="586" t="str">
        <f t="shared" si="133"/>
        <v>/</v>
      </c>
      <c r="N345" s="108" t="str">
        <f>IF(P$331="Error","Error",IF(AND($N$331&lt;&gt;"/",$N$331&gt;'Paramètres - Admin'!$A14),'Paramètres - Admin'!$A15,"/"))</f>
        <v>/</v>
      </c>
      <c r="O345" s="124" t="str">
        <f>IF(N345&lt;&gt;"/",VLOOKUP(N345,COSTS_Archer_Queen[#All],2),"/")</f>
        <v>/</v>
      </c>
      <c r="P345" s="94" t="str">
        <f>IF(N345&lt;&gt;"/",VLOOKUP(N345,COSTS_Archer_Queen[#All],3),"/")</f>
        <v>/</v>
      </c>
      <c r="Q345" s="124">
        <f t="shared" si="134"/>
        <v>0</v>
      </c>
      <c r="R345" s="534">
        <f t="shared" si="135"/>
        <v>0</v>
      </c>
      <c r="S345" s="996">
        <v>13</v>
      </c>
      <c r="T345" s="997" t="str">
        <f>IF(Paramètres!BG18=0,"",Paramètres!BG18)</f>
        <v/>
      </c>
      <c r="U345" s="810">
        <f t="shared" si="136"/>
        <v>0</v>
      </c>
      <c r="V345" s="586" t="str">
        <f t="shared" si="137"/>
        <v>/</v>
      </c>
      <c r="W345" s="108" t="str">
        <f>IF(Y$331="Error","Error",IF(AND($W$331&lt;&gt;"/",$W$331&gt;'Paramètres - Admin'!$A14),'Paramètres - Admin'!$A15,"/"))</f>
        <v>/</v>
      </c>
      <c r="X345" s="829" t="str">
        <f>IF(W345&lt;&gt;"/",VLOOKUP(W345,COSTS_Grand_Warden[#All],2),"/")</f>
        <v>/</v>
      </c>
      <c r="Y345" s="94" t="str">
        <f>IF(W345&lt;&gt;"/",VLOOKUP(W345,COSTS_Grand_Warden[#All],3),"/")</f>
        <v>/</v>
      </c>
      <c r="Z345" s="829">
        <f t="shared" si="138"/>
        <v>0</v>
      </c>
      <c r="AA345" s="534">
        <f t="shared" si="139"/>
        <v>0</v>
      </c>
    </row>
    <row r="346" spans="1:27" ht="15" customHeight="1">
      <c r="A346" s="996">
        <v>14</v>
      </c>
      <c r="B346" s="997" t="str">
        <f>IF(Paramètres!BE19=0,"",Paramètres!BE19)</f>
        <v/>
      </c>
      <c r="C346" s="810">
        <f t="shared" si="128"/>
        <v>0</v>
      </c>
      <c r="D346" s="586" t="str">
        <f t="shared" si="129"/>
        <v>/</v>
      </c>
      <c r="E346" s="108" t="str">
        <f>IF(G$331="Error","Error",IF(AND($E$331&lt;&gt;"/",$E$331&gt;'Paramètres - Admin'!$A15),'Paramètres - Admin'!$A16,"/"))</f>
        <v>/</v>
      </c>
      <c r="F346" s="124" t="str">
        <f>IF(E346&lt;&gt;"/",VLOOKUP(E346,COSTS_Barbarian_King[#All],2),"/")</f>
        <v>/</v>
      </c>
      <c r="G346" s="94" t="str">
        <f>IF(E346&lt;&gt;"/",VLOOKUP(E346,COSTS_Barbarian_King[#All],3),"/")</f>
        <v>/</v>
      </c>
      <c r="H346" s="124">
        <f t="shared" si="130"/>
        <v>0</v>
      </c>
      <c r="I346" s="534">
        <f t="shared" si="131"/>
        <v>0</v>
      </c>
      <c r="J346" s="996">
        <v>14</v>
      </c>
      <c r="K346" s="997" t="str">
        <f>IF(Paramètres!BF19=0,"",Paramètres!BF19)</f>
        <v/>
      </c>
      <c r="L346" s="810">
        <f t="shared" si="132"/>
        <v>0</v>
      </c>
      <c r="M346" s="586" t="str">
        <f t="shared" si="133"/>
        <v>/</v>
      </c>
      <c r="N346" s="108" t="str">
        <f>IF(P$331="Error","Error",IF(AND($N$331&lt;&gt;"/",$N$331&gt;'Paramètres - Admin'!$A15),'Paramètres - Admin'!$A16,"/"))</f>
        <v>/</v>
      </c>
      <c r="O346" s="124" t="str">
        <f>IF(N346&lt;&gt;"/",VLOOKUP(N346,COSTS_Archer_Queen[#All],2),"/")</f>
        <v>/</v>
      </c>
      <c r="P346" s="94" t="str">
        <f>IF(N346&lt;&gt;"/",VLOOKUP(N346,COSTS_Archer_Queen[#All],3),"/")</f>
        <v>/</v>
      </c>
      <c r="Q346" s="124">
        <f t="shared" si="134"/>
        <v>0</v>
      </c>
      <c r="R346" s="534">
        <f t="shared" si="135"/>
        <v>0</v>
      </c>
      <c r="S346" s="996">
        <v>14</v>
      </c>
      <c r="T346" s="997" t="str">
        <f>IF(Paramètres!BG19=0,"",Paramètres!BG19)</f>
        <v/>
      </c>
      <c r="U346" s="810">
        <f t="shared" si="136"/>
        <v>0</v>
      </c>
      <c r="V346" s="586" t="str">
        <f t="shared" si="137"/>
        <v>/</v>
      </c>
      <c r="W346" s="108" t="str">
        <f>IF(Y$331="Error","Error",IF(AND($W$331&lt;&gt;"/",$W$331&gt;'Paramètres - Admin'!$A15),'Paramètres - Admin'!$A16,"/"))</f>
        <v>/</v>
      </c>
      <c r="X346" s="829" t="str">
        <f>IF(W346&lt;&gt;"/",VLOOKUP(W346,COSTS_Grand_Warden[#All],2),"/")</f>
        <v>/</v>
      </c>
      <c r="Y346" s="94" t="str">
        <f>IF(W346&lt;&gt;"/",VLOOKUP(W346,COSTS_Grand_Warden[#All],3),"/")</f>
        <v>/</v>
      </c>
      <c r="Z346" s="829">
        <f t="shared" si="138"/>
        <v>0</v>
      </c>
      <c r="AA346" s="534">
        <f t="shared" si="139"/>
        <v>0</v>
      </c>
    </row>
    <row r="347" spans="1:27" ht="15" customHeight="1">
      <c r="A347" s="996">
        <v>15</v>
      </c>
      <c r="B347" s="997" t="str">
        <f>IF(Paramètres!BE20=0,"",Paramètres!BE20)</f>
        <v/>
      </c>
      <c r="C347" s="810">
        <f t="shared" si="128"/>
        <v>0</v>
      </c>
      <c r="D347" s="586" t="str">
        <f t="shared" si="129"/>
        <v>/</v>
      </c>
      <c r="E347" s="108" t="str">
        <f>IF(G$331="Error","Error",IF(AND($E$331&lt;&gt;"/",$E$331&gt;'Paramètres - Admin'!$A16),'Paramètres - Admin'!$A17,"/"))</f>
        <v>/</v>
      </c>
      <c r="F347" s="124" t="str">
        <f>IF(E347&lt;&gt;"/",VLOOKUP(E347,COSTS_Barbarian_King[#All],2),"/")</f>
        <v>/</v>
      </c>
      <c r="G347" s="94" t="str">
        <f>IF(E347&lt;&gt;"/",VLOOKUP(E347,COSTS_Barbarian_King[#All],3),"/")</f>
        <v>/</v>
      </c>
      <c r="H347" s="124">
        <f t="shared" si="130"/>
        <v>0</v>
      </c>
      <c r="I347" s="534">
        <f t="shared" si="131"/>
        <v>0</v>
      </c>
      <c r="J347" s="996">
        <v>15</v>
      </c>
      <c r="K347" s="997" t="str">
        <f>IF(Paramètres!BF20=0,"",Paramètres!BF20)</f>
        <v/>
      </c>
      <c r="L347" s="810">
        <f t="shared" si="132"/>
        <v>0</v>
      </c>
      <c r="M347" s="586" t="str">
        <f t="shared" si="133"/>
        <v>/</v>
      </c>
      <c r="N347" s="108" t="str">
        <f>IF(P$331="Error","Error",IF(AND($N$331&lt;&gt;"/",$N$331&gt;'Paramètres - Admin'!$A16),'Paramètres - Admin'!$A17,"/"))</f>
        <v>/</v>
      </c>
      <c r="O347" s="124" t="str">
        <f>IF(N347&lt;&gt;"/",VLOOKUP(N347,COSTS_Archer_Queen[#All],2),"/")</f>
        <v>/</v>
      </c>
      <c r="P347" s="94" t="str">
        <f>IF(N347&lt;&gt;"/",VLOOKUP(N347,COSTS_Archer_Queen[#All],3),"/")</f>
        <v>/</v>
      </c>
      <c r="Q347" s="124">
        <f t="shared" si="134"/>
        <v>0</v>
      </c>
      <c r="R347" s="534">
        <f t="shared" si="135"/>
        <v>0</v>
      </c>
      <c r="S347" s="996">
        <v>15</v>
      </c>
      <c r="T347" s="997" t="str">
        <f>IF(Paramètres!BG20=0,"",Paramètres!BG20)</f>
        <v/>
      </c>
      <c r="U347" s="810">
        <f t="shared" si="136"/>
        <v>0</v>
      </c>
      <c r="V347" s="586" t="str">
        <f t="shared" si="137"/>
        <v>/</v>
      </c>
      <c r="W347" s="108" t="str">
        <f>IF(Y$331="Error","Error",IF(AND($W$331&lt;&gt;"/",$W$331&gt;'Paramètres - Admin'!$A16),'Paramètres - Admin'!$A17,"/"))</f>
        <v>/</v>
      </c>
      <c r="X347" s="829" t="str">
        <f>IF(W347&lt;&gt;"/",VLOOKUP(W347,COSTS_Grand_Warden[#All],2),"/")</f>
        <v>/</v>
      </c>
      <c r="Y347" s="94" t="str">
        <f>IF(W347&lt;&gt;"/",VLOOKUP(W347,COSTS_Grand_Warden[#All],3),"/")</f>
        <v>/</v>
      </c>
      <c r="Z347" s="829">
        <f t="shared" si="138"/>
        <v>0</v>
      </c>
      <c r="AA347" s="534">
        <f t="shared" si="139"/>
        <v>0</v>
      </c>
    </row>
    <row r="348" spans="1:27" ht="15" customHeight="1">
      <c r="A348" s="996">
        <v>16</v>
      </c>
      <c r="B348" s="997" t="str">
        <f>IF(Paramètres!BE21=0,"",Paramètres!BE21)</f>
        <v/>
      </c>
      <c r="C348" s="810">
        <f t="shared" si="128"/>
        <v>0</v>
      </c>
      <c r="D348" s="586" t="str">
        <f t="shared" si="129"/>
        <v>/</v>
      </c>
      <c r="E348" s="108" t="str">
        <f>IF(G$331="Error","Error",IF(AND($E$331&lt;&gt;"/",$E$331&gt;'Paramètres - Admin'!$A17),'Paramètres - Admin'!$A18,"/"))</f>
        <v>/</v>
      </c>
      <c r="F348" s="124" t="str">
        <f>IF(E348&lt;&gt;"/",VLOOKUP(E348,COSTS_Barbarian_King[#All],2),"/")</f>
        <v>/</v>
      </c>
      <c r="G348" s="94" t="str">
        <f>IF(E348&lt;&gt;"/",VLOOKUP(E348,COSTS_Barbarian_King[#All],3),"/")</f>
        <v>/</v>
      </c>
      <c r="H348" s="124">
        <f t="shared" si="130"/>
        <v>0</v>
      </c>
      <c r="I348" s="534">
        <f t="shared" si="131"/>
        <v>0</v>
      </c>
      <c r="J348" s="996">
        <v>16</v>
      </c>
      <c r="K348" s="997" t="str">
        <f>IF(Paramètres!BF21=0,"",Paramètres!BF21)</f>
        <v/>
      </c>
      <c r="L348" s="810">
        <f t="shared" si="132"/>
        <v>0</v>
      </c>
      <c r="M348" s="586" t="str">
        <f t="shared" si="133"/>
        <v>/</v>
      </c>
      <c r="N348" s="108" t="str">
        <f>IF(P$331="Error","Error",IF(AND($N$331&lt;&gt;"/",$N$331&gt;'Paramètres - Admin'!$A17),'Paramètres - Admin'!$A18,"/"))</f>
        <v>/</v>
      </c>
      <c r="O348" s="124" t="str">
        <f>IF(N348&lt;&gt;"/",VLOOKUP(N348,COSTS_Archer_Queen[#All],2),"/")</f>
        <v>/</v>
      </c>
      <c r="P348" s="94" t="str">
        <f>IF(N348&lt;&gt;"/",VLOOKUP(N348,COSTS_Archer_Queen[#All],3),"/")</f>
        <v>/</v>
      </c>
      <c r="Q348" s="124">
        <f t="shared" si="134"/>
        <v>0</v>
      </c>
      <c r="R348" s="534">
        <f t="shared" si="135"/>
        <v>0</v>
      </c>
      <c r="S348" s="996">
        <v>16</v>
      </c>
      <c r="T348" s="997" t="str">
        <f>IF(Paramètres!BG21=0,"",Paramètres!BG21)</f>
        <v/>
      </c>
      <c r="U348" s="810">
        <f t="shared" si="136"/>
        <v>0</v>
      </c>
      <c r="V348" s="586" t="str">
        <f t="shared" si="137"/>
        <v>/</v>
      </c>
      <c r="W348" s="108" t="str">
        <f>IF(Y$331="Error","Error",IF(AND($W$331&lt;&gt;"/",$W$331&gt;'Paramètres - Admin'!$A17),'Paramètres - Admin'!$A18,"/"))</f>
        <v>/</v>
      </c>
      <c r="X348" s="829" t="str">
        <f>IF(W348&lt;&gt;"/",VLOOKUP(W348,COSTS_Grand_Warden[#All],2),"/")</f>
        <v>/</v>
      </c>
      <c r="Y348" s="94" t="str">
        <f>IF(W348&lt;&gt;"/",VLOOKUP(W348,COSTS_Grand_Warden[#All],3),"/")</f>
        <v>/</v>
      </c>
      <c r="Z348" s="829">
        <f t="shared" si="138"/>
        <v>0</v>
      </c>
      <c r="AA348" s="534">
        <f t="shared" si="139"/>
        <v>0</v>
      </c>
    </row>
    <row r="349" spans="1:27" ht="15" customHeight="1">
      <c r="A349" s="996">
        <v>17</v>
      </c>
      <c r="B349" s="997" t="str">
        <f>IF(Paramètres!BE22=0,"",Paramètres!BE22)</f>
        <v/>
      </c>
      <c r="C349" s="810">
        <f t="shared" si="128"/>
        <v>0</v>
      </c>
      <c r="D349" s="586" t="str">
        <f t="shared" si="129"/>
        <v>/</v>
      </c>
      <c r="E349" s="108" t="str">
        <f>IF(G$331="Error","Error",IF(AND($E$331&lt;&gt;"/",$E$331&gt;'Paramètres - Admin'!$A18),'Paramètres - Admin'!$A19,"/"))</f>
        <v>/</v>
      </c>
      <c r="F349" s="124" t="str">
        <f>IF(E349&lt;&gt;"/",VLOOKUP(E349,COSTS_Barbarian_King[#All],2),"/")</f>
        <v>/</v>
      </c>
      <c r="G349" s="94" t="str">
        <f>IF(E349&lt;&gt;"/",VLOOKUP(E349,COSTS_Barbarian_King[#All],3),"/")</f>
        <v>/</v>
      </c>
      <c r="H349" s="124">
        <f t="shared" si="130"/>
        <v>0</v>
      </c>
      <c r="I349" s="534">
        <f t="shared" si="131"/>
        <v>0</v>
      </c>
      <c r="J349" s="996">
        <v>17</v>
      </c>
      <c r="K349" s="997" t="str">
        <f>IF(Paramètres!BF22=0,"",Paramètres!BF22)</f>
        <v/>
      </c>
      <c r="L349" s="810">
        <f t="shared" si="132"/>
        <v>0</v>
      </c>
      <c r="M349" s="586" t="str">
        <f t="shared" si="133"/>
        <v>/</v>
      </c>
      <c r="N349" s="108" t="str">
        <f>IF(P$331="Error","Error",IF(AND($N$331&lt;&gt;"/",$N$331&gt;'Paramètres - Admin'!$A18),'Paramètres - Admin'!$A19,"/"))</f>
        <v>/</v>
      </c>
      <c r="O349" s="124" t="str">
        <f>IF(N349&lt;&gt;"/",VLOOKUP(N349,COSTS_Archer_Queen[#All],2),"/")</f>
        <v>/</v>
      </c>
      <c r="P349" s="94" t="str">
        <f>IF(N349&lt;&gt;"/",VLOOKUP(N349,COSTS_Archer_Queen[#All],3),"/")</f>
        <v>/</v>
      </c>
      <c r="Q349" s="124">
        <f t="shared" si="134"/>
        <v>0</v>
      </c>
      <c r="R349" s="534">
        <f t="shared" si="135"/>
        <v>0</v>
      </c>
      <c r="S349" s="996">
        <v>17</v>
      </c>
      <c r="T349" s="997" t="str">
        <f>IF(Paramètres!BG22=0,"",Paramètres!BG22)</f>
        <v/>
      </c>
      <c r="U349" s="810">
        <f t="shared" si="136"/>
        <v>0</v>
      </c>
      <c r="V349" s="586" t="str">
        <f t="shared" si="137"/>
        <v>/</v>
      </c>
      <c r="W349" s="108" t="str">
        <f>IF(Y$331="Error","Error",IF(AND($W$331&lt;&gt;"/",$W$331&gt;'Paramètres - Admin'!$A18),'Paramètres - Admin'!$A19,"/"))</f>
        <v>/</v>
      </c>
      <c r="X349" s="829" t="str">
        <f>IF(W349&lt;&gt;"/",VLOOKUP(W349,COSTS_Grand_Warden[#All],2),"/")</f>
        <v>/</v>
      </c>
      <c r="Y349" s="94" t="str">
        <f>IF(W349&lt;&gt;"/",VLOOKUP(W349,COSTS_Grand_Warden[#All],3),"/")</f>
        <v>/</v>
      </c>
      <c r="Z349" s="829">
        <f t="shared" si="138"/>
        <v>0</v>
      </c>
      <c r="AA349" s="534">
        <f t="shared" si="139"/>
        <v>0</v>
      </c>
    </row>
    <row r="350" spans="1:27" ht="15" customHeight="1">
      <c r="A350" s="996">
        <v>18</v>
      </c>
      <c r="B350" s="997" t="str">
        <f>IF(Paramètres!BE23=0,"",Paramètres!BE23)</f>
        <v/>
      </c>
      <c r="C350" s="810">
        <f t="shared" si="128"/>
        <v>0</v>
      </c>
      <c r="D350" s="586" t="str">
        <f t="shared" si="129"/>
        <v>/</v>
      </c>
      <c r="E350" s="108" t="str">
        <f>IF(G$331="Error","Error",IF(AND($E$331&lt;&gt;"/",$E$331&gt;'Paramètres - Admin'!$A19),'Paramètres - Admin'!$A20,"/"))</f>
        <v>/</v>
      </c>
      <c r="F350" s="124" t="str">
        <f>IF(E350&lt;&gt;"/",VLOOKUP(E350,COSTS_Barbarian_King[#All],2),"/")</f>
        <v>/</v>
      </c>
      <c r="G350" s="94" t="str">
        <f>IF(E350&lt;&gt;"/",VLOOKUP(E350,COSTS_Barbarian_King[#All],3),"/")</f>
        <v>/</v>
      </c>
      <c r="H350" s="124">
        <f t="shared" si="130"/>
        <v>0</v>
      </c>
      <c r="I350" s="534">
        <f t="shared" si="131"/>
        <v>0</v>
      </c>
      <c r="J350" s="996">
        <v>18</v>
      </c>
      <c r="K350" s="997" t="str">
        <f>IF(Paramètres!BF23=0,"",Paramètres!BF23)</f>
        <v/>
      </c>
      <c r="L350" s="810">
        <f t="shared" si="132"/>
        <v>0</v>
      </c>
      <c r="M350" s="586" t="str">
        <f t="shared" si="133"/>
        <v>/</v>
      </c>
      <c r="N350" s="108" t="str">
        <f>IF(P$331="Error","Error",IF(AND($N$331&lt;&gt;"/",$N$331&gt;'Paramètres - Admin'!$A19),'Paramètres - Admin'!$A20,"/"))</f>
        <v>/</v>
      </c>
      <c r="O350" s="124" t="str">
        <f>IF(N350&lt;&gt;"/",VLOOKUP(N350,COSTS_Archer_Queen[#All],2),"/")</f>
        <v>/</v>
      </c>
      <c r="P350" s="94" t="str">
        <f>IF(N350&lt;&gt;"/",VLOOKUP(N350,COSTS_Archer_Queen[#All],3),"/")</f>
        <v>/</v>
      </c>
      <c r="Q350" s="124">
        <f t="shared" si="134"/>
        <v>0</v>
      </c>
      <c r="R350" s="534">
        <f t="shared" si="135"/>
        <v>0</v>
      </c>
      <c r="S350" s="996">
        <v>18</v>
      </c>
      <c r="T350" s="997" t="str">
        <f>IF(Paramètres!BG23=0,"",Paramètres!BG23)</f>
        <v/>
      </c>
      <c r="U350" s="810">
        <f t="shared" si="136"/>
        <v>0</v>
      </c>
      <c r="V350" s="586" t="str">
        <f t="shared" si="137"/>
        <v>/</v>
      </c>
      <c r="W350" s="108" t="str">
        <f>IF(Y$331="Error","Error",IF(AND($W$331&lt;&gt;"/",$W$331&gt;'Paramètres - Admin'!$A19),'Paramètres - Admin'!$A20,"/"))</f>
        <v>/</v>
      </c>
      <c r="X350" s="829" t="str">
        <f>IF(W350&lt;&gt;"/",VLOOKUP(W350,COSTS_Grand_Warden[#All],2),"/")</f>
        <v>/</v>
      </c>
      <c r="Y350" s="94" t="str">
        <f>IF(W350&lt;&gt;"/",VLOOKUP(W350,COSTS_Grand_Warden[#All],3),"/")</f>
        <v>/</v>
      </c>
      <c r="Z350" s="829">
        <f t="shared" si="138"/>
        <v>0</v>
      </c>
      <c r="AA350" s="534">
        <f t="shared" si="139"/>
        <v>0</v>
      </c>
    </row>
    <row r="351" spans="1:27" ht="15" customHeight="1">
      <c r="A351" s="996">
        <v>19</v>
      </c>
      <c r="B351" s="997" t="str">
        <f>IF(Paramètres!BE24=0,"",Paramètres!BE24)</f>
        <v/>
      </c>
      <c r="C351" s="810">
        <f t="shared" si="128"/>
        <v>0</v>
      </c>
      <c r="D351" s="586" t="str">
        <f t="shared" si="129"/>
        <v>/</v>
      </c>
      <c r="E351" s="108" t="str">
        <f>IF(G$331="Error","Error",IF(AND($E$331&lt;&gt;"/",$E$331&gt;'Paramètres - Admin'!$A20),'Paramètres - Admin'!$A21,"/"))</f>
        <v>/</v>
      </c>
      <c r="F351" s="124" t="str">
        <f>IF(E351&lt;&gt;"/",VLOOKUP(E351,COSTS_Barbarian_King[#All],2),"/")</f>
        <v>/</v>
      </c>
      <c r="G351" s="94" t="str">
        <f>IF(E351&lt;&gt;"/",VLOOKUP(E351,COSTS_Barbarian_King[#All],3),"/")</f>
        <v>/</v>
      </c>
      <c r="H351" s="124">
        <f t="shared" si="130"/>
        <v>0</v>
      </c>
      <c r="I351" s="534">
        <f t="shared" si="131"/>
        <v>0</v>
      </c>
      <c r="J351" s="996">
        <v>19</v>
      </c>
      <c r="K351" s="997" t="str">
        <f>IF(Paramètres!BF24=0,"",Paramètres!BF24)</f>
        <v/>
      </c>
      <c r="L351" s="810">
        <f t="shared" si="132"/>
        <v>0</v>
      </c>
      <c r="M351" s="586" t="str">
        <f t="shared" si="133"/>
        <v>/</v>
      </c>
      <c r="N351" s="108" t="str">
        <f>IF(P$331="Error","Error",IF(AND($N$331&lt;&gt;"/",$N$331&gt;'Paramètres - Admin'!$A20),'Paramètres - Admin'!$A21,"/"))</f>
        <v>/</v>
      </c>
      <c r="O351" s="124" t="str">
        <f>IF(N351&lt;&gt;"/",VLOOKUP(N351,COSTS_Archer_Queen[#All],2),"/")</f>
        <v>/</v>
      </c>
      <c r="P351" s="94" t="str">
        <f>IF(N351&lt;&gt;"/",VLOOKUP(N351,COSTS_Archer_Queen[#All],3),"/")</f>
        <v>/</v>
      </c>
      <c r="Q351" s="124">
        <f t="shared" si="134"/>
        <v>0</v>
      </c>
      <c r="R351" s="534">
        <f t="shared" si="135"/>
        <v>0</v>
      </c>
      <c r="S351" s="996">
        <v>19</v>
      </c>
      <c r="T351" s="997" t="str">
        <f>IF(Paramètres!BG24=0,"",Paramètres!BG24)</f>
        <v/>
      </c>
      <c r="U351" s="810">
        <f t="shared" si="136"/>
        <v>0</v>
      </c>
      <c r="V351" s="586" t="str">
        <f t="shared" si="137"/>
        <v>/</v>
      </c>
      <c r="W351" s="108" t="str">
        <f>IF(Y$331="Error","Error",IF(AND($W$331&lt;&gt;"/",$W$331&gt;'Paramètres - Admin'!$A20),'Paramètres - Admin'!$A21,"/"))</f>
        <v>/</v>
      </c>
      <c r="X351" s="829" t="str">
        <f>IF(W351&lt;&gt;"/",VLOOKUP(W351,COSTS_Grand_Warden[#All],2),"/")</f>
        <v>/</v>
      </c>
      <c r="Y351" s="94" t="str">
        <f>IF(W351&lt;&gt;"/",VLOOKUP(W351,COSTS_Grand_Warden[#All],3),"/")</f>
        <v>/</v>
      </c>
      <c r="Z351" s="829">
        <f t="shared" si="138"/>
        <v>0</v>
      </c>
      <c r="AA351" s="534">
        <f t="shared" si="139"/>
        <v>0</v>
      </c>
    </row>
    <row r="352" spans="1:27" ht="15" customHeight="1">
      <c r="A352" s="996">
        <v>20</v>
      </c>
      <c r="B352" s="997" t="str">
        <f>IF(Paramètres!BE25=0,"",Paramètres!BE25)</f>
        <v/>
      </c>
      <c r="C352" s="810">
        <f t="shared" si="128"/>
        <v>0</v>
      </c>
      <c r="D352" s="586" t="str">
        <f t="shared" si="129"/>
        <v>/</v>
      </c>
      <c r="E352" s="108" t="str">
        <f>IF(G$331="Error","Error",IF(AND($E$331&lt;&gt;"/",$E$331&gt;'Paramètres - Admin'!$A21),'Paramètres - Admin'!$A22,"/"))</f>
        <v>/</v>
      </c>
      <c r="F352" s="124" t="str">
        <f>IF(E352&lt;&gt;"/",VLOOKUP(E352,COSTS_Barbarian_King[#All],2),"/")</f>
        <v>/</v>
      </c>
      <c r="G352" s="94" t="str">
        <f>IF(E352&lt;&gt;"/",VLOOKUP(E352,COSTS_Barbarian_King[#All],3),"/")</f>
        <v>/</v>
      </c>
      <c r="H352" s="124">
        <f t="shared" si="130"/>
        <v>0</v>
      </c>
      <c r="I352" s="534">
        <f t="shared" si="131"/>
        <v>0</v>
      </c>
      <c r="J352" s="996">
        <v>20</v>
      </c>
      <c r="K352" s="997" t="str">
        <f>IF(Paramètres!BF25=0,"",Paramètres!BF25)</f>
        <v/>
      </c>
      <c r="L352" s="810">
        <f t="shared" si="132"/>
        <v>0</v>
      </c>
      <c r="M352" s="586" t="str">
        <f t="shared" si="133"/>
        <v>/</v>
      </c>
      <c r="N352" s="108" t="str">
        <f>IF(P$331="Error","Error",IF(AND($N$331&lt;&gt;"/",$N$331&gt;'Paramètres - Admin'!$A21),'Paramètres - Admin'!$A22,"/"))</f>
        <v>/</v>
      </c>
      <c r="O352" s="124" t="str">
        <f>IF(N352&lt;&gt;"/",VLOOKUP(N352,COSTS_Archer_Queen[#All],2),"/")</f>
        <v>/</v>
      </c>
      <c r="P352" s="94" t="str">
        <f>IF(N352&lt;&gt;"/",VLOOKUP(N352,COSTS_Archer_Queen[#All],3),"/")</f>
        <v>/</v>
      </c>
      <c r="Q352" s="124">
        <f t="shared" si="134"/>
        <v>0</v>
      </c>
      <c r="R352" s="534">
        <f t="shared" si="135"/>
        <v>0</v>
      </c>
      <c r="S352" s="996">
        <v>20</v>
      </c>
      <c r="T352" s="997" t="str">
        <f>IF(Paramètres!BG25=0,"",Paramètres!BG25)</f>
        <v/>
      </c>
      <c r="U352" s="810">
        <f t="shared" si="136"/>
        <v>0</v>
      </c>
      <c r="V352" s="586" t="str">
        <f t="shared" si="137"/>
        <v>/</v>
      </c>
      <c r="W352" s="108" t="str">
        <f>IF(Y$331="Error","Error",IF(AND($W$331&lt;&gt;"/",$W$331&gt;'Paramètres - Admin'!$A21),'Paramètres - Admin'!$A22,"/"))</f>
        <v>/</v>
      </c>
      <c r="X352" s="829" t="str">
        <f>IF(W352&lt;&gt;"/",VLOOKUP(W352,COSTS_Grand_Warden[#All],2),"/")</f>
        <v>/</v>
      </c>
      <c r="Y352" s="94" t="str">
        <f>IF(W352&lt;&gt;"/",VLOOKUP(W352,COSTS_Grand_Warden[#All],3),"/")</f>
        <v>/</v>
      </c>
      <c r="Z352" s="829">
        <f t="shared" si="138"/>
        <v>0</v>
      </c>
      <c r="AA352" s="534">
        <f t="shared" si="139"/>
        <v>0</v>
      </c>
    </row>
    <row r="353" spans="1:84" ht="15" customHeight="1">
      <c r="A353" s="996">
        <v>21</v>
      </c>
      <c r="B353" s="997" t="str">
        <f>IF(Paramètres!BE26=0,"",Paramètres!BE26)</f>
        <v/>
      </c>
      <c r="C353" s="810">
        <f t="shared" si="128"/>
        <v>0</v>
      </c>
      <c r="D353" s="586" t="str">
        <f t="shared" si="129"/>
        <v>/</v>
      </c>
      <c r="E353" s="108" t="str">
        <f>IF(G$331="Error","Error",IF(AND($E$331&lt;&gt;"/",$E$331&gt;'Paramètres - Admin'!$A22),'Paramètres - Admin'!$A23,"/"))</f>
        <v>/</v>
      </c>
      <c r="F353" s="124" t="str">
        <f>IF(E353&lt;&gt;"/",VLOOKUP(E353,COSTS_Barbarian_King[#All],2),"/")</f>
        <v>/</v>
      </c>
      <c r="G353" s="94" t="str">
        <f>IF(E353&lt;&gt;"/",VLOOKUP(E353,COSTS_Barbarian_King[#All],3),"/")</f>
        <v>/</v>
      </c>
      <c r="H353" s="124">
        <f t="shared" si="130"/>
        <v>0</v>
      </c>
      <c r="I353" s="534">
        <f t="shared" si="131"/>
        <v>0</v>
      </c>
      <c r="J353" s="996">
        <v>21</v>
      </c>
      <c r="K353" s="997" t="str">
        <f>IF(Paramètres!BF26=0,"",Paramètres!BF26)</f>
        <v/>
      </c>
      <c r="L353" s="810">
        <f t="shared" si="132"/>
        <v>0</v>
      </c>
      <c r="M353" s="586" t="str">
        <f t="shared" si="133"/>
        <v>/</v>
      </c>
      <c r="N353" s="108" t="str">
        <f>IF(P$331="Error","Error",IF(AND($N$331&lt;&gt;"/",$N$331&gt;'Paramètres - Admin'!$A22),'Paramètres - Admin'!$A23,"/"))</f>
        <v>/</v>
      </c>
      <c r="O353" s="124" t="str">
        <f>IF(N353&lt;&gt;"/",VLOOKUP(N353,COSTS_Archer_Queen[#All],2),"/")</f>
        <v>/</v>
      </c>
      <c r="P353" s="94" t="str">
        <f>IF(N353&lt;&gt;"/",VLOOKUP(N353,COSTS_Archer_Queen[#All],3),"/")</f>
        <v>/</v>
      </c>
      <c r="Q353" s="124">
        <f t="shared" si="134"/>
        <v>0</v>
      </c>
      <c r="R353" s="534">
        <f t="shared" si="135"/>
        <v>0</v>
      </c>
      <c r="S353" s="996">
        <v>21</v>
      </c>
      <c r="T353" s="997" t="str">
        <f>IF(Paramètres!BG26=0,"",Paramètres!BG26)</f>
        <v/>
      </c>
      <c r="U353" s="810">
        <f t="shared" si="136"/>
        <v>0</v>
      </c>
      <c r="V353" s="586" t="str">
        <f t="shared" si="137"/>
        <v>/</v>
      </c>
      <c r="W353" s="108" t="str">
        <f>IF(Y$331="Error","Error",IF(AND($W$331&lt;&gt;"/",$W$331&gt;'Paramètres - Admin'!$A22),'Paramètres - Admin'!$A23,"/"))</f>
        <v>/</v>
      </c>
      <c r="X353" s="829" t="str">
        <f>IF(W353&lt;&gt;"/",VLOOKUP(W353,COSTS_Grand_Warden[#All],2),"/")</f>
        <v>/</v>
      </c>
      <c r="Y353" s="94" t="str">
        <f>IF(W353&lt;&gt;"/",VLOOKUP(W353,COSTS_Grand_Warden[#All],3),"/")</f>
        <v>/</v>
      </c>
      <c r="Z353" s="829">
        <f t="shared" si="138"/>
        <v>0</v>
      </c>
      <c r="AA353" s="534">
        <f t="shared" si="139"/>
        <v>0</v>
      </c>
    </row>
    <row r="354" spans="1:84" ht="15" customHeight="1">
      <c r="A354" s="996">
        <v>22</v>
      </c>
      <c r="B354" s="997" t="str">
        <f>IF(Paramètres!BE27=0,"",Paramètres!BE27)</f>
        <v/>
      </c>
      <c r="C354" s="810">
        <f t="shared" si="128"/>
        <v>0</v>
      </c>
      <c r="D354" s="586" t="str">
        <f t="shared" si="129"/>
        <v>/</v>
      </c>
      <c r="E354" s="108" t="str">
        <f>IF(G$331="Error","Error",IF(AND($E$331&lt;&gt;"/",$E$331&gt;'Paramètres - Admin'!$A23),'Paramètres - Admin'!$A24,"/"))</f>
        <v>/</v>
      </c>
      <c r="F354" s="124" t="str">
        <f>IF(E354&lt;&gt;"/",VLOOKUP(E354,COSTS_Barbarian_King[#All],2),"/")</f>
        <v>/</v>
      </c>
      <c r="G354" s="94" t="str">
        <f>IF(E354&lt;&gt;"/",VLOOKUP(E354,COSTS_Barbarian_King[#All],3),"/")</f>
        <v>/</v>
      </c>
      <c r="H354" s="124">
        <f t="shared" si="130"/>
        <v>0</v>
      </c>
      <c r="I354" s="534">
        <f t="shared" si="131"/>
        <v>0</v>
      </c>
      <c r="J354" s="996">
        <v>22</v>
      </c>
      <c r="K354" s="997" t="str">
        <f>IF(Paramètres!BF27=0,"",Paramètres!BF27)</f>
        <v/>
      </c>
      <c r="L354" s="810">
        <f t="shared" si="132"/>
        <v>0</v>
      </c>
      <c r="M354" s="586" t="str">
        <f t="shared" si="133"/>
        <v>/</v>
      </c>
      <c r="N354" s="108" t="str">
        <f>IF(P$331="Error","Error",IF(AND($N$331&lt;&gt;"/",$N$331&gt;'Paramètres - Admin'!$A23),'Paramètres - Admin'!$A24,"/"))</f>
        <v>/</v>
      </c>
      <c r="O354" s="124" t="str">
        <f>IF(N354&lt;&gt;"/",VLOOKUP(N354,COSTS_Archer_Queen[#All],2),"/")</f>
        <v>/</v>
      </c>
      <c r="P354" s="94" t="str">
        <f>IF(N354&lt;&gt;"/",VLOOKUP(N354,COSTS_Archer_Queen[#All],3),"/")</f>
        <v>/</v>
      </c>
      <c r="Q354" s="124">
        <f t="shared" si="134"/>
        <v>0</v>
      </c>
      <c r="R354" s="534">
        <f t="shared" si="135"/>
        <v>0</v>
      </c>
      <c r="S354" s="996">
        <v>22</v>
      </c>
      <c r="T354" s="997" t="str">
        <f>IF(Paramètres!BG27=0,"",Paramètres!BG27)</f>
        <v/>
      </c>
      <c r="U354" s="810">
        <f t="shared" si="136"/>
        <v>0</v>
      </c>
      <c r="V354" s="586" t="str">
        <f t="shared" si="137"/>
        <v>/</v>
      </c>
      <c r="W354" s="108" t="str">
        <f>IF(Y$331="Error","Error",IF(AND($W$331&lt;&gt;"/",$W$331&gt;'Paramètres - Admin'!$A23),'Paramètres - Admin'!$A24,"/"))</f>
        <v>/</v>
      </c>
      <c r="X354" s="829" t="str">
        <f>IF(W354&lt;&gt;"/",VLOOKUP(W354,COSTS_Grand_Warden[#All],2),"/")</f>
        <v>/</v>
      </c>
      <c r="Y354" s="94" t="str">
        <f>IF(W354&lt;&gt;"/",VLOOKUP(W354,COSTS_Grand_Warden[#All],3),"/")</f>
        <v>/</v>
      </c>
      <c r="Z354" s="829">
        <f t="shared" si="138"/>
        <v>0</v>
      </c>
      <c r="AA354" s="534">
        <f t="shared" si="139"/>
        <v>0</v>
      </c>
    </row>
    <row r="355" spans="1:84" ht="15" customHeight="1">
      <c r="A355" s="996">
        <v>23</v>
      </c>
      <c r="B355" s="997" t="str">
        <f>IF(Paramètres!BE28=0,"",Paramètres!BE28)</f>
        <v/>
      </c>
      <c r="C355" s="810">
        <f t="shared" si="128"/>
        <v>0</v>
      </c>
      <c r="D355" s="586" t="str">
        <f t="shared" si="129"/>
        <v>/</v>
      </c>
      <c r="E355" s="108" t="str">
        <f>IF(G$331="Error","Error",IF(AND($E$331&lt;&gt;"/",$E$331&gt;'Paramètres - Admin'!$A24),'Paramètres - Admin'!$A25,"/"))</f>
        <v>/</v>
      </c>
      <c r="F355" s="124" t="str">
        <f>IF(E355&lt;&gt;"/",VLOOKUP(E355,COSTS_Barbarian_King[#All],2),"/")</f>
        <v>/</v>
      </c>
      <c r="G355" s="94" t="str">
        <f>IF(E355&lt;&gt;"/",VLOOKUP(E355,COSTS_Barbarian_King[#All],3),"/")</f>
        <v>/</v>
      </c>
      <c r="H355" s="124">
        <f t="shared" si="130"/>
        <v>0</v>
      </c>
      <c r="I355" s="534">
        <f t="shared" si="131"/>
        <v>0</v>
      </c>
      <c r="J355" s="996">
        <v>23</v>
      </c>
      <c r="K355" s="997" t="str">
        <f>IF(Paramètres!BF28=0,"",Paramètres!BF28)</f>
        <v/>
      </c>
      <c r="L355" s="810">
        <f t="shared" si="132"/>
        <v>0</v>
      </c>
      <c r="M355" s="586" t="str">
        <f t="shared" si="133"/>
        <v>/</v>
      </c>
      <c r="N355" s="108" t="str">
        <f>IF(P$331="Error","Error",IF(AND($N$331&lt;&gt;"/",$N$331&gt;'Paramètres - Admin'!$A24),'Paramètres - Admin'!$A25,"/"))</f>
        <v>/</v>
      </c>
      <c r="O355" s="124" t="str">
        <f>IF(N355&lt;&gt;"/",VLOOKUP(N355,COSTS_Archer_Queen[#All],2),"/")</f>
        <v>/</v>
      </c>
      <c r="P355" s="94" t="str">
        <f>IF(N355&lt;&gt;"/",VLOOKUP(N355,COSTS_Archer_Queen[#All],3),"/")</f>
        <v>/</v>
      </c>
      <c r="Q355" s="124">
        <f t="shared" si="134"/>
        <v>0</v>
      </c>
      <c r="R355" s="534">
        <f t="shared" si="135"/>
        <v>0</v>
      </c>
      <c r="S355" s="996">
        <v>23</v>
      </c>
      <c r="T355" s="997" t="str">
        <f>IF(Paramètres!BG28=0,"",Paramètres!BG28)</f>
        <v/>
      </c>
      <c r="U355" s="810">
        <f t="shared" si="136"/>
        <v>0</v>
      </c>
      <c r="V355" s="586" t="str">
        <f t="shared" si="137"/>
        <v>/</v>
      </c>
      <c r="W355" s="108" t="str">
        <f>IF(Y$331="Error","Error",IF(AND($W$331&lt;&gt;"/",$W$331&gt;'Paramètres - Admin'!$A24),'Paramètres - Admin'!$A25,"/"))</f>
        <v>/</v>
      </c>
      <c r="X355" s="829" t="str">
        <f>IF(W355&lt;&gt;"/",VLOOKUP(W355,COSTS_Grand_Warden[#All],2),"/")</f>
        <v>/</v>
      </c>
      <c r="Y355" s="94" t="str">
        <f>IF(W355&lt;&gt;"/",VLOOKUP(W355,COSTS_Grand_Warden[#All],3),"/")</f>
        <v>/</v>
      </c>
      <c r="Z355" s="829">
        <f t="shared" si="138"/>
        <v>0</v>
      </c>
      <c r="AA355" s="534">
        <f t="shared" si="139"/>
        <v>0</v>
      </c>
    </row>
    <row r="356" spans="1:84" ht="15" customHeight="1">
      <c r="A356" s="996">
        <v>24</v>
      </c>
      <c r="B356" s="997" t="str">
        <f>IF(Paramètres!BE29=0,"",Paramètres!BE29)</f>
        <v/>
      </c>
      <c r="C356" s="810">
        <f t="shared" si="128"/>
        <v>0</v>
      </c>
      <c r="D356" s="586" t="str">
        <f t="shared" si="129"/>
        <v>/</v>
      </c>
      <c r="E356" s="108" t="str">
        <f>IF(G$331="Error","Error",IF(AND($E$331&lt;&gt;"/",$E$331&gt;'Paramètres - Admin'!$A25),'Paramètres - Admin'!$A26,"/"))</f>
        <v>/</v>
      </c>
      <c r="F356" s="124" t="str">
        <f>IF(E356&lt;&gt;"/",VLOOKUP(E356,COSTS_Barbarian_King[#All],2),"/")</f>
        <v>/</v>
      </c>
      <c r="G356" s="94" t="str">
        <f>IF(E356&lt;&gt;"/",VLOOKUP(E356,COSTS_Barbarian_King[#All],3),"/")</f>
        <v>/</v>
      </c>
      <c r="H356" s="124">
        <f t="shared" si="130"/>
        <v>0</v>
      </c>
      <c r="I356" s="534">
        <f t="shared" si="131"/>
        <v>0</v>
      </c>
      <c r="J356" s="996">
        <v>24</v>
      </c>
      <c r="K356" s="997" t="str">
        <f>IF(Paramètres!BF29=0,"",Paramètres!BF29)</f>
        <v/>
      </c>
      <c r="L356" s="810">
        <f t="shared" si="132"/>
        <v>0</v>
      </c>
      <c r="M356" s="586" t="str">
        <f t="shared" si="133"/>
        <v>/</v>
      </c>
      <c r="N356" s="108" t="str">
        <f>IF(P$331="Error","Error",IF(AND($N$331&lt;&gt;"/",$N$331&gt;'Paramètres - Admin'!$A25),'Paramètres - Admin'!$A26,"/"))</f>
        <v>/</v>
      </c>
      <c r="O356" s="124" t="str">
        <f>IF(N356&lt;&gt;"/",VLOOKUP(N356,COSTS_Archer_Queen[#All],2),"/")</f>
        <v>/</v>
      </c>
      <c r="P356" s="94" t="str">
        <f>IF(N356&lt;&gt;"/",VLOOKUP(N356,COSTS_Archer_Queen[#All],3),"/")</f>
        <v>/</v>
      </c>
      <c r="Q356" s="124">
        <f t="shared" si="134"/>
        <v>0</v>
      </c>
      <c r="R356" s="534">
        <f t="shared" si="135"/>
        <v>0</v>
      </c>
      <c r="S356" s="996">
        <v>24</v>
      </c>
      <c r="T356" s="997" t="str">
        <f>IF(Paramètres!BG29=0,"",Paramètres!BG29)</f>
        <v/>
      </c>
      <c r="U356" s="810">
        <f t="shared" si="136"/>
        <v>0</v>
      </c>
      <c r="V356" s="586" t="str">
        <f t="shared" si="137"/>
        <v>/</v>
      </c>
      <c r="W356" s="108" t="str">
        <f>IF(Y$331="Error","Error",IF(AND($W$331&lt;&gt;"/",$W$331&gt;'Paramètres - Admin'!$A25),'Paramètres - Admin'!$A26,"/"))</f>
        <v>/</v>
      </c>
      <c r="X356" s="829" t="str">
        <f>IF(W356&lt;&gt;"/",VLOOKUP(W356,COSTS_Grand_Warden[#All],2),"/")</f>
        <v>/</v>
      </c>
      <c r="Y356" s="94" t="str">
        <f>IF(W356&lt;&gt;"/",VLOOKUP(W356,COSTS_Grand_Warden[#All],3),"/")</f>
        <v>/</v>
      </c>
      <c r="Z356" s="829">
        <f t="shared" si="138"/>
        <v>0</v>
      </c>
      <c r="AA356" s="534">
        <f t="shared" si="139"/>
        <v>0</v>
      </c>
    </row>
    <row r="357" spans="1:84" ht="15" customHeight="1">
      <c r="A357" s="996">
        <v>25</v>
      </c>
      <c r="B357" s="997" t="str">
        <f>IF(Paramètres!BE30=0,"",Paramètres!BE30)</f>
        <v/>
      </c>
      <c r="C357" s="810">
        <f t="shared" si="128"/>
        <v>0</v>
      </c>
      <c r="D357" s="586" t="str">
        <f t="shared" si="129"/>
        <v>/</v>
      </c>
      <c r="E357" s="108" t="str">
        <f>IF(G$331="Error","Error",IF(AND($E$331&lt;&gt;"/",$E$331&gt;'Paramètres - Admin'!$A26),'Paramètres - Admin'!$A27,"/"))</f>
        <v>/</v>
      </c>
      <c r="F357" s="124" t="str">
        <f>IF(E357&lt;&gt;"/",VLOOKUP(E357,COSTS_Barbarian_King[#All],2),"/")</f>
        <v>/</v>
      </c>
      <c r="G357" s="94" t="str">
        <f>IF(E357&lt;&gt;"/",VLOOKUP(E357,COSTS_Barbarian_King[#All],3),"/")</f>
        <v>/</v>
      </c>
      <c r="H357" s="124">
        <f t="shared" si="130"/>
        <v>0</v>
      </c>
      <c r="I357" s="534">
        <f t="shared" si="131"/>
        <v>0</v>
      </c>
      <c r="J357" s="996">
        <v>25</v>
      </c>
      <c r="K357" s="997" t="str">
        <f>IF(Paramètres!BF30=0,"",Paramètres!BF30)</f>
        <v/>
      </c>
      <c r="L357" s="810">
        <f t="shared" si="132"/>
        <v>0</v>
      </c>
      <c r="M357" s="586" t="str">
        <f t="shared" si="133"/>
        <v>/</v>
      </c>
      <c r="N357" s="108" t="str">
        <f>IF(P$331="Error","Error",IF(AND($N$331&lt;&gt;"/",$N$331&gt;'Paramètres - Admin'!$A26),'Paramètres - Admin'!$A27,"/"))</f>
        <v>/</v>
      </c>
      <c r="O357" s="124" t="str">
        <f>IF(N357&lt;&gt;"/",VLOOKUP(N357,COSTS_Archer_Queen[#All],2),"/")</f>
        <v>/</v>
      </c>
      <c r="P357" s="94" t="str">
        <f>IF(N357&lt;&gt;"/",VLOOKUP(N357,COSTS_Archer_Queen[#All],3),"/")</f>
        <v>/</v>
      </c>
      <c r="Q357" s="124">
        <f t="shared" si="134"/>
        <v>0</v>
      </c>
      <c r="R357" s="534">
        <f t="shared" si="135"/>
        <v>0</v>
      </c>
      <c r="S357" s="996">
        <v>25</v>
      </c>
      <c r="T357" s="997" t="str">
        <f>IF(Paramètres!BG30=0,"",Paramètres!BG30)</f>
        <v/>
      </c>
      <c r="U357" s="810">
        <f t="shared" si="136"/>
        <v>0</v>
      </c>
      <c r="V357" s="586" t="str">
        <f t="shared" si="137"/>
        <v>/</v>
      </c>
      <c r="W357" s="108" t="str">
        <f>IF(Y$331="Error","Error",IF(AND($W$331&lt;&gt;"/",$W$331&gt;'Paramètres - Admin'!$A26),'Paramètres - Admin'!$A27,"/"))</f>
        <v>/</v>
      </c>
      <c r="X357" s="829" t="str">
        <f>IF(W357&lt;&gt;"/",VLOOKUP(W357,COSTS_Grand_Warden[#All],2),"/")</f>
        <v>/</v>
      </c>
      <c r="Y357" s="94" t="str">
        <f>IF(W357&lt;&gt;"/",VLOOKUP(W357,COSTS_Grand_Warden[#All],3),"/")</f>
        <v>/</v>
      </c>
      <c r="Z357" s="829">
        <f t="shared" si="138"/>
        <v>0</v>
      </c>
      <c r="AA357" s="534">
        <f t="shared" si="139"/>
        <v>0</v>
      </c>
    </row>
    <row r="358" spans="1:84" ht="15" customHeight="1">
      <c r="A358" s="996">
        <v>26</v>
      </c>
      <c r="B358" s="997" t="str">
        <f>IF(Paramètres!BE31=0,"",Paramètres!BE31)</f>
        <v/>
      </c>
      <c r="C358" s="810">
        <f t="shared" si="128"/>
        <v>0</v>
      </c>
      <c r="D358" s="586" t="str">
        <f t="shared" si="129"/>
        <v>/</v>
      </c>
      <c r="E358" s="108" t="str">
        <f>IF(G$331="Error","Error",IF(AND($E$331&lt;&gt;"/",$E$331&gt;'Paramètres - Admin'!$A27),'Paramètres - Admin'!$A28,"/"))</f>
        <v>/</v>
      </c>
      <c r="F358" s="124" t="str">
        <f>IF(E358&lt;&gt;"/",VLOOKUP(E358,COSTS_Barbarian_King[#All],2),"/")</f>
        <v>/</v>
      </c>
      <c r="G358" s="94" t="str">
        <f>IF(E358&lt;&gt;"/",VLOOKUP(E358,COSTS_Barbarian_King[#All],3),"/")</f>
        <v>/</v>
      </c>
      <c r="H358" s="124">
        <f t="shared" si="130"/>
        <v>0</v>
      </c>
      <c r="I358" s="534">
        <f t="shared" si="131"/>
        <v>0</v>
      </c>
      <c r="J358" s="996">
        <v>26</v>
      </c>
      <c r="K358" s="997" t="str">
        <f>IF(Paramètres!BF31=0,"",Paramètres!BF31)</f>
        <v/>
      </c>
      <c r="L358" s="810">
        <f t="shared" si="132"/>
        <v>0</v>
      </c>
      <c r="M358" s="586" t="str">
        <f t="shared" si="133"/>
        <v>/</v>
      </c>
      <c r="N358" s="108" t="str">
        <f>IF(P$331="Error","Error",IF(AND($N$331&lt;&gt;"/",$N$331&gt;'Paramètres - Admin'!$A27),'Paramètres - Admin'!$A28,"/"))</f>
        <v>/</v>
      </c>
      <c r="O358" s="124" t="str">
        <f>IF(N358&lt;&gt;"/",VLOOKUP(N358,COSTS_Archer_Queen[#All],2),"/")</f>
        <v>/</v>
      </c>
      <c r="P358" s="94" t="str">
        <f>IF(N358&lt;&gt;"/",VLOOKUP(N358,COSTS_Archer_Queen[#All],3),"/")</f>
        <v>/</v>
      </c>
      <c r="Q358" s="124">
        <f t="shared" si="134"/>
        <v>0</v>
      </c>
      <c r="R358" s="534">
        <f t="shared" si="135"/>
        <v>0</v>
      </c>
      <c r="S358" s="996">
        <v>26</v>
      </c>
      <c r="T358" s="997" t="str">
        <f>IF(Paramètres!BG31=0,"",Paramètres!BG31)</f>
        <v/>
      </c>
      <c r="U358" s="810">
        <f t="shared" si="136"/>
        <v>0</v>
      </c>
      <c r="V358" s="586" t="str">
        <f t="shared" si="137"/>
        <v>/</v>
      </c>
      <c r="W358" s="108" t="str">
        <f>IF(Y$331="Error","Error",IF(AND($W$331&lt;&gt;"/",$W$331&gt;'Paramètres - Admin'!$A27),'Paramètres - Admin'!$A28,"/"))</f>
        <v>/</v>
      </c>
      <c r="X358" s="829" t="str">
        <f>IF(W358&lt;&gt;"/",VLOOKUP(W358,COSTS_Grand_Warden[#All],2),"/")</f>
        <v>/</v>
      </c>
      <c r="Y358" s="94" t="str">
        <f>IF(W358&lt;&gt;"/",VLOOKUP(W358,COSTS_Grand_Warden[#All],3),"/")</f>
        <v>/</v>
      </c>
      <c r="Z358" s="829">
        <f t="shared" si="138"/>
        <v>0</v>
      </c>
      <c r="AA358" s="534">
        <f t="shared" si="139"/>
        <v>0</v>
      </c>
    </row>
    <row r="359" spans="1:84" ht="15" customHeight="1">
      <c r="A359" s="996">
        <v>27</v>
      </c>
      <c r="B359" s="997" t="str">
        <f>IF(Paramètres!BE32=0,"",Paramètres!BE32)</f>
        <v/>
      </c>
      <c r="C359" s="810">
        <f t="shared" si="128"/>
        <v>0</v>
      </c>
      <c r="D359" s="586" t="str">
        <f t="shared" si="129"/>
        <v>/</v>
      </c>
      <c r="E359" s="108" t="str">
        <f>IF(G$331="Error","Error",IF(AND($E$331&lt;&gt;"/",$E$331&gt;'Paramètres - Admin'!$A28),'Paramètres - Admin'!$A29,"/"))</f>
        <v>/</v>
      </c>
      <c r="F359" s="124" t="str">
        <f>IF(E359&lt;&gt;"/",VLOOKUP(E359,COSTS_Barbarian_King[#All],2),"/")</f>
        <v>/</v>
      </c>
      <c r="G359" s="94" t="str">
        <f>IF(E359&lt;&gt;"/",VLOOKUP(E359,COSTS_Barbarian_King[#All],3),"/")</f>
        <v>/</v>
      </c>
      <c r="H359" s="124">
        <f t="shared" si="130"/>
        <v>0</v>
      </c>
      <c r="I359" s="534">
        <f t="shared" si="131"/>
        <v>0</v>
      </c>
      <c r="J359" s="996">
        <v>27</v>
      </c>
      <c r="K359" s="997" t="str">
        <f>IF(Paramètres!BF32=0,"",Paramètres!BF32)</f>
        <v/>
      </c>
      <c r="L359" s="810">
        <f t="shared" si="132"/>
        <v>0</v>
      </c>
      <c r="M359" s="586" t="str">
        <f t="shared" si="133"/>
        <v>/</v>
      </c>
      <c r="N359" s="108" t="str">
        <f>IF(P$331="Error","Error",IF(AND($N$331&lt;&gt;"/",$N$331&gt;'Paramètres - Admin'!$A28),'Paramètres - Admin'!$A29,"/"))</f>
        <v>/</v>
      </c>
      <c r="O359" s="124" t="str">
        <f>IF(N359&lt;&gt;"/",VLOOKUP(N359,COSTS_Archer_Queen[#All],2),"/")</f>
        <v>/</v>
      </c>
      <c r="P359" s="94" t="str">
        <f>IF(N359&lt;&gt;"/",VLOOKUP(N359,COSTS_Archer_Queen[#All],3),"/")</f>
        <v>/</v>
      </c>
      <c r="Q359" s="124">
        <f t="shared" si="134"/>
        <v>0</v>
      </c>
      <c r="R359" s="534">
        <f t="shared" si="135"/>
        <v>0</v>
      </c>
      <c r="S359" s="996">
        <v>27</v>
      </c>
      <c r="T359" s="997" t="str">
        <f>IF(Paramètres!BG32=0,"",Paramètres!BG32)</f>
        <v/>
      </c>
      <c r="U359" s="810">
        <f t="shared" si="136"/>
        <v>0</v>
      </c>
      <c r="V359" s="586" t="str">
        <f t="shared" si="137"/>
        <v>/</v>
      </c>
      <c r="W359" s="108" t="str">
        <f>IF(Y$331="Error","Error",IF(AND($W$331&lt;&gt;"/",$W$331&gt;'Paramètres - Admin'!$A28),'Paramètres - Admin'!$A29,"/"))</f>
        <v>/</v>
      </c>
      <c r="X359" s="829" t="str">
        <f>IF(W359&lt;&gt;"/",VLOOKUP(W359,COSTS_Grand_Warden[#All],2),"/")</f>
        <v>/</v>
      </c>
      <c r="Y359" s="94" t="str">
        <f>IF(W359&lt;&gt;"/",VLOOKUP(W359,COSTS_Grand_Warden[#All],3),"/")</f>
        <v>/</v>
      </c>
      <c r="Z359" s="829">
        <f t="shared" si="138"/>
        <v>0</v>
      </c>
      <c r="AA359" s="534">
        <f t="shared" si="139"/>
        <v>0</v>
      </c>
    </row>
    <row r="360" spans="1:84" ht="15" customHeight="1">
      <c r="A360" s="996">
        <v>28</v>
      </c>
      <c r="B360" s="997" t="str">
        <f>IF(Paramètres!BE33=0,"",Paramètres!BE33)</f>
        <v/>
      </c>
      <c r="C360" s="810">
        <f t="shared" si="128"/>
        <v>0</v>
      </c>
      <c r="D360" s="586" t="str">
        <f t="shared" si="129"/>
        <v>/</v>
      </c>
      <c r="E360" s="108" t="str">
        <f>IF(G$331="Error","Error",IF(AND($E$331&lt;&gt;"/",$E$331&gt;'Paramètres - Admin'!$A29),'Paramètres - Admin'!$A30,"/"))</f>
        <v>/</v>
      </c>
      <c r="F360" s="124" t="str">
        <f>IF(E360&lt;&gt;"/",VLOOKUP(E360,COSTS_Barbarian_King[#All],2),"/")</f>
        <v>/</v>
      </c>
      <c r="G360" s="94" t="str">
        <f>IF(E360&lt;&gt;"/",VLOOKUP(E360,COSTS_Barbarian_King[#All],3),"/")</f>
        <v>/</v>
      </c>
      <c r="H360" s="124">
        <f t="shared" si="130"/>
        <v>0</v>
      </c>
      <c r="I360" s="534">
        <f t="shared" si="131"/>
        <v>0</v>
      </c>
      <c r="J360" s="996">
        <v>28</v>
      </c>
      <c r="K360" s="997" t="str">
        <f>IF(Paramètres!BF33=0,"",Paramètres!BF33)</f>
        <v/>
      </c>
      <c r="L360" s="810">
        <f t="shared" si="132"/>
        <v>0</v>
      </c>
      <c r="M360" s="586" t="str">
        <f t="shared" si="133"/>
        <v>/</v>
      </c>
      <c r="N360" s="108" t="str">
        <f>IF(P$331="Error","Error",IF(AND($N$331&lt;&gt;"/",$N$331&gt;'Paramètres - Admin'!$A29),'Paramètres - Admin'!$A30,"/"))</f>
        <v>/</v>
      </c>
      <c r="O360" s="124" t="str">
        <f>IF(N360&lt;&gt;"/",VLOOKUP(N360,COSTS_Archer_Queen[#All],2),"/")</f>
        <v>/</v>
      </c>
      <c r="P360" s="94" t="str">
        <f>IF(N360&lt;&gt;"/",VLOOKUP(N360,COSTS_Archer_Queen[#All],3),"/")</f>
        <v>/</v>
      </c>
      <c r="Q360" s="124">
        <f t="shared" si="134"/>
        <v>0</v>
      </c>
      <c r="R360" s="534">
        <f t="shared" si="135"/>
        <v>0</v>
      </c>
      <c r="S360" s="996">
        <v>28</v>
      </c>
      <c r="T360" s="997" t="str">
        <f>IF(Paramètres!BG33=0,"",Paramètres!BG33)</f>
        <v/>
      </c>
      <c r="U360" s="810">
        <f t="shared" si="136"/>
        <v>0</v>
      </c>
      <c r="V360" s="586" t="str">
        <f t="shared" si="137"/>
        <v>/</v>
      </c>
      <c r="W360" s="108" t="str">
        <f>IF(Y$331="Error","Error",IF(AND($W$331&lt;&gt;"/",$W$331&gt;'Paramètres - Admin'!$A29),'Paramètres - Admin'!$A30,"/"))</f>
        <v>/</v>
      </c>
      <c r="X360" s="829" t="str">
        <f>IF(W360&lt;&gt;"/",VLOOKUP(W360,COSTS_Grand_Warden[#All],2),"/")</f>
        <v>/</v>
      </c>
      <c r="Y360" s="94" t="str">
        <f>IF(W360&lt;&gt;"/",VLOOKUP(W360,COSTS_Grand_Warden[#All],3),"/")</f>
        <v>/</v>
      </c>
      <c r="Z360" s="829">
        <f t="shared" si="138"/>
        <v>0</v>
      </c>
      <c r="AA360" s="534">
        <f t="shared" si="139"/>
        <v>0</v>
      </c>
    </row>
    <row r="361" spans="1:84" ht="15" customHeight="1">
      <c r="A361" s="996">
        <v>29</v>
      </c>
      <c r="B361" s="997" t="str">
        <f>IF(Paramètres!BE34=0,"",Paramètres!BE34)</f>
        <v/>
      </c>
      <c r="C361" s="810">
        <f t="shared" si="128"/>
        <v>0</v>
      </c>
      <c r="D361" s="586" t="str">
        <f t="shared" si="129"/>
        <v>/</v>
      </c>
      <c r="E361" s="108" t="str">
        <f>IF(G$331="Error","Error",IF(AND($E$331&lt;&gt;"/",$E$331&gt;'Paramètres - Admin'!$A30),'Paramètres - Admin'!$A31,"/"))</f>
        <v>/</v>
      </c>
      <c r="F361" s="124" t="str">
        <f>IF(E361&lt;&gt;"/",VLOOKUP(E361,COSTS_Barbarian_King[#All],2),"/")</f>
        <v>/</v>
      </c>
      <c r="G361" s="94" t="str">
        <f>IF(E361&lt;&gt;"/",VLOOKUP(E361,COSTS_Barbarian_King[#All],3),"/")</f>
        <v>/</v>
      </c>
      <c r="H361" s="124">
        <f t="shared" si="130"/>
        <v>0</v>
      </c>
      <c r="I361" s="534">
        <f t="shared" si="131"/>
        <v>0</v>
      </c>
      <c r="J361" s="996">
        <v>29</v>
      </c>
      <c r="K361" s="997" t="str">
        <f>IF(Paramètres!BF34=0,"",Paramètres!BF34)</f>
        <v/>
      </c>
      <c r="L361" s="810">
        <f t="shared" si="132"/>
        <v>0</v>
      </c>
      <c r="M361" s="586" t="str">
        <f t="shared" si="133"/>
        <v>/</v>
      </c>
      <c r="N361" s="108" t="str">
        <f>IF(P$331="Error","Error",IF(AND($N$331&lt;&gt;"/",$N$331&gt;'Paramètres - Admin'!$A30),'Paramètres - Admin'!$A31,"/"))</f>
        <v>/</v>
      </c>
      <c r="O361" s="124" t="str">
        <f>IF(N361&lt;&gt;"/",VLOOKUP(N361,COSTS_Archer_Queen[#All],2),"/")</f>
        <v>/</v>
      </c>
      <c r="P361" s="94" t="str">
        <f>IF(N361&lt;&gt;"/",VLOOKUP(N361,COSTS_Archer_Queen[#All],3),"/")</f>
        <v>/</v>
      </c>
      <c r="Q361" s="124">
        <f t="shared" si="134"/>
        <v>0</v>
      </c>
      <c r="R361" s="534">
        <f t="shared" si="135"/>
        <v>0</v>
      </c>
      <c r="S361" s="996">
        <v>29</v>
      </c>
      <c r="T361" s="997" t="str">
        <f>IF(Paramètres!BG34=0,"",Paramètres!BG34)</f>
        <v/>
      </c>
      <c r="U361" s="810">
        <f t="shared" si="136"/>
        <v>0</v>
      </c>
      <c r="V361" s="586" t="str">
        <f t="shared" si="137"/>
        <v>/</v>
      </c>
      <c r="W361" s="108" t="str">
        <f>IF(Y$331="Error","Error",IF(AND($W$331&lt;&gt;"/",$W$331&gt;'Paramètres - Admin'!$A30),'Paramètres - Admin'!$A31,"/"))</f>
        <v>/</v>
      </c>
      <c r="X361" s="829" t="str">
        <f>IF(W361&lt;&gt;"/",VLOOKUP(W361,COSTS_Grand_Warden[#All],2),"/")</f>
        <v>/</v>
      </c>
      <c r="Y361" s="94" t="str">
        <f>IF(W361&lt;&gt;"/",VLOOKUP(W361,COSTS_Grand_Warden[#All],3),"/")</f>
        <v>/</v>
      </c>
      <c r="Z361" s="829">
        <f t="shared" si="138"/>
        <v>0</v>
      </c>
      <c r="AA361" s="534">
        <f t="shared" si="139"/>
        <v>0</v>
      </c>
    </row>
    <row r="362" spans="1:84" ht="15" customHeight="1">
      <c r="A362" s="996">
        <v>30</v>
      </c>
      <c r="B362" s="997" t="str">
        <f>IF(Paramètres!BE35=0,"",Paramètres!BE35)</f>
        <v/>
      </c>
      <c r="C362" s="810">
        <f t="shared" si="128"/>
        <v>0</v>
      </c>
      <c r="D362" s="586" t="str">
        <f t="shared" si="129"/>
        <v>/</v>
      </c>
      <c r="E362" s="108" t="str">
        <f>IF(G$331="Error","Error",IF(AND($E$331&lt;&gt;"/",$E$331&gt;'Paramètres - Admin'!$A31),'Paramètres - Admin'!$A32,"/"))</f>
        <v>/</v>
      </c>
      <c r="F362" s="124" t="str">
        <f>IF(E362&lt;&gt;"/",VLOOKUP(E362,COSTS_Barbarian_King[#All],2),"/")</f>
        <v>/</v>
      </c>
      <c r="G362" s="94" t="str">
        <f>IF(E362&lt;&gt;"/",VLOOKUP(E362,COSTS_Barbarian_King[#All],3),"/")</f>
        <v>/</v>
      </c>
      <c r="H362" s="124">
        <f t="shared" si="130"/>
        <v>0</v>
      </c>
      <c r="I362" s="534">
        <f t="shared" si="131"/>
        <v>0</v>
      </c>
      <c r="J362" s="996">
        <v>30</v>
      </c>
      <c r="K362" s="997" t="str">
        <f>IF(Paramètres!BF35=0,"",Paramètres!BF35)</f>
        <v/>
      </c>
      <c r="L362" s="810">
        <f t="shared" si="132"/>
        <v>0</v>
      </c>
      <c r="M362" s="586" t="str">
        <f t="shared" si="133"/>
        <v>/</v>
      </c>
      <c r="N362" s="108" t="str">
        <f>IF(P$331="Error","Error",IF(AND($N$331&lt;&gt;"/",$N$331&gt;'Paramètres - Admin'!$A31),'Paramètres - Admin'!$A32,"/"))</f>
        <v>/</v>
      </c>
      <c r="O362" s="124" t="str">
        <f>IF(N362&lt;&gt;"/",VLOOKUP(N362,COSTS_Archer_Queen[#All],2),"/")</f>
        <v>/</v>
      </c>
      <c r="P362" s="94" t="str">
        <f>IF(N362&lt;&gt;"/",VLOOKUP(N362,COSTS_Archer_Queen[#All],3),"/")</f>
        <v>/</v>
      </c>
      <c r="Q362" s="124">
        <f t="shared" si="134"/>
        <v>0</v>
      </c>
      <c r="R362" s="534">
        <f t="shared" si="135"/>
        <v>0</v>
      </c>
      <c r="S362" s="996">
        <v>30</v>
      </c>
      <c r="T362" s="997" t="str">
        <f>IF(Paramètres!BG35=0,"",Paramètres!BG35)</f>
        <v/>
      </c>
      <c r="U362" s="810">
        <f t="shared" si="136"/>
        <v>0</v>
      </c>
      <c r="V362" s="586" t="str">
        <f t="shared" si="137"/>
        <v>/</v>
      </c>
      <c r="W362" s="108" t="str">
        <f>IF(Y$331="Error","Error",IF(AND($W$331&lt;&gt;"/",$W$331&gt;'Paramètres - Admin'!$A31),'Paramètres - Admin'!$A32,"/"))</f>
        <v>/</v>
      </c>
      <c r="X362" s="829" t="str">
        <f>IF(W362&lt;&gt;"/",VLOOKUP(W362,COSTS_Grand_Warden[#All],2),"/")</f>
        <v>/</v>
      </c>
      <c r="Y362" s="94" t="str">
        <f>IF(W362&lt;&gt;"/",VLOOKUP(W362,COSTS_Grand_Warden[#All],3),"/")</f>
        <v>/</v>
      </c>
      <c r="Z362" s="829">
        <f t="shared" si="138"/>
        <v>0</v>
      </c>
      <c r="AA362" s="534">
        <f t="shared" si="139"/>
        <v>0</v>
      </c>
    </row>
    <row r="363" spans="1:84" ht="15" customHeight="1">
      <c r="A363" s="996">
        <v>31</v>
      </c>
      <c r="B363" s="997" t="str">
        <f>IF(Paramètres!BE36=0,"",Paramètres!BE36)</f>
        <v/>
      </c>
      <c r="C363" s="810">
        <f t="shared" si="128"/>
        <v>0</v>
      </c>
      <c r="D363" s="586" t="str">
        <f t="shared" si="129"/>
        <v>/</v>
      </c>
      <c r="E363" s="108" t="str">
        <f>IF(G$331="Error","Error",IF(AND($E$331&lt;&gt;"/",$E$331&gt;'Paramètres - Admin'!$A32),'Paramètres - Admin'!$A33,"/"))</f>
        <v>/</v>
      </c>
      <c r="F363" s="124" t="str">
        <f>IF(E363&lt;&gt;"/",VLOOKUP(E363,COSTS_Barbarian_King[#All],2),"/")</f>
        <v>/</v>
      </c>
      <c r="G363" s="94" t="str">
        <f>IF(E363&lt;&gt;"/",VLOOKUP(E363,COSTS_Barbarian_King[#All],3),"/")</f>
        <v>/</v>
      </c>
      <c r="H363" s="124">
        <f t="shared" si="130"/>
        <v>0</v>
      </c>
      <c r="I363" s="534">
        <f t="shared" si="131"/>
        <v>0</v>
      </c>
      <c r="J363" s="996">
        <v>31</v>
      </c>
      <c r="K363" s="997" t="str">
        <f>IF(Paramètres!BF36=0,"",Paramètres!BF36)</f>
        <v/>
      </c>
      <c r="L363" s="810">
        <f t="shared" si="132"/>
        <v>0</v>
      </c>
      <c r="M363" s="586" t="str">
        <f t="shared" si="133"/>
        <v>/</v>
      </c>
      <c r="N363" s="108" t="str">
        <f>IF(P$331="Error","Error",IF(AND($N$331&lt;&gt;"/",$N$331&gt;'Paramètres - Admin'!$A32),'Paramètres - Admin'!$A33,"/"))</f>
        <v>/</v>
      </c>
      <c r="O363" s="124" t="str">
        <f>IF(N363&lt;&gt;"/",VLOOKUP(N363,COSTS_Archer_Queen[#All],2),"/")</f>
        <v>/</v>
      </c>
      <c r="P363" s="94" t="str">
        <f>IF(N363&lt;&gt;"/",VLOOKUP(N363,COSTS_Archer_Queen[#All],3),"/")</f>
        <v>/</v>
      </c>
      <c r="Q363" s="124">
        <f t="shared" si="134"/>
        <v>0</v>
      </c>
      <c r="R363" s="534">
        <f t="shared" si="135"/>
        <v>0</v>
      </c>
      <c r="S363" s="996">
        <v>31</v>
      </c>
      <c r="T363" s="997" t="str">
        <f>IF(Paramètres!BG36=0,"",Paramètres!BG36)</f>
        <v/>
      </c>
      <c r="U363" s="810">
        <f t="shared" si="136"/>
        <v>0</v>
      </c>
      <c r="V363" s="586" t="str">
        <f t="shared" si="137"/>
        <v>/</v>
      </c>
      <c r="W363" s="108" t="str">
        <f>IF(Y$331="Error","Error",IF(AND($W$331&lt;&gt;"/",$W$331&gt;'Paramètres - Admin'!$A32),'Paramètres - Admin'!$A33,"/"))</f>
        <v>/</v>
      </c>
      <c r="X363" s="829" t="str">
        <f>IF(W363&lt;&gt;"/",VLOOKUP(W363,COSTS_Grand_Warden[#All],2),"/")</f>
        <v>/</v>
      </c>
      <c r="Y363" s="94" t="str">
        <f>IF(W363&lt;&gt;"/",VLOOKUP(W363,COSTS_Grand_Warden[#All],3),"/")</f>
        <v>/</v>
      </c>
      <c r="Z363" s="829">
        <f t="shared" si="138"/>
        <v>0</v>
      </c>
      <c r="AA363" s="534">
        <f t="shared" si="139"/>
        <v>0</v>
      </c>
    </row>
    <row r="364" spans="1:84" ht="15" customHeight="1">
      <c r="A364" s="996">
        <v>32</v>
      </c>
      <c r="B364" s="997" t="str">
        <f>IF(Paramètres!BE37=0,"",Paramètres!BE37)</f>
        <v/>
      </c>
      <c r="C364" s="810">
        <f t="shared" si="128"/>
        <v>0</v>
      </c>
      <c r="D364" s="586" t="str">
        <f t="shared" si="129"/>
        <v>/</v>
      </c>
      <c r="E364" s="108" t="str">
        <f>IF(G$331="Error","Error",IF(AND($E$331&lt;&gt;"/",$E$331&gt;'Paramètres - Admin'!$A33),'Paramètres - Admin'!$A34,"/"))</f>
        <v>/</v>
      </c>
      <c r="F364" s="124" t="str">
        <f>IF(E364&lt;&gt;"/",VLOOKUP(E364,COSTS_Barbarian_King[#All],2),"/")</f>
        <v>/</v>
      </c>
      <c r="G364" s="94" t="str">
        <f>IF(E364&lt;&gt;"/",VLOOKUP(E364,COSTS_Barbarian_King[#All],3),"/")</f>
        <v>/</v>
      </c>
      <c r="H364" s="124">
        <f t="shared" si="130"/>
        <v>0</v>
      </c>
      <c r="I364" s="534">
        <f t="shared" si="131"/>
        <v>0</v>
      </c>
      <c r="J364" s="996">
        <v>32</v>
      </c>
      <c r="K364" s="997" t="str">
        <f>IF(Paramètres!BF37=0,"",Paramètres!BF37)</f>
        <v/>
      </c>
      <c r="L364" s="810">
        <f t="shared" si="132"/>
        <v>0</v>
      </c>
      <c r="M364" s="586" t="str">
        <f t="shared" si="133"/>
        <v>/</v>
      </c>
      <c r="N364" s="108" t="str">
        <f>IF(P$331="Error","Error",IF(AND($N$331&lt;&gt;"/",$N$331&gt;'Paramètres - Admin'!$A33),'Paramètres - Admin'!$A34,"/"))</f>
        <v>/</v>
      </c>
      <c r="O364" s="124" t="str">
        <f>IF(N364&lt;&gt;"/",VLOOKUP(N364,COSTS_Archer_Queen[#All],2),"/")</f>
        <v>/</v>
      </c>
      <c r="P364" s="94" t="str">
        <f>IF(N364&lt;&gt;"/",VLOOKUP(N364,COSTS_Archer_Queen[#All],3),"/")</f>
        <v>/</v>
      </c>
      <c r="Q364" s="124">
        <f t="shared" si="134"/>
        <v>0</v>
      </c>
      <c r="R364" s="534">
        <f t="shared" si="135"/>
        <v>0</v>
      </c>
      <c r="S364" s="996">
        <v>32</v>
      </c>
      <c r="T364" s="997" t="str">
        <f>IF(Paramètres!BG37=0,"",Paramètres!BG37)</f>
        <v/>
      </c>
      <c r="U364" s="810">
        <f t="shared" si="136"/>
        <v>0</v>
      </c>
      <c r="V364" s="586" t="str">
        <f t="shared" si="137"/>
        <v>/</v>
      </c>
      <c r="W364" s="108" t="str">
        <f>IF(Y$331="Error","Error",IF(AND($W$331&lt;&gt;"/",$W$331&gt;'Paramètres - Admin'!$A33),'Paramètres - Admin'!$A34,"/"))</f>
        <v>/</v>
      </c>
      <c r="X364" s="829" t="str">
        <f>IF(W364&lt;&gt;"/",VLOOKUP(W364,COSTS_Grand_Warden[#All],2),"/")</f>
        <v>/</v>
      </c>
      <c r="Y364" s="94" t="str">
        <f>IF(W364&lt;&gt;"/",VLOOKUP(W364,COSTS_Grand_Warden[#All],3),"/")</f>
        <v>/</v>
      </c>
      <c r="Z364" s="829">
        <f t="shared" si="138"/>
        <v>0</v>
      </c>
      <c r="AA364" s="534">
        <f t="shared" si="139"/>
        <v>0</v>
      </c>
    </row>
    <row r="365" spans="1:84" ht="15" customHeight="1">
      <c r="A365" s="996">
        <v>33</v>
      </c>
      <c r="B365" s="997" t="str">
        <f>IF(Paramètres!BE38=0,"",Paramètres!BE38)</f>
        <v/>
      </c>
      <c r="C365" s="810">
        <f t="shared" si="128"/>
        <v>0</v>
      </c>
      <c r="D365" s="586" t="str">
        <f t="shared" si="129"/>
        <v>/</v>
      </c>
      <c r="E365" s="108" t="str">
        <f>IF(G$331="Error","Error",IF(AND($E$331&lt;&gt;"/",$E$331&gt;'Paramètres - Admin'!$A34),'Paramètres - Admin'!$A35,"/"))</f>
        <v>/</v>
      </c>
      <c r="F365" s="124" t="str">
        <f>IF(E365&lt;&gt;"/",VLOOKUP(E365,COSTS_Barbarian_King[#All],2),"/")</f>
        <v>/</v>
      </c>
      <c r="G365" s="94" t="str">
        <f>IF(E365&lt;&gt;"/",VLOOKUP(E365,COSTS_Barbarian_King[#All],3),"/")</f>
        <v>/</v>
      </c>
      <c r="H365" s="124">
        <f t="shared" si="130"/>
        <v>0</v>
      </c>
      <c r="I365" s="534">
        <f t="shared" si="131"/>
        <v>0</v>
      </c>
      <c r="J365" s="996">
        <v>33</v>
      </c>
      <c r="K365" s="997" t="str">
        <f>IF(Paramètres!BF38=0,"",Paramètres!BF38)</f>
        <v/>
      </c>
      <c r="L365" s="810">
        <f t="shared" si="132"/>
        <v>0</v>
      </c>
      <c r="M365" s="586" t="str">
        <f t="shared" si="133"/>
        <v>/</v>
      </c>
      <c r="N365" s="108" t="str">
        <f>IF(P$331="Error","Error",IF(AND($N$331&lt;&gt;"/",$N$331&gt;'Paramètres - Admin'!$A34),'Paramètres - Admin'!$A35,"/"))</f>
        <v>/</v>
      </c>
      <c r="O365" s="124" t="str">
        <f>IF(N365&lt;&gt;"/",VLOOKUP(N365,COSTS_Archer_Queen[#All],2),"/")</f>
        <v>/</v>
      </c>
      <c r="P365" s="94" t="str">
        <f>IF(N365&lt;&gt;"/",VLOOKUP(N365,COSTS_Archer_Queen[#All],3),"/")</f>
        <v>/</v>
      </c>
      <c r="Q365" s="124">
        <f t="shared" si="134"/>
        <v>0</v>
      </c>
      <c r="R365" s="534">
        <f t="shared" si="135"/>
        <v>0</v>
      </c>
      <c r="S365" s="996">
        <v>33</v>
      </c>
      <c r="T365" s="997" t="str">
        <f>IF(Paramètres!BG38=0,"",Paramètres!BG38)</f>
        <v/>
      </c>
      <c r="U365" s="810">
        <f t="shared" si="136"/>
        <v>0</v>
      </c>
      <c r="V365" s="586" t="str">
        <f t="shared" si="137"/>
        <v>/</v>
      </c>
      <c r="W365" s="108" t="str">
        <f>IF(Y$331="Error","Error",IF(AND($W$331&lt;&gt;"/",$W$331&gt;'Paramètres - Admin'!$A34),'Paramètres - Admin'!$A35,"/"))</f>
        <v>/</v>
      </c>
      <c r="X365" s="829" t="str">
        <f>IF(W365&lt;&gt;"/",VLOOKUP(W365,COSTS_Grand_Warden[#All],2),"/")</f>
        <v>/</v>
      </c>
      <c r="Y365" s="94" t="str">
        <f>IF(W365&lt;&gt;"/",VLOOKUP(W365,COSTS_Grand_Warden[#All],3),"/")</f>
        <v>/</v>
      </c>
      <c r="Z365" s="829">
        <f t="shared" si="138"/>
        <v>0</v>
      </c>
      <c r="AA365" s="534">
        <f t="shared" si="139"/>
        <v>0</v>
      </c>
      <c r="BV365" s="537"/>
      <c r="BW365" s="537"/>
      <c r="BX365" s="537"/>
      <c r="BY365" s="537"/>
      <c r="BZ365" s="537"/>
      <c r="CA365" s="537"/>
      <c r="CB365" s="537"/>
      <c r="CC365" s="537"/>
      <c r="CD365" s="537"/>
      <c r="CE365" s="537"/>
      <c r="CF365" s="537"/>
    </row>
    <row r="366" spans="1:84" ht="15" customHeight="1">
      <c r="A366" s="996">
        <v>34</v>
      </c>
      <c r="B366" s="997" t="str">
        <f>IF(Paramètres!BE39=0,"",Paramètres!BE39)</f>
        <v/>
      </c>
      <c r="C366" s="810">
        <f t="shared" si="128"/>
        <v>0</v>
      </c>
      <c r="D366" s="586" t="str">
        <f t="shared" si="129"/>
        <v>/</v>
      </c>
      <c r="E366" s="108" t="str">
        <f>IF(G$331="Error","Error",IF(AND($E$331&lt;&gt;"/",$E$331&gt;'Paramètres - Admin'!$A35),'Paramètres - Admin'!$A36,"/"))</f>
        <v>/</v>
      </c>
      <c r="F366" s="124" t="str">
        <f>IF(E366&lt;&gt;"/",VLOOKUP(E366,COSTS_Barbarian_King[#All],2),"/")</f>
        <v>/</v>
      </c>
      <c r="G366" s="94" t="str">
        <f>IF(E366&lt;&gt;"/",VLOOKUP(E366,COSTS_Barbarian_King[#All],3),"/")</f>
        <v>/</v>
      </c>
      <c r="H366" s="124">
        <f t="shared" si="130"/>
        <v>0</v>
      </c>
      <c r="I366" s="534">
        <f t="shared" si="131"/>
        <v>0</v>
      </c>
      <c r="J366" s="996">
        <v>34</v>
      </c>
      <c r="K366" s="997" t="str">
        <f>IF(Paramètres!BF39=0,"",Paramètres!BF39)</f>
        <v/>
      </c>
      <c r="L366" s="810">
        <f t="shared" si="132"/>
        <v>0</v>
      </c>
      <c r="M366" s="586" t="str">
        <f t="shared" si="133"/>
        <v>/</v>
      </c>
      <c r="N366" s="108" t="str">
        <f>IF(P$331="Error","Error",IF(AND($N$331&lt;&gt;"/",$N$331&gt;'Paramètres - Admin'!$A35),'Paramètres - Admin'!$A36,"/"))</f>
        <v>/</v>
      </c>
      <c r="O366" s="124" t="str">
        <f>IF(N366&lt;&gt;"/",VLOOKUP(N366,COSTS_Archer_Queen[#All],2),"/")</f>
        <v>/</v>
      </c>
      <c r="P366" s="94" t="str">
        <f>IF(N366&lt;&gt;"/",VLOOKUP(N366,COSTS_Archer_Queen[#All],3),"/")</f>
        <v>/</v>
      </c>
      <c r="Q366" s="124">
        <f t="shared" si="134"/>
        <v>0</v>
      </c>
      <c r="R366" s="534">
        <f t="shared" si="135"/>
        <v>0</v>
      </c>
      <c r="S366" s="996">
        <v>34</v>
      </c>
      <c r="T366" s="997" t="str">
        <f>IF(Paramètres!BG39=0,"",Paramètres!BG39)</f>
        <v/>
      </c>
      <c r="U366" s="810">
        <f t="shared" si="136"/>
        <v>0</v>
      </c>
      <c r="V366" s="586" t="str">
        <f t="shared" si="137"/>
        <v>/</v>
      </c>
      <c r="W366" s="108" t="str">
        <f>IF(Y$331="Error","Error",IF(AND($W$331&lt;&gt;"/",$W$331&gt;'Paramètres - Admin'!$A35),'Paramètres - Admin'!$A36,"/"))</f>
        <v>/</v>
      </c>
      <c r="X366" s="829" t="str">
        <f>IF(W366&lt;&gt;"/",VLOOKUP(W366,COSTS_Grand_Warden[#All],2),"/")</f>
        <v>/</v>
      </c>
      <c r="Y366" s="94" t="str">
        <f>IF(W366&lt;&gt;"/",VLOOKUP(W366,COSTS_Grand_Warden[#All],3),"/")</f>
        <v>/</v>
      </c>
      <c r="Z366" s="829">
        <f t="shared" si="138"/>
        <v>0</v>
      </c>
      <c r="AA366" s="534">
        <f t="shared" si="139"/>
        <v>0</v>
      </c>
      <c r="BV366" s="537"/>
      <c r="BW366" s="537"/>
      <c r="BX366" s="537"/>
      <c r="BY366" s="537"/>
      <c r="BZ366" s="537"/>
      <c r="CA366" s="537"/>
      <c r="CB366" s="537"/>
      <c r="CC366" s="537"/>
      <c r="CD366" s="537"/>
      <c r="CE366" s="537"/>
      <c r="CF366" s="537"/>
    </row>
    <row r="367" spans="1:84" ht="15" customHeight="1">
      <c r="A367" s="996">
        <v>35</v>
      </c>
      <c r="B367" s="997" t="str">
        <f>IF(Paramètres!BE40=0,"",Paramètres!BE40)</f>
        <v/>
      </c>
      <c r="C367" s="810">
        <f t="shared" si="128"/>
        <v>0</v>
      </c>
      <c r="D367" s="586" t="str">
        <f t="shared" si="129"/>
        <v>/</v>
      </c>
      <c r="E367" s="108" t="str">
        <f>IF(G$331="Error","Error",IF(AND($E$331&lt;&gt;"/",$E$331&gt;'Paramètres - Admin'!$A36),'Paramètres - Admin'!$A37,"/"))</f>
        <v>/</v>
      </c>
      <c r="F367" s="124" t="str">
        <f>IF(E367&lt;&gt;"/",VLOOKUP(E367,COSTS_Barbarian_King[#All],2),"/")</f>
        <v>/</v>
      </c>
      <c r="G367" s="94" t="str">
        <f>IF(E367&lt;&gt;"/",VLOOKUP(E367,COSTS_Barbarian_King[#All],3),"/")</f>
        <v>/</v>
      </c>
      <c r="H367" s="124">
        <f t="shared" si="130"/>
        <v>0</v>
      </c>
      <c r="I367" s="534">
        <f t="shared" si="131"/>
        <v>0</v>
      </c>
      <c r="J367" s="996">
        <v>35</v>
      </c>
      <c r="K367" s="997" t="str">
        <f>IF(Paramètres!BF40=0,"",Paramètres!BF40)</f>
        <v/>
      </c>
      <c r="L367" s="810">
        <f t="shared" si="132"/>
        <v>0</v>
      </c>
      <c r="M367" s="586" t="str">
        <f t="shared" si="133"/>
        <v>/</v>
      </c>
      <c r="N367" s="108" t="str">
        <f>IF(P$331="Error","Error",IF(AND($N$331&lt;&gt;"/",$N$331&gt;'Paramètres - Admin'!$A36),'Paramètres - Admin'!$A37,"/"))</f>
        <v>/</v>
      </c>
      <c r="O367" s="124" t="str">
        <f>IF(N367&lt;&gt;"/",VLOOKUP(N367,COSTS_Archer_Queen[#All],2),"/")</f>
        <v>/</v>
      </c>
      <c r="P367" s="94" t="str">
        <f>IF(N367&lt;&gt;"/",VLOOKUP(N367,COSTS_Archer_Queen[#All],3),"/")</f>
        <v>/</v>
      </c>
      <c r="Q367" s="124">
        <f t="shared" si="134"/>
        <v>0</v>
      </c>
      <c r="R367" s="534">
        <f t="shared" si="135"/>
        <v>0</v>
      </c>
      <c r="S367" s="996">
        <v>35</v>
      </c>
      <c r="T367" s="997" t="str">
        <f>IF(Paramètres!BG40=0,"",Paramètres!BG40)</f>
        <v/>
      </c>
      <c r="U367" s="810">
        <f t="shared" si="136"/>
        <v>0</v>
      </c>
      <c r="V367" s="586" t="str">
        <f t="shared" si="137"/>
        <v>/</v>
      </c>
      <c r="W367" s="108" t="str">
        <f>IF(Y$331="Error","Error",IF(AND($W$331&lt;&gt;"/",$W$331&gt;'Paramètres - Admin'!$A36),'Paramètres - Admin'!$A37,"/"))</f>
        <v>/</v>
      </c>
      <c r="X367" s="829" t="str">
        <f>IF(W367&lt;&gt;"/",VLOOKUP(W367,COSTS_Grand_Warden[#All],2),"/")</f>
        <v>/</v>
      </c>
      <c r="Y367" s="94" t="str">
        <f>IF(W367&lt;&gt;"/",VLOOKUP(W367,COSTS_Grand_Warden[#All],3),"/")</f>
        <v>/</v>
      </c>
      <c r="Z367" s="829">
        <f t="shared" si="138"/>
        <v>0</v>
      </c>
      <c r="AA367" s="534">
        <f t="shared" si="139"/>
        <v>0</v>
      </c>
      <c r="BV367" s="537"/>
      <c r="BW367" s="537"/>
      <c r="BX367" s="537"/>
      <c r="BY367" s="537"/>
      <c r="BZ367" s="537"/>
      <c r="CA367" s="537"/>
      <c r="CB367" s="537"/>
      <c r="CC367" s="537"/>
      <c r="CD367" s="537"/>
      <c r="CE367" s="537"/>
      <c r="CF367" s="537"/>
    </row>
    <row r="368" spans="1:84" ht="15" customHeight="1">
      <c r="A368" s="996">
        <v>36</v>
      </c>
      <c r="B368" s="997" t="str">
        <f>IF(Paramètres!BE41=0,"",Paramètres!BE41)</f>
        <v/>
      </c>
      <c r="C368" s="810">
        <f t="shared" si="128"/>
        <v>0</v>
      </c>
      <c r="D368" s="586" t="str">
        <f t="shared" si="129"/>
        <v>/</v>
      </c>
      <c r="E368" s="108" t="str">
        <f>IF(G$331="Error","Error",IF(AND($E$331&lt;&gt;"/",$E$331&gt;'Paramètres - Admin'!$A37),'Paramètres - Admin'!$A38,"/"))</f>
        <v>/</v>
      </c>
      <c r="F368" s="124" t="str">
        <f>IF(E368&lt;&gt;"/",VLOOKUP(E368,COSTS_Barbarian_King[#All],2),"/")</f>
        <v>/</v>
      </c>
      <c r="G368" s="94" t="str">
        <f>IF(E368&lt;&gt;"/",VLOOKUP(E368,COSTS_Barbarian_King[#All],3),"/")</f>
        <v>/</v>
      </c>
      <c r="H368" s="124">
        <f t="shared" si="130"/>
        <v>0</v>
      </c>
      <c r="I368" s="534">
        <f t="shared" si="131"/>
        <v>0</v>
      </c>
      <c r="J368" s="996">
        <v>36</v>
      </c>
      <c r="K368" s="997" t="str">
        <f>IF(Paramètres!BF41=0,"",Paramètres!BF41)</f>
        <v/>
      </c>
      <c r="L368" s="810">
        <f t="shared" si="132"/>
        <v>0</v>
      </c>
      <c r="M368" s="586" t="str">
        <f t="shared" si="133"/>
        <v>/</v>
      </c>
      <c r="N368" s="108" t="str">
        <f>IF(P$331="Error","Error",IF(AND($N$331&lt;&gt;"/",$N$331&gt;'Paramètres - Admin'!$A37),'Paramètres - Admin'!$A38,"/"))</f>
        <v>/</v>
      </c>
      <c r="O368" s="124" t="str">
        <f>IF(N368&lt;&gt;"/",VLOOKUP(N368,COSTS_Archer_Queen[#All],2),"/")</f>
        <v>/</v>
      </c>
      <c r="P368" s="94" t="str">
        <f>IF(N368&lt;&gt;"/",VLOOKUP(N368,COSTS_Archer_Queen[#All],3),"/")</f>
        <v>/</v>
      </c>
      <c r="Q368" s="124">
        <f t="shared" si="134"/>
        <v>0</v>
      </c>
      <c r="R368" s="534">
        <f t="shared" si="135"/>
        <v>0</v>
      </c>
      <c r="S368" s="996">
        <v>36</v>
      </c>
      <c r="T368" s="997" t="str">
        <f>IF(Paramètres!BG41=0,"",Paramètres!BG41)</f>
        <v/>
      </c>
      <c r="U368" s="810">
        <f t="shared" si="136"/>
        <v>0</v>
      </c>
      <c r="V368" s="586" t="str">
        <f t="shared" si="137"/>
        <v>/</v>
      </c>
      <c r="W368" s="108" t="str">
        <f>IF(Y$331="Error","Error",IF(AND($W$331&lt;&gt;"/",$W$331&gt;'Paramètres - Admin'!$A37),'Paramètres - Admin'!$A38,"/"))</f>
        <v>/</v>
      </c>
      <c r="X368" s="829" t="str">
        <f>IF(W368&lt;&gt;"/",VLOOKUP(W368,COSTS_Grand_Warden[#All],2),"/")</f>
        <v>/</v>
      </c>
      <c r="Y368" s="94" t="str">
        <f>IF(W368&lt;&gt;"/",VLOOKUP(W368,COSTS_Grand_Warden[#All],3),"/")</f>
        <v>/</v>
      </c>
      <c r="Z368" s="829">
        <f t="shared" si="138"/>
        <v>0</v>
      </c>
      <c r="AA368" s="534">
        <f t="shared" si="139"/>
        <v>0</v>
      </c>
      <c r="BV368" s="537"/>
      <c r="BW368" s="537"/>
      <c r="BX368" s="537"/>
      <c r="BY368" s="537"/>
      <c r="BZ368" s="537"/>
      <c r="CA368" s="537"/>
      <c r="CB368" s="537"/>
      <c r="CC368" s="537"/>
      <c r="CD368" s="537"/>
      <c r="CE368" s="537"/>
      <c r="CF368" s="537"/>
    </row>
    <row r="369" spans="1:84" ht="15" customHeight="1">
      <c r="A369" s="996">
        <v>37</v>
      </c>
      <c r="B369" s="997" t="str">
        <f>IF(Paramètres!BE42=0,"",Paramètres!BE42)</f>
        <v/>
      </c>
      <c r="C369" s="810">
        <f t="shared" si="128"/>
        <v>0</v>
      </c>
      <c r="D369" s="586" t="str">
        <f t="shared" si="129"/>
        <v>/</v>
      </c>
      <c r="E369" s="108" t="str">
        <f>IF(G$331="Error","Error",IF(AND($E$331&lt;&gt;"/",$E$331&gt;'Paramètres - Admin'!$A38),'Paramètres - Admin'!$A39,"/"))</f>
        <v>/</v>
      </c>
      <c r="F369" s="124" t="str">
        <f>IF(E369&lt;&gt;"/",VLOOKUP(E369,COSTS_Barbarian_King[#All],2),"/")</f>
        <v>/</v>
      </c>
      <c r="G369" s="94" t="str">
        <f>IF(E369&lt;&gt;"/",VLOOKUP(E369,COSTS_Barbarian_King[#All],3),"/")</f>
        <v>/</v>
      </c>
      <c r="H369" s="124">
        <f t="shared" si="130"/>
        <v>0</v>
      </c>
      <c r="I369" s="534">
        <f t="shared" si="131"/>
        <v>0</v>
      </c>
      <c r="J369" s="996">
        <v>37</v>
      </c>
      <c r="K369" s="997" t="str">
        <f>IF(Paramètres!BF42=0,"",Paramètres!BF42)</f>
        <v/>
      </c>
      <c r="L369" s="810">
        <f t="shared" si="132"/>
        <v>0</v>
      </c>
      <c r="M369" s="586" t="str">
        <f t="shared" si="133"/>
        <v>/</v>
      </c>
      <c r="N369" s="108" t="str">
        <f>IF(P$331="Error","Error",IF(AND($N$331&lt;&gt;"/",$N$331&gt;'Paramètres - Admin'!$A38),'Paramètres - Admin'!$A39,"/"))</f>
        <v>/</v>
      </c>
      <c r="O369" s="124" t="str">
        <f>IF(N369&lt;&gt;"/",VLOOKUP(N369,COSTS_Archer_Queen[#All],2),"/")</f>
        <v>/</v>
      </c>
      <c r="P369" s="94" t="str">
        <f>IF(N369&lt;&gt;"/",VLOOKUP(N369,COSTS_Archer_Queen[#All],3),"/")</f>
        <v>/</v>
      </c>
      <c r="Q369" s="124">
        <f t="shared" si="134"/>
        <v>0</v>
      </c>
      <c r="R369" s="534">
        <f t="shared" si="135"/>
        <v>0</v>
      </c>
      <c r="S369" s="996">
        <v>37</v>
      </c>
      <c r="T369" s="997" t="str">
        <f>IF(Paramètres!BG42=0,"",Paramètres!BG42)</f>
        <v/>
      </c>
      <c r="U369" s="810">
        <f t="shared" si="136"/>
        <v>0</v>
      </c>
      <c r="V369" s="586" t="str">
        <f t="shared" si="137"/>
        <v>/</v>
      </c>
      <c r="W369" s="108" t="str">
        <f>IF(Y$331="Error","Error",IF(AND($W$331&lt;&gt;"/",$W$331&gt;'Paramètres - Admin'!$A38),'Paramètres - Admin'!$A39,"/"))</f>
        <v>/</v>
      </c>
      <c r="X369" s="829" t="str">
        <f>IF(W369&lt;&gt;"/",VLOOKUP(W369,COSTS_Grand_Warden[#All],2),"/")</f>
        <v>/</v>
      </c>
      <c r="Y369" s="94" t="str">
        <f>IF(W369&lt;&gt;"/",VLOOKUP(W369,COSTS_Grand_Warden[#All],3),"/")</f>
        <v>/</v>
      </c>
      <c r="Z369" s="829">
        <f t="shared" si="138"/>
        <v>0</v>
      </c>
      <c r="AA369" s="534">
        <f t="shared" si="139"/>
        <v>0</v>
      </c>
      <c r="BK369" s="537"/>
      <c r="BL369" s="537"/>
      <c r="BM369" s="537"/>
      <c r="BN369" s="537"/>
      <c r="BO369" s="537"/>
      <c r="BP369" s="537"/>
      <c r="BQ369" s="537"/>
      <c r="BR369" s="537"/>
      <c r="BS369" s="537"/>
      <c r="BT369" s="537"/>
      <c r="BU369" s="537"/>
      <c r="BV369" s="537"/>
      <c r="BW369" s="537"/>
      <c r="BX369" s="537"/>
      <c r="BY369" s="537"/>
      <c r="BZ369" s="537"/>
      <c r="CA369" s="537"/>
      <c r="CB369" s="537"/>
      <c r="CC369" s="537"/>
      <c r="CD369" s="537"/>
      <c r="CE369" s="537"/>
      <c r="CF369" s="537"/>
    </row>
    <row r="370" spans="1:84" ht="15" customHeight="1">
      <c r="A370" s="996">
        <v>38</v>
      </c>
      <c r="B370" s="997" t="str">
        <f>IF(Paramètres!BE43=0,"",Paramètres!BE43)</f>
        <v/>
      </c>
      <c r="C370" s="810">
        <f t="shared" si="128"/>
        <v>0</v>
      </c>
      <c r="D370" s="586" t="str">
        <f t="shared" si="129"/>
        <v>/</v>
      </c>
      <c r="E370" s="108" t="str">
        <f>IF(G$331="Error","Error",IF(AND($E$331&lt;&gt;"/",$E$331&gt;'Paramètres - Admin'!$A39),'Paramètres - Admin'!$A40,"/"))</f>
        <v>/</v>
      </c>
      <c r="F370" s="124" t="str">
        <f>IF(E370&lt;&gt;"/",VLOOKUP(E370,COSTS_Barbarian_King[#All],2),"/")</f>
        <v>/</v>
      </c>
      <c r="G370" s="94" t="str">
        <f>IF(E370&lt;&gt;"/",VLOOKUP(E370,COSTS_Barbarian_King[#All],3),"/")</f>
        <v>/</v>
      </c>
      <c r="H370" s="124">
        <f t="shared" si="130"/>
        <v>0</v>
      </c>
      <c r="I370" s="534">
        <f t="shared" si="131"/>
        <v>0</v>
      </c>
      <c r="J370" s="996">
        <v>38</v>
      </c>
      <c r="K370" s="997" t="str">
        <f>IF(Paramètres!BF43=0,"",Paramètres!BF43)</f>
        <v/>
      </c>
      <c r="L370" s="810">
        <f t="shared" si="132"/>
        <v>0</v>
      </c>
      <c r="M370" s="586" t="str">
        <f t="shared" si="133"/>
        <v>/</v>
      </c>
      <c r="N370" s="108" t="str">
        <f>IF(P$331="Error","Error",IF(AND($N$331&lt;&gt;"/",$N$331&gt;'Paramètres - Admin'!$A39),'Paramètres - Admin'!$A40,"/"))</f>
        <v>/</v>
      </c>
      <c r="O370" s="124" t="str">
        <f>IF(N370&lt;&gt;"/",VLOOKUP(N370,COSTS_Archer_Queen[#All],2),"/")</f>
        <v>/</v>
      </c>
      <c r="P370" s="94" t="str">
        <f>IF(N370&lt;&gt;"/",VLOOKUP(N370,COSTS_Archer_Queen[#All],3),"/")</f>
        <v>/</v>
      </c>
      <c r="Q370" s="124">
        <f t="shared" si="134"/>
        <v>0</v>
      </c>
      <c r="R370" s="534">
        <f t="shared" si="135"/>
        <v>0</v>
      </c>
      <c r="S370" s="996">
        <v>38</v>
      </c>
      <c r="T370" s="997" t="str">
        <f>IF(Paramètres!BG43=0,"",Paramètres!BG43)</f>
        <v/>
      </c>
      <c r="U370" s="810">
        <f t="shared" si="136"/>
        <v>0</v>
      </c>
      <c r="V370" s="586" t="str">
        <f t="shared" si="137"/>
        <v>/</v>
      </c>
      <c r="W370" s="108" t="str">
        <f>IF(Y$331="Error","Error",IF(AND($W$331&lt;&gt;"/",$W$331&gt;'Paramètres - Admin'!$A39),'Paramètres - Admin'!$A40,"/"))</f>
        <v>/</v>
      </c>
      <c r="X370" s="829" t="str">
        <f>IF(W370&lt;&gt;"/",VLOOKUP(W370,COSTS_Grand_Warden[#All],2),"/")</f>
        <v>/</v>
      </c>
      <c r="Y370" s="94" t="str">
        <f>IF(W370&lt;&gt;"/",VLOOKUP(W370,COSTS_Grand_Warden[#All],3),"/")</f>
        <v>/</v>
      </c>
      <c r="Z370" s="829">
        <f t="shared" si="138"/>
        <v>0</v>
      </c>
      <c r="AA370" s="534">
        <f t="shared" si="139"/>
        <v>0</v>
      </c>
      <c r="BK370" s="537"/>
      <c r="BL370" s="537"/>
      <c r="BM370" s="537"/>
      <c r="BN370" s="537"/>
      <c r="BO370" s="537"/>
      <c r="BP370" s="537"/>
      <c r="BQ370" s="537"/>
      <c r="BR370" s="537"/>
      <c r="BS370" s="537"/>
      <c r="BT370" s="537"/>
      <c r="BU370" s="537"/>
      <c r="BV370" s="537"/>
      <c r="BW370" s="537"/>
      <c r="BX370" s="537"/>
      <c r="BY370" s="537"/>
      <c r="BZ370" s="537"/>
      <c r="CA370" s="537"/>
      <c r="CB370" s="537"/>
      <c r="CC370" s="537"/>
      <c r="CD370" s="537"/>
      <c r="CE370" s="537"/>
      <c r="CF370" s="537"/>
    </row>
    <row r="371" spans="1:84" ht="15" customHeight="1">
      <c r="A371" s="996">
        <v>39</v>
      </c>
      <c r="B371" s="997" t="str">
        <f>IF(Paramètres!BE44=0,"",Paramètres!BE44)</f>
        <v/>
      </c>
      <c r="C371" s="810">
        <f t="shared" si="128"/>
        <v>0</v>
      </c>
      <c r="D371" s="586" t="str">
        <f t="shared" si="129"/>
        <v>/</v>
      </c>
      <c r="E371" s="108" t="str">
        <f>IF(G$331="Error","Error",IF(AND($E$331&lt;&gt;"/",$E$331&gt;'Paramètres - Admin'!$A40),'Paramètres - Admin'!$A41,"/"))</f>
        <v>/</v>
      </c>
      <c r="F371" s="124" t="str">
        <f>IF(E371&lt;&gt;"/",VLOOKUP(E371,COSTS_Barbarian_King[#All],2),"/")</f>
        <v>/</v>
      </c>
      <c r="G371" s="94" t="str">
        <f>IF(E371&lt;&gt;"/",VLOOKUP(E371,COSTS_Barbarian_King[#All],3),"/")</f>
        <v>/</v>
      </c>
      <c r="H371" s="124">
        <f t="shared" si="130"/>
        <v>0</v>
      </c>
      <c r="I371" s="534">
        <f t="shared" si="131"/>
        <v>0</v>
      </c>
      <c r="J371" s="996">
        <v>39</v>
      </c>
      <c r="K371" s="997" t="str">
        <f>IF(Paramètres!BF44=0,"",Paramètres!BF44)</f>
        <v/>
      </c>
      <c r="L371" s="810">
        <f t="shared" si="132"/>
        <v>0</v>
      </c>
      <c r="M371" s="586" t="str">
        <f t="shared" si="133"/>
        <v>/</v>
      </c>
      <c r="N371" s="108" t="str">
        <f>IF(P$331="Error","Error",IF(AND($N$331&lt;&gt;"/",$N$331&gt;'Paramètres - Admin'!$A40),'Paramètres - Admin'!$A41,"/"))</f>
        <v>/</v>
      </c>
      <c r="O371" s="124" t="str">
        <f>IF(N371&lt;&gt;"/",VLOOKUP(N371,COSTS_Archer_Queen[#All],2),"/")</f>
        <v>/</v>
      </c>
      <c r="P371" s="94" t="str">
        <f>IF(N371&lt;&gt;"/",VLOOKUP(N371,COSTS_Archer_Queen[#All],3),"/")</f>
        <v>/</v>
      </c>
      <c r="Q371" s="124">
        <f t="shared" si="134"/>
        <v>0</v>
      </c>
      <c r="R371" s="534">
        <f t="shared" si="135"/>
        <v>0</v>
      </c>
      <c r="S371" s="996">
        <v>39</v>
      </c>
      <c r="T371" s="997" t="str">
        <f>IF(Paramètres!BG44=0,"",Paramètres!BG44)</f>
        <v/>
      </c>
      <c r="U371" s="810">
        <f t="shared" si="136"/>
        <v>0</v>
      </c>
      <c r="V371" s="586" t="str">
        <f t="shared" si="137"/>
        <v>/</v>
      </c>
      <c r="W371" s="108" t="str">
        <f>IF(Y$331="Error","Error",IF(AND($W$331&lt;&gt;"/",$W$331&gt;'Paramètres - Admin'!$A40),'Paramètres - Admin'!$A41,"/"))</f>
        <v>/</v>
      </c>
      <c r="X371" s="829" t="str">
        <f>IF(W371&lt;&gt;"/",VLOOKUP(W371,COSTS_Grand_Warden[#All],2),"/")</f>
        <v>/</v>
      </c>
      <c r="Y371" s="94" t="str">
        <f>IF(W371&lt;&gt;"/",VLOOKUP(W371,COSTS_Grand_Warden[#All],3),"/")</f>
        <v>/</v>
      </c>
      <c r="Z371" s="829">
        <f t="shared" si="138"/>
        <v>0</v>
      </c>
      <c r="AA371" s="534">
        <f t="shared" si="139"/>
        <v>0</v>
      </c>
      <c r="AP371" s="537"/>
      <c r="AQ371" s="537"/>
      <c r="AR371" s="537"/>
      <c r="AS371" s="537"/>
      <c r="AT371" s="537"/>
      <c r="AU371" s="537"/>
      <c r="AV371" s="537"/>
      <c r="AW371" s="537"/>
      <c r="AX371" s="537"/>
      <c r="AY371" s="537"/>
      <c r="BK371" s="537"/>
      <c r="BL371" s="537"/>
      <c r="BM371" s="537"/>
      <c r="BN371" s="537"/>
      <c r="BO371" s="537"/>
      <c r="BP371" s="537"/>
      <c r="BQ371" s="537"/>
      <c r="BR371" s="537"/>
      <c r="BS371" s="537"/>
      <c r="BT371" s="537"/>
      <c r="BU371" s="537"/>
      <c r="BV371" s="537"/>
      <c r="BW371" s="537"/>
      <c r="BX371" s="537"/>
      <c r="BY371" s="537"/>
      <c r="BZ371" s="537"/>
      <c r="CA371" s="537"/>
      <c r="CB371" s="537"/>
      <c r="CC371" s="537"/>
      <c r="CD371" s="537"/>
      <c r="CE371" s="537"/>
      <c r="CF371" s="537"/>
    </row>
    <row r="372" spans="1:84" ht="15" customHeight="1" thickBot="1">
      <c r="A372" s="998">
        <v>40</v>
      </c>
      <c r="B372" s="999" t="str">
        <f>IF(Paramètres!BE45=0,"",Paramètres!BE45)</f>
        <v/>
      </c>
      <c r="C372" s="811">
        <f t="shared" si="128"/>
        <v>0</v>
      </c>
      <c r="D372" s="587" t="str">
        <f t="shared" si="129"/>
        <v>/</v>
      </c>
      <c r="E372" s="116" t="str">
        <f>IF(G$331="Error","Error",IF(AND($E$331&lt;&gt;"/",$E$331&gt;'Paramètres - Admin'!$A41),'Paramètres - Admin'!$A42,"/"))</f>
        <v>/</v>
      </c>
      <c r="F372" s="207" t="str">
        <f>IF(E372&lt;&gt;"/",VLOOKUP(E372,COSTS_Barbarian_King[#All],2),"/")</f>
        <v>/</v>
      </c>
      <c r="G372" s="114" t="str">
        <f>IF(E372&lt;&gt;"/",VLOOKUP(E372,COSTS_Barbarian_King[#All],3),"/")</f>
        <v>/</v>
      </c>
      <c r="H372" s="207">
        <f t="shared" si="130"/>
        <v>0</v>
      </c>
      <c r="I372" s="117">
        <f t="shared" si="131"/>
        <v>0</v>
      </c>
      <c r="J372" s="998">
        <v>40</v>
      </c>
      <c r="K372" s="999" t="str">
        <f>IF(Paramètres!BF45=0,"",Paramètres!BF45)</f>
        <v/>
      </c>
      <c r="L372" s="811">
        <f t="shared" si="132"/>
        <v>0</v>
      </c>
      <c r="M372" s="587" t="str">
        <f t="shared" si="133"/>
        <v>/</v>
      </c>
      <c r="N372" s="116" t="str">
        <f>IF(P$331="Error","Error",IF(AND($N$331&lt;&gt;"/",$N$331&gt;'Paramètres - Admin'!$A41),'Paramètres - Admin'!$A42,"/"))</f>
        <v>/</v>
      </c>
      <c r="O372" s="207" t="str">
        <f>IF(N372&lt;&gt;"/",VLOOKUP(N372,COSTS_Archer_Queen[#All],2),"/")</f>
        <v>/</v>
      </c>
      <c r="P372" s="114" t="str">
        <f>IF(N372&lt;&gt;"/",VLOOKUP(N372,COSTS_Archer_Queen[#All],3),"/")</f>
        <v>/</v>
      </c>
      <c r="Q372" s="207">
        <f t="shared" si="134"/>
        <v>0</v>
      </c>
      <c r="R372" s="117">
        <f t="shared" si="135"/>
        <v>0</v>
      </c>
      <c r="S372" s="998">
        <v>40</v>
      </c>
      <c r="T372" s="999" t="str">
        <f>IF(Paramètres!BG45=0,"",Paramètres!BG45)</f>
        <v/>
      </c>
      <c r="U372" s="811">
        <f t="shared" si="136"/>
        <v>0</v>
      </c>
      <c r="V372" s="587" t="str">
        <f t="shared" si="137"/>
        <v>/</v>
      </c>
      <c r="W372" s="116" t="str">
        <f>IF(Y$331="Error","Error",IF(AND($W$331&lt;&gt;"/",$W$331&gt;'Paramètres - Admin'!$A41),'Paramètres - Admin'!$A42,"/"))</f>
        <v>/</v>
      </c>
      <c r="X372" s="975" t="str">
        <f>IF(W372&lt;&gt;"/",VLOOKUP(W372,COSTS_Grand_Warden[#All],2),"/")</f>
        <v>/</v>
      </c>
      <c r="Y372" s="114" t="str">
        <f>IF(W372&lt;&gt;"/",VLOOKUP(W372,COSTS_Grand_Warden[#All],3),"/")</f>
        <v>/</v>
      </c>
      <c r="Z372" s="975">
        <f t="shared" si="138"/>
        <v>0</v>
      </c>
      <c r="AA372" s="117">
        <f t="shared" si="139"/>
        <v>0</v>
      </c>
      <c r="AO372" s="537"/>
      <c r="AP372" s="537"/>
      <c r="AQ372" s="537"/>
      <c r="AR372" s="537"/>
      <c r="AS372" s="537"/>
      <c r="AT372" s="537"/>
      <c r="AU372" s="537"/>
      <c r="AV372" s="537"/>
      <c r="AW372" s="537"/>
      <c r="AX372" s="537"/>
      <c r="AY372" s="537"/>
      <c r="BK372" s="537"/>
      <c r="BL372" s="537"/>
      <c r="BM372" s="537"/>
      <c r="BN372" s="537"/>
      <c r="BO372" s="537"/>
      <c r="BP372" s="537"/>
      <c r="BQ372" s="537"/>
      <c r="BR372" s="537"/>
      <c r="BS372" s="537"/>
      <c r="BT372" s="537"/>
      <c r="BU372" s="537"/>
      <c r="BV372" s="537"/>
      <c r="BW372" s="537"/>
      <c r="BX372" s="537"/>
      <c r="BY372" s="537"/>
      <c r="BZ372" s="537"/>
      <c r="CA372" s="537"/>
      <c r="CB372" s="537"/>
      <c r="CC372" s="537"/>
      <c r="CD372" s="537"/>
      <c r="CE372" s="537"/>
      <c r="CF372" s="537"/>
    </row>
    <row r="373" spans="1:84" s="537" customFormat="1" ht="15" customHeight="1" thickBot="1">
      <c r="A373" s="967"/>
      <c r="B373" s="968"/>
      <c r="C373" s="968"/>
      <c r="D373" s="968"/>
      <c r="E373" s="968"/>
      <c r="F373" s="969"/>
      <c r="G373" s="523" t="s">
        <v>31</v>
      </c>
      <c r="H373" s="228">
        <f>IF(G$331="Error","Error",SUM(H333:H372))</f>
        <v>0</v>
      </c>
      <c r="I373" s="226">
        <f>IF(G$331="Error","Error",SUM(I333:I372))</f>
        <v>0</v>
      </c>
      <c r="J373" s="964"/>
      <c r="K373" s="965"/>
      <c r="L373" s="965"/>
      <c r="M373" s="965"/>
      <c r="N373" s="965"/>
      <c r="O373" s="966"/>
      <c r="P373" s="523" t="s">
        <v>31</v>
      </c>
      <c r="Q373" s="228">
        <f>IF(P$331="Error","Error",SUM(Q333:Q372))</f>
        <v>0</v>
      </c>
      <c r="R373" s="226">
        <f>IF(P$331="Error","Error",SUM(R333:R372))</f>
        <v>0</v>
      </c>
      <c r="S373" s="964"/>
      <c r="T373" s="965"/>
      <c r="U373" s="965"/>
      <c r="V373" s="965"/>
      <c r="W373" s="965"/>
      <c r="X373" s="966"/>
      <c r="Y373" s="523" t="s">
        <v>31</v>
      </c>
      <c r="Z373" s="976">
        <f>IF(Y$331="Error","Error",SUM(Z333:Z372))</f>
        <v>0</v>
      </c>
      <c r="AA373" s="546">
        <f>IF(Y$331="Error","Error",SUM(AA333:AA372))</f>
        <v>0</v>
      </c>
    </row>
    <row r="374" spans="1:84" s="537" customFormat="1" ht="15" customHeight="1">
      <c r="A374" s="132"/>
      <c r="B374" s="132"/>
      <c r="C374" s="132"/>
      <c r="D374" s="132"/>
      <c r="E374" s="132"/>
      <c r="F374" s="132"/>
      <c r="G374" s="131"/>
      <c r="H374" s="131"/>
      <c r="I374" s="131"/>
      <c r="J374" s="131"/>
      <c r="K374" s="131"/>
      <c r="L374" s="131"/>
      <c r="M374" s="131"/>
      <c r="N374" s="131"/>
      <c r="O374" s="131"/>
      <c r="P374" s="131"/>
      <c r="Q374" s="131"/>
      <c r="R374" s="131"/>
      <c r="S374" s="131"/>
      <c r="T374" s="131"/>
      <c r="U374" s="131"/>
      <c r="V374" s="131"/>
    </row>
    <row r="375" spans="1:84" s="537" customFormat="1" ht="15" customHeight="1">
      <c r="A375" s="132"/>
      <c r="B375" s="132"/>
      <c r="C375" s="132"/>
      <c r="D375" s="132"/>
      <c r="E375" s="132"/>
      <c r="F375" s="132"/>
    </row>
    <row r="376" spans="1:84" s="537" customFormat="1" ht="20.100000000000001" customHeight="1"/>
    <row r="377" spans="1:84" s="537" customFormat="1" ht="15" customHeight="1"/>
    <row r="378" spans="1:84" s="537" customFormat="1" ht="15" customHeight="1"/>
    <row r="379" spans="1:84" s="537" customFormat="1" ht="15" customHeight="1"/>
    <row r="380" spans="1:84" s="537" customFormat="1" ht="15" customHeight="1">
      <c r="BV380" s="131"/>
      <c r="BW380" s="131"/>
      <c r="BX380" s="131"/>
      <c r="BY380" s="131"/>
      <c r="BZ380" s="131"/>
      <c r="CA380" s="131"/>
      <c r="CB380" s="131"/>
      <c r="CC380" s="131"/>
      <c r="CD380" s="131"/>
      <c r="CE380" s="131"/>
      <c r="CF380" s="131"/>
    </row>
    <row r="381" spans="1:84" s="537" customFormat="1" ht="15" customHeight="1">
      <c r="BV381" s="131"/>
      <c r="BW381" s="131"/>
      <c r="BX381" s="131"/>
      <c r="BY381" s="131"/>
      <c r="BZ381" s="131"/>
      <c r="CA381" s="131"/>
      <c r="CB381" s="131"/>
      <c r="CC381" s="131"/>
      <c r="CD381" s="131"/>
      <c r="CE381" s="131"/>
      <c r="CF381" s="131"/>
    </row>
    <row r="382" spans="1:84" s="537" customFormat="1" ht="15" customHeight="1">
      <c r="BV382" s="131"/>
      <c r="BW382" s="131"/>
      <c r="BX382" s="131"/>
      <c r="BY382" s="131"/>
      <c r="BZ382" s="131"/>
      <c r="CA382" s="131"/>
      <c r="CB382" s="131"/>
      <c r="CC382" s="131"/>
      <c r="CD382" s="131"/>
      <c r="CE382" s="131"/>
      <c r="CF382" s="131"/>
    </row>
    <row r="383" spans="1:84" s="537" customFormat="1" ht="15" customHeight="1"/>
    <row r="384" spans="1:84" s="537" customFormat="1" ht="15" customHeight="1">
      <c r="BK384" s="131"/>
      <c r="BL384" s="131"/>
      <c r="BM384" s="131"/>
      <c r="BN384" s="131"/>
      <c r="BO384" s="131"/>
      <c r="BP384" s="131"/>
      <c r="BQ384" s="131"/>
      <c r="BR384" s="131"/>
      <c r="BS384" s="131"/>
      <c r="BT384" s="131"/>
      <c r="BU384" s="131"/>
      <c r="BV384" s="131"/>
      <c r="BW384" s="131"/>
      <c r="BX384" s="131"/>
      <c r="BY384" s="131"/>
      <c r="BZ384" s="131"/>
      <c r="CA384" s="131"/>
      <c r="CB384" s="131"/>
      <c r="CC384" s="131"/>
      <c r="CD384" s="131"/>
      <c r="CE384" s="131"/>
      <c r="CF384" s="131"/>
    </row>
    <row r="385" spans="1:84" s="537" customFormat="1" ht="15" customHeight="1">
      <c r="BK385" s="131"/>
      <c r="BL385" s="131"/>
      <c r="BM385" s="131"/>
      <c r="BN385" s="131"/>
      <c r="BO385" s="131"/>
      <c r="BP385" s="131"/>
      <c r="BQ385" s="131"/>
      <c r="BR385" s="131"/>
      <c r="BS385" s="131"/>
      <c r="BT385" s="131"/>
      <c r="BU385" s="131"/>
      <c r="BV385" s="131"/>
      <c r="BW385" s="131"/>
      <c r="BX385" s="131"/>
      <c r="BY385" s="131"/>
      <c r="BZ385" s="131"/>
      <c r="CA385" s="131"/>
      <c r="CB385" s="131"/>
      <c r="CC385" s="131"/>
      <c r="CD385" s="131"/>
      <c r="CE385" s="131"/>
      <c r="CF385" s="131"/>
    </row>
    <row r="386" spans="1:84" s="537" customFormat="1" ht="15" customHeight="1">
      <c r="AO386" s="131"/>
      <c r="AP386" s="131"/>
      <c r="AQ386" s="131"/>
      <c r="AR386" s="131"/>
      <c r="AS386" s="131"/>
      <c r="AT386" s="131"/>
      <c r="AU386" s="131"/>
      <c r="AV386" s="131"/>
      <c r="AW386" s="131"/>
      <c r="AX386" s="131"/>
      <c r="AY386" s="131"/>
      <c r="BK386" s="131"/>
      <c r="BL386" s="131"/>
      <c r="BM386" s="131"/>
      <c r="BN386" s="131"/>
      <c r="BO386" s="131"/>
      <c r="BP386" s="131"/>
      <c r="BQ386" s="131"/>
      <c r="BR386" s="131"/>
      <c r="BS386" s="131"/>
      <c r="BT386" s="131"/>
      <c r="BU386" s="131"/>
      <c r="BV386" s="131"/>
      <c r="BW386" s="131"/>
      <c r="BX386" s="131"/>
      <c r="BY386" s="131"/>
      <c r="BZ386" s="131"/>
      <c r="CA386" s="131"/>
      <c r="CB386" s="131"/>
      <c r="CC386" s="131"/>
      <c r="CD386" s="131"/>
      <c r="CE386" s="131"/>
      <c r="CF386" s="131"/>
    </row>
    <row r="387" spans="1:84" s="537" customFormat="1" ht="15" customHeight="1">
      <c r="AO387" s="131"/>
      <c r="AP387" s="131"/>
      <c r="AQ387" s="131"/>
      <c r="AR387" s="131"/>
      <c r="AS387" s="131"/>
      <c r="AT387" s="131"/>
      <c r="AU387" s="131"/>
      <c r="AV387" s="131"/>
      <c r="AW387" s="131"/>
      <c r="AX387" s="131"/>
      <c r="AY387" s="131"/>
      <c r="BV387" s="131"/>
      <c r="BW387" s="131"/>
      <c r="BX387" s="131"/>
      <c r="BY387" s="131"/>
      <c r="BZ387" s="131"/>
      <c r="CA387" s="131"/>
      <c r="CB387" s="131"/>
      <c r="CC387" s="131"/>
      <c r="CD387" s="131"/>
      <c r="CE387" s="131"/>
      <c r="CF387" s="131"/>
    </row>
    <row r="388" spans="1:84" ht="15" customHeight="1">
      <c r="A388" s="131"/>
      <c r="B388" s="131"/>
      <c r="C388" s="131"/>
      <c r="D388" s="131"/>
      <c r="E388" s="131"/>
      <c r="F388" s="131"/>
    </row>
    <row r="389" spans="1:84" ht="15" customHeight="1">
      <c r="A389" s="131"/>
      <c r="B389" s="131"/>
      <c r="C389" s="131"/>
      <c r="D389" s="131"/>
      <c r="E389" s="131"/>
      <c r="F389" s="131"/>
      <c r="AO389" s="537"/>
      <c r="AP389" s="537"/>
      <c r="AQ389" s="537"/>
      <c r="AR389" s="537"/>
      <c r="AS389" s="537"/>
      <c r="AT389" s="537"/>
      <c r="AU389" s="537"/>
      <c r="AV389" s="537"/>
      <c r="AW389" s="537"/>
      <c r="AX389" s="537"/>
      <c r="AY389" s="537"/>
    </row>
    <row r="390" spans="1:84" ht="15" customHeight="1">
      <c r="A390" s="131"/>
      <c r="B390" s="131"/>
      <c r="C390" s="131"/>
      <c r="D390" s="131"/>
      <c r="E390" s="131"/>
      <c r="F390" s="131"/>
    </row>
    <row r="391" spans="1:84" s="537" customFormat="1" ht="15" customHeight="1">
      <c r="AO391" s="131"/>
      <c r="AP391" s="131"/>
      <c r="AQ391" s="131"/>
      <c r="AR391" s="131"/>
      <c r="AS391" s="131"/>
      <c r="AT391" s="131"/>
      <c r="AU391" s="131"/>
      <c r="AV391" s="131"/>
      <c r="AW391" s="131"/>
      <c r="AX391" s="131"/>
      <c r="AY391" s="131"/>
      <c r="BK391" s="131"/>
      <c r="BL391" s="131"/>
      <c r="BM391" s="131"/>
      <c r="BN391" s="131"/>
      <c r="BO391" s="131"/>
      <c r="BP391" s="131"/>
      <c r="BQ391" s="131"/>
      <c r="BR391" s="131"/>
      <c r="BS391" s="131"/>
      <c r="BT391" s="131"/>
      <c r="BU391" s="131"/>
      <c r="BV391" s="131"/>
      <c r="BW391" s="131"/>
      <c r="BX391" s="131"/>
      <c r="BY391" s="131"/>
      <c r="BZ391" s="131"/>
      <c r="CA391" s="131"/>
      <c r="CB391" s="131"/>
      <c r="CC391" s="131"/>
      <c r="CD391" s="131"/>
      <c r="CE391" s="131"/>
      <c r="CF391" s="131"/>
    </row>
    <row r="392" spans="1:84" ht="15" customHeight="1">
      <c r="A392" s="131"/>
      <c r="B392" s="131"/>
      <c r="C392" s="131"/>
      <c r="D392" s="131"/>
      <c r="E392" s="131"/>
      <c r="F392" s="131"/>
    </row>
    <row r="393" spans="1:84" ht="15" customHeight="1">
      <c r="A393" s="131"/>
      <c r="B393" s="131"/>
      <c r="C393" s="131"/>
      <c r="D393" s="131"/>
      <c r="E393" s="131"/>
      <c r="F393" s="131"/>
    </row>
    <row r="394" spans="1:84" ht="15" customHeight="1">
      <c r="A394" s="131"/>
      <c r="B394" s="131"/>
      <c r="C394" s="131"/>
      <c r="D394" s="131"/>
      <c r="E394" s="131"/>
      <c r="F394" s="131"/>
    </row>
    <row r="395" spans="1:84" ht="15" customHeight="1">
      <c r="A395" s="131"/>
      <c r="B395" s="131"/>
      <c r="C395" s="131"/>
      <c r="D395" s="131"/>
      <c r="E395" s="131"/>
      <c r="F395" s="131"/>
    </row>
    <row r="396" spans="1:84" ht="15" customHeight="1">
      <c r="A396" s="131"/>
      <c r="B396" s="131"/>
      <c r="C396" s="131"/>
      <c r="D396" s="131"/>
      <c r="E396" s="131"/>
      <c r="F396" s="131"/>
    </row>
    <row r="397" spans="1:84" ht="15" customHeight="1">
      <c r="A397" s="131"/>
      <c r="B397" s="131"/>
      <c r="C397" s="131"/>
      <c r="D397" s="131"/>
      <c r="E397" s="131"/>
      <c r="F397" s="131"/>
    </row>
    <row r="398" spans="1:84" ht="15" customHeight="1">
      <c r="A398" s="131"/>
      <c r="B398" s="131"/>
      <c r="C398" s="131"/>
      <c r="D398" s="131"/>
      <c r="E398" s="131"/>
      <c r="F398" s="131"/>
    </row>
    <row r="399" spans="1:84" ht="15" customHeight="1">
      <c r="A399" s="131"/>
      <c r="B399" s="131"/>
      <c r="C399" s="131"/>
      <c r="D399" s="131"/>
      <c r="E399" s="131"/>
      <c r="F399" s="131"/>
    </row>
    <row r="400" spans="1:84" ht="15" customHeight="1">
      <c r="A400" s="131"/>
      <c r="B400" s="131"/>
      <c r="C400" s="131"/>
      <c r="D400" s="131"/>
      <c r="E400" s="131"/>
      <c r="F400" s="131"/>
    </row>
  </sheetData>
  <sheetProtection selectLockedCells="1"/>
  <mergeCells count="84">
    <mergeCell ref="A154:C155"/>
    <mergeCell ref="J122:L123"/>
    <mergeCell ref="J179:L180"/>
    <mergeCell ref="A179:C180"/>
    <mergeCell ref="A134:C135"/>
    <mergeCell ref="J154:L155"/>
    <mergeCell ref="J162:L163"/>
    <mergeCell ref="A164:C165"/>
    <mergeCell ref="J319:L320"/>
    <mergeCell ref="J169:L170"/>
    <mergeCell ref="J330:L331"/>
    <mergeCell ref="A330:C331"/>
    <mergeCell ref="A237:C238"/>
    <mergeCell ref="A248:C249"/>
    <mergeCell ref="A258:C259"/>
    <mergeCell ref="A269:C270"/>
    <mergeCell ref="A301:C302"/>
    <mergeCell ref="J263:L264"/>
    <mergeCell ref="J310:L311"/>
    <mergeCell ref="A320:C321"/>
    <mergeCell ref="J236:L237"/>
    <mergeCell ref="J246:L247"/>
    <mergeCell ref="J254:L255"/>
    <mergeCell ref="J226:L227"/>
    <mergeCell ref="A169:C170"/>
    <mergeCell ref="J301:L302"/>
    <mergeCell ref="A312:C313"/>
    <mergeCell ref="A216:C217"/>
    <mergeCell ref="A196:C197"/>
    <mergeCell ref="J196:L197"/>
    <mergeCell ref="A207:C208"/>
    <mergeCell ref="J206:L207"/>
    <mergeCell ref="A226:C227"/>
    <mergeCell ref="A4:C5"/>
    <mergeCell ref="J4:L5"/>
    <mergeCell ref="A20:C21"/>
    <mergeCell ref="J20:L21"/>
    <mergeCell ref="J36:L37"/>
    <mergeCell ref="A36:C37"/>
    <mergeCell ref="A100:C101"/>
    <mergeCell ref="J85:L86"/>
    <mergeCell ref="J137:L138"/>
    <mergeCell ref="A85:C86"/>
    <mergeCell ref="A117:C118"/>
    <mergeCell ref="J130:L131"/>
    <mergeCell ref="J97:L98"/>
    <mergeCell ref="J110:L111"/>
    <mergeCell ref="K2:M2"/>
    <mergeCell ref="R2:T2"/>
    <mergeCell ref="U2:V2"/>
    <mergeCell ref="C1:E1"/>
    <mergeCell ref="F1:H1"/>
    <mergeCell ref="R1:T1"/>
    <mergeCell ref="I1:J1"/>
    <mergeCell ref="K1:M1"/>
    <mergeCell ref="U1:V1"/>
    <mergeCell ref="N1:Q1"/>
    <mergeCell ref="N2:Q2"/>
    <mergeCell ref="A2:B2"/>
    <mergeCell ref="A1:B1"/>
    <mergeCell ref="C2:E2"/>
    <mergeCell ref="F2:H2"/>
    <mergeCell ref="I2:J2"/>
    <mergeCell ref="A195:R195"/>
    <mergeCell ref="A225:R225"/>
    <mergeCell ref="A282:C283"/>
    <mergeCell ref="J282:L283"/>
    <mergeCell ref="A290:C291"/>
    <mergeCell ref="A281:R281"/>
    <mergeCell ref="A300:R300"/>
    <mergeCell ref="A146:C147"/>
    <mergeCell ref="S330:U331"/>
    <mergeCell ref="A3:R3"/>
    <mergeCell ref="J49:L50"/>
    <mergeCell ref="A49:C50"/>
    <mergeCell ref="A73:C74"/>
    <mergeCell ref="J74:L75"/>
    <mergeCell ref="A63:C64"/>
    <mergeCell ref="A48:R48"/>
    <mergeCell ref="J62:L63"/>
    <mergeCell ref="A329:AA329"/>
    <mergeCell ref="A84:R84"/>
    <mergeCell ref="A153:R153"/>
    <mergeCell ref="A178:R178"/>
  </mergeCells>
  <conditionalFormatting sqref="J194:K194 J1:K2 J224:K224 J279:K279 J299:K299 J328:K328 J147:K150 J374:K1048576">
    <cfRule type="expression" dxfId="1721" priority="904">
      <formula>AND($J1=0,$K1=0,$J1&lt;&gt;"",$J1&lt;&gt;"Total Cost")</formula>
    </cfRule>
  </conditionalFormatting>
  <conditionalFormatting sqref="U216:V217 U49:V49 U374:V375 U176:V176 U194:V194 U224:V224 U272:V279 U290:V293 U299:V299 U328:V328 U46:V47 U1:V2 U420:V1048576">
    <cfRule type="expression" dxfId="1720" priority="905">
      <formula>AND($U1=0,$V1=0,$U1&lt;&gt;"",$U1&lt;&gt;"Total Cost")</formula>
    </cfRule>
  </conditionalFormatting>
  <conditionalFormatting sqref="H4:I45 H49:I81 H330:I373 H154:I176 H179:I188 H196:I222 H226:I278 H282:I297 Q289 H301:I326 H85:I151">
    <cfRule type="expression" dxfId="1719" priority="907">
      <formula>AND($H4=0,$I4=0,$H4&lt;&gt;"",$H4&lt;&gt;"Total Cost")</formula>
    </cfRule>
  </conditionalFormatting>
  <conditionalFormatting sqref="Q4:R45 Q49:R80 Q330:R373 Q154:R175 Q196:R214 Q226:R271 Q282:R289 Q301:R325 Q179:R193 Q85:R146">
    <cfRule type="expression" dxfId="1718" priority="909">
      <formula>AND($Q4=0,$R4=0,$Q4&lt;&gt;"",$Q4&lt;&gt;"Total Cost")</formula>
    </cfRule>
  </conditionalFormatting>
  <conditionalFormatting sqref="Z331:AA372">
    <cfRule type="expression" dxfId="1717" priority="4">
      <formula>AND($Z331=0,$AA331=0,$Z331&lt;&gt;"",$Z331&lt;&gt;"Total Cost")</formula>
    </cfRule>
  </conditionalFormatting>
  <conditionalFormatting sqref="Q282:R288">
    <cfRule type="expression" dxfId="1716" priority="914">
      <formula>AND($H282=0,$I282=0,$H282&lt;&gt;"",$H282&lt;&gt;"Total Cost")</formula>
    </cfRule>
  </conditionalFormatting>
  <conditionalFormatting sqref="H149:I149">
    <cfRule type="expression" dxfId="1715" priority="1">
      <formula>AND($Q149=0,$R149=0,$Q149&lt;&gt;"",$Q149&lt;&gt;"Total Cost")</formula>
    </cfRule>
  </conditionalFormatting>
  <pageMargins left="0.70866141732283472" right="0.70866141732283472" top="0.74803149606299213" bottom="0.74803149606299213" header="0.31496062992125984" footer="0.31496062992125984"/>
  <pageSetup paperSize="9" scale="14" fitToHeight="6" orientation="landscape" r:id="rId1"/>
  <ignoredErrors>
    <ignoredError sqref="A7:C7 A16 A8:A15 J8:J15 A17 J16 J7:L7" unlockedFormula="1"/>
  </ignoredErrors>
</worksheet>
</file>

<file path=xl/worksheets/sheet4.xml><?xml version="1.0" encoding="utf-8"?>
<worksheet xmlns="http://schemas.openxmlformats.org/spreadsheetml/2006/main" xmlns:r="http://schemas.openxmlformats.org/officeDocument/2006/relationships">
  <sheetPr codeName="Feuil18">
    <tabColor rgb="FFFFFF00"/>
  </sheetPr>
  <dimension ref="A1:N33"/>
  <sheetViews>
    <sheetView showGridLines="0" zoomScale="90" zoomScaleNormal="90" workbookViewId="0">
      <pane ySplit="2" topLeftCell="A3" activePane="bottomLeft" state="frozen"/>
      <selection activeCell="A3" sqref="A3:H6"/>
      <selection pane="bottomLeft" activeCell="N27" sqref="N27"/>
    </sheetView>
  </sheetViews>
  <sheetFormatPr baseColWidth="10" defaultColWidth="11.42578125" defaultRowHeight="15" customHeight="1"/>
  <cols>
    <col min="1" max="1" width="21.28515625" style="137" bestFit="1" customWidth="1"/>
    <col min="2" max="2" width="7.28515625" style="135" customWidth="1"/>
    <col min="3" max="3" width="7.85546875" style="137" bestFit="1" customWidth="1"/>
    <col min="4" max="4" width="9.28515625" style="137" bestFit="1" customWidth="1"/>
    <col min="5" max="5" width="6.7109375" style="137" customWidth="1"/>
    <col min="6" max="6" width="14.85546875" style="137" bestFit="1" customWidth="1"/>
    <col min="7" max="8" width="2.7109375" style="137" customWidth="1"/>
    <col min="9" max="9" width="21.28515625" style="137" bestFit="1" customWidth="1"/>
    <col min="10" max="10" width="6" style="137" bestFit="1" customWidth="1"/>
    <col min="11" max="11" width="7.85546875" style="137" bestFit="1" customWidth="1"/>
    <col min="12" max="12" width="7.28515625" style="137" bestFit="1" customWidth="1"/>
    <col min="13" max="13" width="6.7109375" style="137" bestFit="1" customWidth="1"/>
    <col min="14" max="14" width="19.85546875" style="137" bestFit="1" customWidth="1"/>
    <col min="15" max="16384" width="11.42578125" style="137"/>
  </cols>
  <sheetData>
    <row r="1" spans="1:14" ht="23.25" thickBot="1">
      <c r="A1" s="334" t="s">
        <v>291</v>
      </c>
      <c r="B1" s="1154" t="s">
        <v>294</v>
      </c>
      <c r="C1" s="1155"/>
      <c r="E1" s="135"/>
      <c r="F1" s="135"/>
      <c r="I1" s="193" t="s">
        <v>318</v>
      </c>
      <c r="J1" s="135"/>
      <c r="K1" s="135"/>
      <c r="L1" s="135"/>
      <c r="M1" s="135"/>
      <c r="N1" s="135"/>
    </row>
    <row r="2" spans="1:14" ht="16.5" thickBot="1">
      <c r="A2" s="710">
        <f>Paramètres!$BI$2</f>
        <v>2</v>
      </c>
      <c r="B2" s="1156">
        <f>Paramètres!BL2</f>
        <v>1000</v>
      </c>
      <c r="C2" s="1157"/>
      <c r="E2" s="135"/>
      <c r="F2" s="135"/>
      <c r="I2" s="711">
        <f>Paramètres!H46</f>
        <v>0</v>
      </c>
      <c r="J2" s="135"/>
      <c r="K2" s="135"/>
      <c r="L2" s="135"/>
      <c r="M2" s="135"/>
      <c r="N2" s="135"/>
    </row>
    <row r="3" spans="1:14" ht="19.5" thickBot="1">
      <c r="A3" s="1088" t="s">
        <v>421</v>
      </c>
      <c r="B3" s="1088"/>
      <c r="C3" s="1088"/>
      <c r="D3" s="1088"/>
      <c r="E3" s="1088"/>
      <c r="I3" s="1082" t="s">
        <v>313</v>
      </c>
      <c r="J3" s="1083"/>
      <c r="K3" s="1083"/>
      <c r="L3" s="1083"/>
      <c r="M3" s="1083"/>
      <c r="N3" s="1084"/>
    </row>
    <row r="4" spans="1:14" ht="16.5" customHeight="1" thickTop="1" thickBot="1">
      <c r="A4" s="232" t="s">
        <v>123</v>
      </c>
      <c r="B4" s="1158" t="s">
        <v>423</v>
      </c>
      <c r="C4" s="1159"/>
      <c r="D4" s="712" t="s">
        <v>651</v>
      </c>
      <c r="E4" s="681" t="s">
        <v>737</v>
      </c>
      <c r="I4" s="281"/>
      <c r="J4" s="100" t="s">
        <v>39</v>
      </c>
      <c r="K4" s="230" t="s">
        <v>331</v>
      </c>
      <c r="L4" s="230" t="s">
        <v>390</v>
      </c>
      <c r="M4" s="282" t="s">
        <v>258</v>
      </c>
      <c r="N4" s="229" t="s">
        <v>207</v>
      </c>
    </row>
    <row r="5" spans="1:14" ht="16.5" customHeight="1" thickTop="1">
      <c r="A5" s="345" t="s">
        <v>246</v>
      </c>
      <c r="B5" s="1168"/>
      <c r="C5" s="1169"/>
      <c r="D5" s="1170">
        <f>IF($E$4="Oui",VLOOKUP(1,LEAGUES_Bonus[#All],3),0)-VLOOKUP(1,LEAGUES_Find[#All],2)</f>
        <v>-50</v>
      </c>
      <c r="E5" s="1171"/>
      <c r="I5" s="122" t="s">
        <v>195</v>
      </c>
      <c r="J5" s="123">
        <f>VLOOKUP($A$2,AVAILABLE_Upgrades_Normal_Troops[#All],MATCH($I5,AVAILABLE_Upgrades_Normal_Troops[#Headers],0)+1)</f>
        <v>0</v>
      </c>
      <c r="K5" s="289">
        <f>IF(ISERROR(MATCH(1,Paramètres!AO$6:AO$45,0)),0,MATCH(1,Paramètres!AO$6:AO$45,0))</f>
        <v>0</v>
      </c>
      <c r="L5" s="290">
        <f>IF($K5&lt;&gt;0,VLOOKUP($K5,TRAINING_Barbarian[#All],2),0)</f>
        <v>0</v>
      </c>
      <c r="M5" s="95">
        <f>IF($K5&lt;&gt;0,VLOOKUP($K5,TRAINING_Barbarian[#All],3),0)</f>
        <v>0</v>
      </c>
      <c r="N5" s="377"/>
    </row>
    <row r="6" spans="1:14" ht="16.5" customHeight="1">
      <c r="A6" s="90" t="s">
        <v>247</v>
      </c>
      <c r="B6" s="1172"/>
      <c r="C6" s="1173"/>
      <c r="D6" s="1174">
        <f>IF($E$4="Oui",VLOOKUP(1,LEAGUES_Bonus[#All],4),0)</f>
        <v>0</v>
      </c>
      <c r="E6" s="1175"/>
      <c r="I6" s="122" t="s">
        <v>50</v>
      </c>
      <c r="J6" s="123">
        <f>VLOOKUP($A$2,AVAILABLE_Upgrades_Normal_Troops[#All],MATCH($I6,AVAILABLE_Upgrades_Normal_Troops[#Headers],0)+1)</f>
        <v>0</v>
      </c>
      <c r="K6" s="289">
        <f>IF(ISERROR(MATCH(1,Paramètres!AP$6:AP$45,0)),0,MATCH(1,Paramètres!AP$6:AP$45,0))</f>
        <v>0</v>
      </c>
      <c r="L6" s="290">
        <f>IF($K6&lt;&gt;0,VLOOKUP($K6,TRAINING_Archer[#All],2),0)</f>
        <v>0</v>
      </c>
      <c r="M6" s="95">
        <f>IF($K6&lt;&gt;0,VLOOKUP($K6,TRAINING_Archer[#All],3),0)</f>
        <v>0</v>
      </c>
      <c r="N6" s="378"/>
    </row>
    <row r="7" spans="1:14" ht="16.5" customHeight="1" thickBot="1">
      <c r="A7" s="380" t="s">
        <v>248</v>
      </c>
      <c r="B7" s="1176"/>
      <c r="C7" s="1177"/>
      <c r="D7" s="1182">
        <f>IF($E$4="Oui",VLOOKUP(1,LEAGUES_Bonus[#All],5),0)</f>
        <v>0</v>
      </c>
      <c r="E7" s="1183"/>
      <c r="I7" s="122" t="s">
        <v>189</v>
      </c>
      <c r="J7" s="123">
        <f>VLOOKUP($A$2,AVAILABLE_Upgrades_Normal_Troops[#All],MATCH($I7,AVAILABLE_Upgrades_Normal_Troops[#Headers],0)+1)</f>
        <v>0</v>
      </c>
      <c r="K7" s="289">
        <f>IF(ISERROR(MATCH(1,Paramètres!AQ$6:AQ$45,0)),0,MATCH(1,Paramètres!AQ$6:AQ$45,0))</f>
        <v>0</v>
      </c>
      <c r="L7" s="290">
        <f>IF($K7&lt;&gt;0,VLOOKUP($K7,TRAINING_Goblin[#All],2),0)</f>
        <v>0</v>
      </c>
      <c r="M7" s="95">
        <f>IF($K7&lt;&gt;0,VLOOKUP($K7,TRAINING_Goblin[#All],3),0)</f>
        <v>0</v>
      </c>
      <c r="N7" s="378"/>
    </row>
    <row r="8" spans="1:14" ht="16.5" customHeight="1" thickBot="1">
      <c r="B8" s="137"/>
      <c r="I8" s="122" t="s">
        <v>188</v>
      </c>
      <c r="J8" s="123">
        <f>VLOOKUP($A$2,AVAILABLE_Upgrades_Normal_Troops[#All],MATCH($I8,AVAILABLE_Upgrades_Normal_Troops[#Headers],0)+1)</f>
        <v>0</v>
      </c>
      <c r="K8" s="289">
        <f>IF(ISERROR(MATCH(1,Paramètres!AR$6:AR$45,0)),0,MATCH(1,Paramètres!AR$6:AR$45,0))</f>
        <v>0</v>
      </c>
      <c r="L8" s="290">
        <f>IF($K8&lt;&gt;0,VLOOKUP($K8,TRAINING_Giant[#All],2),0)</f>
        <v>0</v>
      </c>
      <c r="M8" s="95">
        <f>IF($K8&lt;&gt;0,VLOOKUP($K8,TRAINING_Giant[#All],3),0)</f>
        <v>0</v>
      </c>
      <c r="N8" s="378"/>
    </row>
    <row r="9" spans="1:14" ht="16.5" customHeight="1" thickBot="1">
      <c r="A9" s="1082" t="s">
        <v>422</v>
      </c>
      <c r="B9" s="1083"/>
      <c r="C9" s="1084"/>
      <c r="I9" s="122" t="s">
        <v>187</v>
      </c>
      <c r="J9" s="123">
        <f>VLOOKUP($A$2,AVAILABLE_Upgrades_Normal_Troops[#All],MATCH($I9,AVAILABLE_Upgrades_Normal_Troops[#Headers],0)+1)</f>
        <v>0</v>
      </c>
      <c r="K9" s="289">
        <f>IF(ISERROR(MATCH(1,Paramètres!AS$6:AS$45,0)),0,MATCH(1,Paramètres!AS$6:AS$45,0))</f>
        <v>0</v>
      </c>
      <c r="L9" s="290">
        <f>IF($K9&lt;&gt;0,VLOOKUP($K9,TRAINING_Wall_Breaker[#All],2),0)</f>
        <v>0</v>
      </c>
      <c r="M9" s="95">
        <f>IF($K9&lt;&gt;0,VLOOKUP($K9,TRAINING_Wall_Breaker[#All],3),0)</f>
        <v>0</v>
      </c>
      <c r="N9" s="378"/>
    </row>
    <row r="10" spans="1:14" ht="16.5" customHeight="1" thickBot="1">
      <c r="A10" s="232" t="s">
        <v>123</v>
      </c>
      <c r="B10" s="1164" t="s">
        <v>423</v>
      </c>
      <c r="C10" s="1165"/>
      <c r="I10" s="122" t="s">
        <v>186</v>
      </c>
      <c r="J10" s="123">
        <f>VLOOKUP($A$2,AVAILABLE_Upgrades_Normal_Troops[#All],MATCH($I10,AVAILABLE_Upgrades_Normal_Troops[#Headers],0)+1)</f>
        <v>0</v>
      </c>
      <c r="K10" s="289">
        <f>IF(ISERROR(MATCH(1,Paramètres!AT$6:AT$45,0)),0,MATCH(1,Paramètres!AT$6:AT$45,0))</f>
        <v>0</v>
      </c>
      <c r="L10" s="290">
        <f>IF($K10&lt;&gt;0,VLOOKUP($K10,TRAINING_Balloon[#All],2),0)</f>
        <v>0</v>
      </c>
      <c r="M10" s="95">
        <f>IF($K10&lt;&gt;0,VLOOKUP($K10,TRAINING_Balloon[#All],3),0)</f>
        <v>0</v>
      </c>
      <c r="N10" s="378"/>
    </row>
    <row r="11" spans="1:14" ht="16.5" customHeight="1">
      <c r="A11" s="119" t="s">
        <v>246</v>
      </c>
      <c r="B11" s="1166">
        <f>B5+D5</f>
        <v>-50</v>
      </c>
      <c r="C11" s="1167"/>
      <c r="I11" s="122" t="s">
        <v>185</v>
      </c>
      <c r="J11" s="123">
        <f>VLOOKUP($A$2,AVAILABLE_Upgrades_Normal_Troops[#All],MATCH($I11,AVAILABLE_Upgrades_Normal_Troops[#Headers],0)+1)</f>
        <v>0</v>
      </c>
      <c r="K11" s="289">
        <f>IF(ISERROR(MATCH(1,Paramètres!AU$6:AU$45,0)),0,MATCH(1,Paramètres!AU$6:AU$45,0))</f>
        <v>0</v>
      </c>
      <c r="L11" s="290">
        <f>IF($K11&lt;&gt;0,VLOOKUP($K11,TRAINING_Wizard[#All],2),0)</f>
        <v>0</v>
      </c>
      <c r="M11" s="95">
        <f>IF($K11&lt;&gt;0,VLOOKUP($K11,TRAINING_Wizard[#All],3),0)</f>
        <v>0</v>
      </c>
      <c r="N11" s="378"/>
    </row>
    <row r="12" spans="1:14" ht="16.5" customHeight="1">
      <c r="A12" s="122" t="s">
        <v>247</v>
      </c>
      <c r="B12" s="1187">
        <f>(B6+D6)-(F32+N17)</f>
        <v>0</v>
      </c>
      <c r="C12" s="1188"/>
      <c r="I12" s="122" t="s">
        <v>184</v>
      </c>
      <c r="J12" s="123">
        <f>VLOOKUP($A$2,AVAILABLE_Upgrades_Normal_Troops[#All],MATCH($I12,AVAILABLE_Upgrades_Normal_Troops[#Headers],0)+1)</f>
        <v>0</v>
      </c>
      <c r="K12" s="289">
        <f>IF(ISERROR(MATCH(1,Paramètres!AV$6:AV$45,0)),0,MATCH(1,Paramètres!AV$6:AV$45,0))</f>
        <v>0</v>
      </c>
      <c r="L12" s="290">
        <f>IF($K12&lt;&gt;0,VLOOKUP($K12,TRAINING_Healer[#All],2),0)</f>
        <v>0</v>
      </c>
      <c r="M12" s="95">
        <f>IF($K12&lt;&gt;0,VLOOKUP($K12,TRAINING_Healer[#All],3),0)</f>
        <v>0</v>
      </c>
      <c r="N12" s="378"/>
    </row>
    <row r="13" spans="1:14" ht="16.5" customHeight="1" thickBot="1">
      <c r="A13" s="293" t="s">
        <v>248</v>
      </c>
      <c r="B13" s="1189">
        <f>B7+D7-(F33+N30)</f>
        <v>0</v>
      </c>
      <c r="C13" s="1190"/>
      <c r="I13" s="122" t="s">
        <v>57</v>
      </c>
      <c r="J13" s="123">
        <f>VLOOKUP($A$2,AVAILABLE_Upgrades_Normal_Troops[#All],MATCH($I13,AVAILABLE_Upgrades_Normal_Troops[#Headers],0)+1)</f>
        <v>0</v>
      </c>
      <c r="K13" s="289">
        <f>IF(ISERROR(MATCH(1,Paramètres!AW$6:AW$45,0)),0,MATCH(1,Paramètres!AW$6:AW$45,0))</f>
        <v>0</v>
      </c>
      <c r="L13" s="290">
        <f>IF($K13&lt;&gt;0,VLOOKUP($K13,TRAINING_Dragon[#All],2),0)</f>
        <v>0</v>
      </c>
      <c r="M13" s="95">
        <f>IF($K13&lt;&gt;0,VLOOKUP($K13,TRAINING_Dragon[#All],3),0)</f>
        <v>0</v>
      </c>
      <c r="N13" s="378"/>
    </row>
    <row r="14" spans="1:14" ht="16.5" customHeight="1" thickBot="1">
      <c r="I14" s="293" t="s">
        <v>58</v>
      </c>
      <c r="J14" s="159">
        <f>VLOOKUP($A$2,AVAILABLE_Upgrades_Normal_Troops[#All],MATCH($I14,AVAILABLE_Upgrades_Normal_Troops[#Headers],0)+1)</f>
        <v>0</v>
      </c>
      <c r="K14" s="531">
        <f>IF(ISERROR(MATCH(1,Paramètres!AX$6:AX$45,0)),0,MATCH(1,Paramètres!AX$6:AX$45,0))</f>
        <v>0</v>
      </c>
      <c r="L14" s="294">
        <f>IF($K14&lt;&gt;0,VLOOKUP($K14,TRAINING_PEKKA[#All],2),0)</f>
        <v>0</v>
      </c>
      <c r="M14" s="112">
        <f>IF($K14&lt;&gt;0,VLOOKUP($K14,TRAINING_PEKKA[#All],3),0)</f>
        <v>0</v>
      </c>
      <c r="N14" s="379"/>
    </row>
    <row r="15" spans="1:14" ht="16.5" customHeight="1" thickBot="1">
      <c r="B15" s="1185" t="s">
        <v>298</v>
      </c>
      <c r="C15" s="1186"/>
      <c r="D15" s="1191" t="s">
        <v>332</v>
      </c>
      <c r="E15" s="1191"/>
      <c r="F15" s="1192"/>
      <c r="J15" s="1180" t="s">
        <v>317</v>
      </c>
      <c r="K15" s="1181"/>
      <c r="L15" s="704"/>
      <c r="M15" s="705"/>
      <c r="N15" s="303">
        <f>SUMPRODUCT(N$5:N$14,$L$5:$L$14)</f>
        <v>0</v>
      </c>
    </row>
    <row r="16" spans="1:14" ht="16.5" customHeight="1" thickBot="1">
      <c r="B16" s="1160" t="s">
        <v>340</v>
      </c>
      <c r="C16" s="1161"/>
      <c r="D16" s="1162" t="s">
        <v>656</v>
      </c>
      <c r="E16" s="1162"/>
      <c r="F16" s="1163"/>
      <c r="J16" s="1178" t="s">
        <v>338</v>
      </c>
      <c r="K16" s="1184"/>
      <c r="L16" s="704"/>
      <c r="M16" s="705"/>
      <c r="N16" s="683">
        <f>SUMPRODUCT(Paramètres!J6:J13,'Coûts de Formation'!AH31:AH38)</f>
        <v>0</v>
      </c>
    </row>
    <row r="17" spans="1:14" ht="16.5" customHeight="1" thickBot="1">
      <c r="B17" s="708"/>
      <c r="C17" s="708"/>
      <c r="D17" s="709"/>
      <c r="E17" s="709"/>
      <c r="F17" s="709"/>
      <c r="J17" s="1178" t="s">
        <v>232</v>
      </c>
      <c r="K17" s="1179"/>
      <c r="L17" s="706"/>
      <c r="M17" s="301"/>
      <c r="N17" s="386">
        <f>SUMPRODUCT(N$5:N$14,$M$5:$M$14)</f>
        <v>0</v>
      </c>
    </row>
    <row r="18" spans="1:14" ht="23.25" customHeight="1" thickBot="1">
      <c r="A18" s="193" t="s">
        <v>315</v>
      </c>
      <c r="B18" s="682">
        <f>IF(ISERROR(MATCH(1,Paramètres!L$6:L$45,0)),0,MATCH(1,Paramètres!L$6:L$45,0))</f>
        <v>0</v>
      </c>
    </row>
    <row r="19" spans="1:14" ht="23.25" thickBot="1">
      <c r="A19" s="193" t="s">
        <v>712</v>
      </c>
      <c r="B19" s="682">
        <f>IF(ISERROR(MATCH(1,Paramètres!M$6:M$45,0)),0,MATCH(1,Paramètres!M$6:M$45,0))</f>
        <v>0</v>
      </c>
      <c r="I19" s="193" t="s">
        <v>319</v>
      </c>
    </row>
    <row r="20" spans="1:14" ht="16.5" customHeight="1" thickBot="1">
      <c r="A20" s="1082" t="s">
        <v>312</v>
      </c>
      <c r="B20" s="1083"/>
      <c r="C20" s="1083"/>
      <c r="D20" s="1083"/>
      <c r="E20" s="1083"/>
      <c r="F20" s="1084"/>
      <c r="I20" s="682">
        <f>Paramètres!I46</f>
        <v>0</v>
      </c>
    </row>
    <row r="21" spans="1:14" ht="16.5" customHeight="1" thickBot="1">
      <c r="A21" s="277"/>
      <c r="B21" s="278" t="s">
        <v>39</v>
      </c>
      <c r="C21" s="544" t="s">
        <v>331</v>
      </c>
      <c r="D21" s="544" t="s">
        <v>390</v>
      </c>
      <c r="E21" s="279" t="s">
        <v>258</v>
      </c>
      <c r="F21" s="349" t="s">
        <v>208</v>
      </c>
      <c r="I21" s="1082" t="s">
        <v>314</v>
      </c>
      <c r="J21" s="1083"/>
      <c r="K21" s="1083"/>
      <c r="L21" s="1083"/>
      <c r="M21" s="1083"/>
      <c r="N21" s="1084"/>
    </row>
    <row r="22" spans="1:14" ht="16.5" customHeight="1" thickTop="1" thickBot="1">
      <c r="A22" s="285" t="s">
        <v>190</v>
      </c>
      <c r="B22" s="83">
        <f>VLOOKUP($A$2,AVAILABLE_Upgrades_Spells[#All],MATCH($A22,AVAILABLE_Upgrades_Spells[#Headers],0)+1)</f>
        <v>0</v>
      </c>
      <c r="C22" s="286">
        <f>IF(ISERROR(MATCH(1,Paramètres!AG$6:AG$45,0)),0,MATCH(1,Paramètres!AG$6:AG$45,0))</f>
        <v>0</v>
      </c>
      <c r="D22" s="287">
        <f>IF($C22&lt;&gt;0,VLOOKUP($C22,TRAINING_Spell_Lightning[#All],2),0)</f>
        <v>0</v>
      </c>
      <c r="E22" s="829">
        <f>IF($C22&lt;&gt;0,VLOOKUP($C22,TRAINING_Spell_Lightning[#All],3),0)</f>
        <v>0</v>
      </c>
      <c r="F22" s="377"/>
      <c r="I22" s="284"/>
      <c r="J22" s="278" t="s">
        <v>39</v>
      </c>
      <c r="K22" s="544" t="s">
        <v>331</v>
      </c>
      <c r="L22" s="544" t="s">
        <v>390</v>
      </c>
      <c r="M22" s="279" t="s">
        <v>258</v>
      </c>
      <c r="N22" s="349" t="s">
        <v>343</v>
      </c>
    </row>
    <row r="23" spans="1:14" ht="16.5" customHeight="1">
      <c r="A23" s="122" t="s">
        <v>191</v>
      </c>
      <c r="B23" s="91">
        <f>VLOOKUP($A$2,AVAILABLE_Upgrades_Spells[#All],MATCH($A23,AVAILABLE_Upgrades_Spells[#Headers],0)+1)</f>
        <v>0</v>
      </c>
      <c r="C23" s="289">
        <f>IF(ISERROR(MATCH(1,Paramètres!AH$6:AH$45,0)),0,MATCH(1,Paramètres!AH$6:AH$45,0))</f>
        <v>0</v>
      </c>
      <c r="D23" s="290">
        <f>IF($C23&lt;&gt;0,VLOOKUP($C23,TRAINING_Spell_Healing[#All],2),0)</f>
        <v>0</v>
      </c>
      <c r="E23" s="829">
        <f>IF($C23&lt;&gt;0,VLOOKUP($C23,TRAINING_Spell_Healing[#All],3),0)</f>
        <v>0</v>
      </c>
      <c r="F23" s="378"/>
      <c r="I23" s="285" t="s">
        <v>183</v>
      </c>
      <c r="J23" s="123">
        <f>VLOOKUP($A$2,AVAILABLE_Upgrades_Dark_Troops[#All],MATCH($I23,AVAILABLE_Upgrades_Dark_Troops[#Headers],0)+1)</f>
        <v>0</v>
      </c>
      <c r="K23" s="289">
        <f>IF(ISERROR(MATCH(1,Paramètres!AY$6:AY$45,0)),0,MATCH(1,Paramètres!AY$6:AY$45,0))</f>
        <v>0</v>
      </c>
      <c r="L23" s="290">
        <f>IF($K23&lt;&gt;0,VLOOKUP($K23,TRAINING_Minion[#All],2),0)</f>
        <v>0</v>
      </c>
      <c r="M23" s="124">
        <f>IF($K23&lt;&gt;0,VLOOKUP($K23,TRAINING_Minion[#All],3),0)</f>
        <v>0</v>
      </c>
      <c r="N23" s="567"/>
    </row>
    <row r="24" spans="1:14" ht="16.5" customHeight="1">
      <c r="A24" s="122" t="s">
        <v>192</v>
      </c>
      <c r="B24" s="91">
        <f>VLOOKUP($A$2,AVAILABLE_Upgrades_Spells[#All],MATCH($A24,AVAILABLE_Upgrades_Spells[#Headers],0)+1)</f>
        <v>0</v>
      </c>
      <c r="C24" s="289">
        <f>IF(ISERROR(MATCH(1,Paramètres!AI$6:AI$45,0)),0,MATCH(1,Paramètres!AI$6:AI$45,0))</f>
        <v>0</v>
      </c>
      <c r="D24" s="290">
        <f>IF($C24&lt;&gt;0,VLOOKUP($C24,TRAINING_Spell_Rage[#All],2),0)</f>
        <v>0</v>
      </c>
      <c r="E24" s="829">
        <f>IF($C24&lt;&gt;0,VLOOKUP($C24,TRAINING_Spell_Rage[#All],3),0)</f>
        <v>0</v>
      </c>
      <c r="F24" s="378"/>
      <c r="I24" s="122" t="s">
        <v>245</v>
      </c>
      <c r="J24" s="123">
        <f>VLOOKUP($A$2,AVAILABLE_Upgrades_Dark_Troops[#All],MATCH($I24,AVAILABLE_Upgrades_Dark_Troops[#Headers],0)+1)</f>
        <v>0</v>
      </c>
      <c r="K24" s="289">
        <f>IF(ISERROR(MATCH(1,Paramètres!AZ$6:AZ$45,0)),0,MATCH(1,Paramètres!AZ$6:AZ$45,0))</f>
        <v>0</v>
      </c>
      <c r="L24" s="290">
        <f>IF($K24&lt;&gt;0,VLOOKUP($K24,TRAINING_Hog_Rider[#All],2),0)</f>
        <v>0</v>
      </c>
      <c r="M24" s="124">
        <f>IF($K24&lt;&gt;0,VLOOKUP($K24,TRAINING_Hog_Rider[#All],3),0)</f>
        <v>0</v>
      </c>
      <c r="N24" s="568"/>
    </row>
    <row r="25" spans="1:14" ht="16.5" customHeight="1">
      <c r="A25" s="122" t="s">
        <v>193</v>
      </c>
      <c r="B25" s="91">
        <f>VLOOKUP($A$2,AVAILABLE_Upgrades_Spells[#All],MATCH($A25,AVAILABLE_Upgrades_Spells[#Headers],0)+1)</f>
        <v>0</v>
      </c>
      <c r="C25" s="289">
        <f>IF(ISERROR(MATCH(1,Paramètres!AJ$6:AJ$45,0)),0,MATCH(1,Paramètres!AJ$6:AJ$45,0))</f>
        <v>0</v>
      </c>
      <c r="D25" s="290">
        <f>IF($C25&lt;&gt;0,VLOOKUP($C25,TRAINING_Spell_Jump[#All],2),0)</f>
        <v>0</v>
      </c>
      <c r="E25" s="829">
        <f>IF($C25&lt;&gt;0,VLOOKUP($C25,TRAINING_Spell_Jump[#All],3),0)</f>
        <v>0</v>
      </c>
      <c r="F25" s="378"/>
      <c r="I25" s="122" t="s">
        <v>66</v>
      </c>
      <c r="J25" s="123">
        <f>VLOOKUP($A$2,AVAILABLE_Upgrades_Dark_Troops[#All],MATCH($I25,AVAILABLE_Upgrades_Dark_Troops[#Headers],0)+1)</f>
        <v>0</v>
      </c>
      <c r="K25" s="289">
        <f>IF(ISERROR(MATCH(1,Paramètres!BA$6:BA$45,0)),0,MATCH(1,Paramètres!BA$6:BA$45,0))</f>
        <v>0</v>
      </c>
      <c r="L25" s="290">
        <f>IF($K25&lt;&gt;0,VLOOKUP($K25,TRAINING_Valkyrie[#All],2),0)</f>
        <v>0</v>
      </c>
      <c r="M25" s="124">
        <f>IF($K25&lt;&gt;0,VLOOKUP($K25,TRAINING_Valkyrie[#All],3),0)</f>
        <v>0</v>
      </c>
      <c r="N25" s="568"/>
    </row>
    <row r="26" spans="1:14" ht="16.5" customHeight="1" thickBot="1">
      <c r="A26" s="293" t="s">
        <v>194</v>
      </c>
      <c r="B26" s="527">
        <f>VLOOKUP($A$2,AVAILABLE_Upgrades_Spells[#All],MATCH($A26,AVAILABLE_Upgrades_Spells[#Headers],0)+1)</f>
        <v>0</v>
      </c>
      <c r="C26" s="222">
        <f>IF(ISERROR(MATCH(1,Paramètres!AK$6:AK$45,0)),0,MATCH(1,Paramètres!AK$6:AK$45,0))</f>
        <v>0</v>
      </c>
      <c r="D26" s="296">
        <f>IF($C26&lt;&gt;0,VLOOKUP($C26,TRAINING_Spell_Freeze[#All],2),0)</f>
        <v>0</v>
      </c>
      <c r="E26" s="829">
        <f>IF($C26&lt;&gt;0,VLOOKUP($C26,TRAINING_Spell_Freeze[#All],3),0)</f>
        <v>0</v>
      </c>
      <c r="F26" s="379"/>
      <c r="I26" s="122" t="s">
        <v>67</v>
      </c>
      <c r="J26" s="159">
        <f>VLOOKUP($A$2,AVAILABLE_Upgrades_Dark_Troops[#All],MATCH($I26,AVAILABLE_Upgrades_Dark_Troops[#Headers],0)+1)</f>
        <v>0</v>
      </c>
      <c r="K26" s="531">
        <f>IF(ISERROR(MATCH(1,Paramètres!BB$6:BB$45,0)),0,MATCH(1,Paramètres!BB$6:BB$45,0))</f>
        <v>0</v>
      </c>
      <c r="L26" s="294">
        <f>IF($K26&lt;&gt;0,VLOOKUP($K26,TRAINING_Golem[#All],2),0)</f>
        <v>0</v>
      </c>
      <c r="M26" s="125">
        <f>IF($K26&lt;&gt;0,VLOOKUP($K26,TRAINING_Golem[#All],3),0)</f>
        <v>0</v>
      </c>
      <c r="N26" s="568"/>
    </row>
    <row r="27" spans="1:14" ht="16.5" customHeight="1" thickBot="1">
      <c r="A27" s="380" t="s">
        <v>707</v>
      </c>
      <c r="B27" s="473">
        <f>VLOOKUP($A$2,AVAILABLE_Upgrades_Dark_Spells[#All],MATCH($A27,AVAILABLE_Upgrades_Dark_Spells[#Headers],0)+1)</f>
        <v>0</v>
      </c>
      <c r="C27" s="474">
        <f>IF(ISERROR(MATCH(1,Paramètres!AL$6:AL$45,0)),0,MATCH(1,Paramètres!AL$6:AL$45,0))</f>
        <v>0</v>
      </c>
      <c r="D27" s="824">
        <f>IF($C27&lt;&gt;0,VLOOKUP($C27,TRAINING_Spell_Poison[#All],2),0)</f>
        <v>0</v>
      </c>
      <c r="E27" s="121">
        <f>IF($C27&lt;&gt;0,VLOOKUP($C27,TRAINING_Spell_Poison[#All],3),0)</f>
        <v>0</v>
      </c>
      <c r="F27" s="378"/>
      <c r="I27" s="122" t="s">
        <v>536</v>
      </c>
      <c r="J27" s="159">
        <f>VLOOKUP($A$2,AVAILABLE_Upgrades_Dark_Troops[#All],MATCH($I27,AVAILABLE_Upgrades_Dark_Troops[#Headers],0)+1)</f>
        <v>0</v>
      </c>
      <c r="K27" s="531">
        <f>IF(ISERROR(MATCH(1,Paramètres!BC$6:BC$45,0)),0,MATCH(1,Paramètres!BC$6:BC$45,0))</f>
        <v>0</v>
      </c>
      <c r="L27" s="294">
        <f>IF($K27&lt;&gt;0,VLOOKUP($K27,TRAINING_Witch[#All],2),0)</f>
        <v>0</v>
      </c>
      <c r="M27" s="125">
        <f>IF($K27&lt;&gt;0,VLOOKUP($K27,TRAINING_Witch[#All],3),0)</f>
        <v>0</v>
      </c>
      <c r="N27" s="568"/>
    </row>
    <row r="28" spans="1:14" ht="16.5" customHeight="1" thickBot="1">
      <c r="A28" s="380" t="s">
        <v>719</v>
      </c>
      <c r="B28" s="91">
        <f>VLOOKUP($A$2,AVAILABLE_Upgrades_Dark_Spells[#All],MATCH($A28,AVAILABLE_Upgrades_Dark_Spells[#Headers],0)+1)</f>
        <v>0</v>
      </c>
      <c r="C28" s="289">
        <f>IF(ISERROR(MATCH(1,Paramètres!AM$6:AM$45,0)),0,MATCH(1,Paramètres!AM$6:AM$45,0))</f>
        <v>0</v>
      </c>
      <c r="D28" s="290">
        <f>IF($C28&lt;&gt;0,VLOOKUP($C28,TRAINING_Spell_Earthquake[#All],2),0)</f>
        <v>0</v>
      </c>
      <c r="E28" s="124">
        <f>IF($C28&lt;&gt;0,VLOOKUP($C28,TRAINING_Spell_Earthquake[#All],3),0)</f>
        <v>0</v>
      </c>
      <c r="F28" s="378"/>
      <c r="I28" s="119" t="s">
        <v>573</v>
      </c>
      <c r="J28" s="159">
        <f>VLOOKUP($A$2,AVAILABLE_Upgrades_Dark_Troops[#All],MATCH($I28,AVAILABLE_Upgrades_Dark_Troops[#Headers],0)+1)</f>
        <v>0</v>
      </c>
      <c r="K28" s="531">
        <f>IF(ISERROR(MATCH(1,Paramètres!BD$6:BD$45,0)),0,MATCH(1,Paramètres!BD$6:BD$45,0))</f>
        <v>0</v>
      </c>
      <c r="L28" s="294">
        <f>IF($K28&lt;&gt;0,VLOOKUP($K28,TRAINING_Lava_Hound[#All],2),0)</f>
        <v>0</v>
      </c>
      <c r="M28" s="125">
        <f>IF($K28&lt;&gt;0,VLOOKUP($K28,TRAINING_Lava_Hound[#All],3),0)</f>
        <v>0</v>
      </c>
      <c r="N28" s="569"/>
    </row>
    <row r="29" spans="1:14" ht="16.5" customHeight="1" thickBot="1">
      <c r="A29" s="380" t="s">
        <v>708</v>
      </c>
      <c r="B29" s="527">
        <f>VLOOKUP($A$2,AVAILABLE_Upgrades_Dark_Spells[#All],MATCH($A29,AVAILABLE_Upgrades_Dark_Spells[#Headers],0)+1)</f>
        <v>0</v>
      </c>
      <c r="C29" s="222">
        <f>IF(ISERROR(MATCH(1,Paramètres!AN$6:AN$45,0)),0,MATCH(1,Paramètres!AN$6:AN$45,0))</f>
        <v>0</v>
      </c>
      <c r="D29" s="296">
        <f>IF($C29&lt;&gt;0,VLOOKUP($C29,TRAINING_Spell_Haste[#All],2),0)</f>
        <v>0</v>
      </c>
      <c r="E29" s="207">
        <f>IF($C29&lt;&gt;0,VLOOKUP($C29,TRAINING_Spell_Haste[#All],3),0)</f>
        <v>0</v>
      </c>
      <c r="F29" s="379"/>
      <c r="J29" s="1180" t="s">
        <v>317</v>
      </c>
      <c r="K29" s="1181"/>
      <c r="L29" s="284"/>
      <c r="M29" s="705"/>
      <c r="N29" s="303">
        <f>SUMPRODUCT(N$23:N$28,$L$23:$L$28)</f>
        <v>0</v>
      </c>
    </row>
    <row r="30" spans="1:14" ht="16.5" customHeight="1" thickBot="1">
      <c r="B30" s="1180" t="s">
        <v>317</v>
      </c>
      <c r="C30" s="1181"/>
      <c r="D30" s="284"/>
      <c r="E30" s="705"/>
      <c r="F30" s="306">
        <f>SUMPRODUCT(F$22:F$29,$D$22:$D$29)</f>
        <v>0</v>
      </c>
      <c r="J30" s="1178" t="s">
        <v>232</v>
      </c>
      <c r="K30" s="1179"/>
      <c r="L30" s="707"/>
      <c r="M30" s="301"/>
      <c r="N30" s="309">
        <f>SUMPRODUCT(N$23:N$28,$M$23:$M$28)</f>
        <v>0</v>
      </c>
    </row>
    <row r="31" spans="1:14" ht="15" customHeight="1">
      <c r="B31" s="1180" t="s">
        <v>655</v>
      </c>
      <c r="C31" s="1181"/>
      <c r="D31" s="284"/>
      <c r="E31" s="705"/>
      <c r="F31" s="683">
        <f>VLOOKUP($B$19,TRAINING_Dark_Spell_Factory[#All],2)+VLOOKUP($B$18,TRAINING_Spell_Factory[#All],2)</f>
        <v>0</v>
      </c>
    </row>
    <row r="32" spans="1:14" ht="15" customHeight="1">
      <c r="B32" s="1178" t="s">
        <v>232</v>
      </c>
      <c r="C32" s="1179"/>
      <c r="D32" s="707"/>
      <c r="E32" s="301"/>
      <c r="F32" s="386">
        <f>SUMPRODUCT(F$22:F$26,$E$22:$E$26)</f>
        <v>0</v>
      </c>
    </row>
    <row r="33" spans="2:6" ht="15" customHeight="1">
      <c r="B33" s="1178" t="s">
        <v>232</v>
      </c>
      <c r="C33" s="1179"/>
      <c r="D33" s="707"/>
      <c r="E33" s="301"/>
      <c r="F33" s="309">
        <f>SUMPRODUCT(F$27:F$29,$E$27:$E$29)</f>
        <v>0</v>
      </c>
    </row>
  </sheetData>
  <sheetProtection selectLockedCells="1"/>
  <dataConsolidate/>
  <mergeCells count="31">
    <mergeCell ref="B33:C33"/>
    <mergeCell ref="B32:C32"/>
    <mergeCell ref="J29:K29"/>
    <mergeCell ref="D7:E7"/>
    <mergeCell ref="J16:K16"/>
    <mergeCell ref="B31:C31"/>
    <mergeCell ref="B15:C15"/>
    <mergeCell ref="B12:C12"/>
    <mergeCell ref="B13:C13"/>
    <mergeCell ref="D15:F15"/>
    <mergeCell ref="J30:K30"/>
    <mergeCell ref="J15:K15"/>
    <mergeCell ref="J17:K17"/>
    <mergeCell ref="I21:N21"/>
    <mergeCell ref="B30:C30"/>
    <mergeCell ref="B1:C1"/>
    <mergeCell ref="B2:C2"/>
    <mergeCell ref="A20:F20"/>
    <mergeCell ref="I3:N3"/>
    <mergeCell ref="A3:E3"/>
    <mergeCell ref="B4:C4"/>
    <mergeCell ref="B16:C16"/>
    <mergeCell ref="D16:F16"/>
    <mergeCell ref="A9:C9"/>
    <mergeCell ref="B10:C10"/>
    <mergeCell ref="B11:C11"/>
    <mergeCell ref="B5:C5"/>
    <mergeCell ref="D5:E5"/>
    <mergeCell ref="B6:C6"/>
    <mergeCell ref="D6:E6"/>
    <mergeCell ref="B7:C7"/>
  </mergeCells>
  <conditionalFormatting sqref="B11:B13">
    <cfRule type="iconSet" priority="16">
      <iconSet iconSet="3Symbols2">
        <cfvo type="percent" val="0"/>
        <cfvo type="num" val="0"/>
        <cfvo type="num" val="1"/>
      </iconSet>
    </cfRule>
  </conditionalFormatting>
  <conditionalFormatting sqref="N27:N28">
    <cfRule type="expression" dxfId="1714" priority="124">
      <formula>#REF!&lt;5</formula>
    </cfRule>
  </conditionalFormatting>
  <conditionalFormatting sqref="N28">
    <cfRule type="expression" dxfId="1713" priority="136" stopIfTrue="1">
      <formula>$I$20&lt;1</formula>
    </cfRule>
  </conditionalFormatting>
  <conditionalFormatting sqref="N29 N15">
    <cfRule type="expression" dxfId="1712" priority="151">
      <formula>$N$15+$N$29&gt;$N$16</formula>
    </cfRule>
  </conditionalFormatting>
  <conditionalFormatting sqref="F30">
    <cfRule type="expression" dxfId="1711" priority="155">
      <formula>$F$30&gt;$F$31</formula>
    </cfRule>
  </conditionalFormatting>
  <conditionalFormatting sqref="N5:N14">
    <cfRule type="expression" dxfId="1710" priority="226">
      <formula>OR($J5=0,$K5=0)</formula>
    </cfRule>
  </conditionalFormatting>
  <conditionalFormatting sqref="F22:F26">
    <cfRule type="expression" dxfId="1709" priority="250">
      <formula>OR($B22=0,$C22=0)</formula>
    </cfRule>
  </conditionalFormatting>
  <conditionalFormatting sqref="F27:F29">
    <cfRule type="expression" dxfId="1708" priority="251">
      <formula>OR($B27=0,$D27=0)</formula>
    </cfRule>
  </conditionalFormatting>
  <conditionalFormatting sqref="N23:N27">
    <cfRule type="expression" dxfId="1707" priority="255">
      <formula>N$29&gt;#REF!</formula>
    </cfRule>
  </conditionalFormatting>
  <conditionalFormatting sqref="N23:N28">
    <cfRule type="expression" dxfId="1706" priority="256">
      <formula>OR($J23=0,$K23=0)</formula>
    </cfRule>
    <cfRule type="expression" dxfId="1705" priority="257">
      <formula>#REF!&lt;1</formula>
    </cfRule>
  </conditionalFormatting>
  <conditionalFormatting sqref="N28">
    <cfRule type="expression" dxfId="1704" priority="258">
      <formula>#REF!&lt;6</formula>
    </cfRule>
    <cfRule type="expression" dxfId="1703" priority="259" stopIfTrue="1">
      <formula>OR($J28=0,$K28=0)</formula>
    </cfRule>
    <cfRule type="expression" dxfId="1702" priority="260" stopIfTrue="1">
      <formula>N$29&gt;#REF!</formula>
    </cfRule>
  </conditionalFormatting>
  <dataValidations count="5">
    <dataValidation type="whole" allowBlank="1" showInputMessage="1" showErrorMessage="1" sqref="N23:N28 N5:N14">
      <formula1>0</formula1>
      <formula2>1000</formula2>
    </dataValidation>
    <dataValidation type="whole" allowBlank="1" showInputMessage="1" showErrorMessage="1" sqref="F22:F28 G5:G9">
      <formula1>0</formula1>
      <formula2>10</formula2>
    </dataValidation>
    <dataValidation type="list" showErrorMessage="1" sqref="E4">
      <formula1>"Oui,Non"</formula1>
    </dataValidation>
    <dataValidation type="whole" allowBlank="1" showInputMessage="1" showErrorMessage="1" sqref="B5:B7">
      <formula1>0</formula1>
      <formula2>2000000</formula2>
    </dataValidation>
    <dataValidation type="list" allowBlank="1" showInputMessage="1" showErrorMessage="1" sqref="N2">
      <formula1>"0,1,2,3,4,5,6,7,8,9,10"</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Feuil10">
    <tabColor rgb="FFFF0000"/>
  </sheetPr>
  <dimension ref="A1:T29"/>
  <sheetViews>
    <sheetView showGridLines="0" workbookViewId="0">
      <pane ySplit="2" topLeftCell="A3" activePane="bottomLeft" state="frozen"/>
      <selection activeCell="P319" sqref="P319"/>
      <selection pane="bottomLeft" activeCell="C2" sqref="C2"/>
    </sheetView>
  </sheetViews>
  <sheetFormatPr baseColWidth="10" defaultColWidth="11.42578125" defaultRowHeight="15" customHeight="1"/>
  <cols>
    <col min="1" max="1" width="15.28515625" style="137" bestFit="1" customWidth="1"/>
    <col min="2" max="7" width="10.7109375" style="137" customWidth="1"/>
    <col min="8" max="8" width="5.7109375" style="137" customWidth="1"/>
    <col min="9" max="9" width="20" style="137" bestFit="1" customWidth="1"/>
    <col min="10" max="10" width="9.140625" style="137" customWidth="1"/>
    <col min="11" max="13" width="8.7109375" style="137" customWidth="1"/>
    <col min="14" max="14" width="10.7109375" style="137" customWidth="1"/>
    <col min="15" max="16384" width="11.42578125" style="137"/>
  </cols>
  <sheetData>
    <row r="1" spans="1:20" ht="15" customHeight="1" thickBot="1">
      <c r="A1" s="334" t="s">
        <v>291</v>
      </c>
      <c r="B1" s="763" t="s">
        <v>286</v>
      </c>
      <c r="C1" s="349" t="s">
        <v>292</v>
      </c>
      <c r="D1" s="193" t="s">
        <v>293</v>
      </c>
    </row>
    <row r="2" spans="1:20" ht="15" customHeight="1" thickTop="1" thickBot="1">
      <c r="A2" s="494">
        <f>Paramètres!$BI$2</f>
        <v>2</v>
      </c>
      <c r="B2" s="368" t="s">
        <v>289</v>
      </c>
      <c r="C2" s="368">
        <v>9</v>
      </c>
      <c r="D2" s="348">
        <f>IF($B$2='Paramètres - Admin'!$F$2,$C$2-$A$2,IF(B2='Paramètres - Admin'!$F$3,$A$2-$C$2))</f>
        <v>7</v>
      </c>
    </row>
    <row r="3" spans="1:20" ht="20.100000000000001" customHeight="1" thickBot="1">
      <c r="A3" s="1089" t="s">
        <v>300</v>
      </c>
      <c r="B3" s="1090"/>
      <c r="C3" s="1090"/>
      <c r="D3" s="1090"/>
      <c r="E3" s="1090"/>
      <c r="F3" s="1090"/>
      <c r="G3" s="1193"/>
      <c r="I3" s="1082" t="str">
        <f>IF($B$2='Paramètres - Admin'!$F$2,$G$29 &amp; C2,IF($B$2='Paramètres - Admin'!$F$3,$H$29 &amp; C2))</f>
        <v>Loots - Gains Possibles vs HdV LVL 9</v>
      </c>
      <c r="J3" s="1083"/>
      <c r="K3" s="1083"/>
      <c r="L3" s="1083"/>
      <c r="M3" s="1084"/>
    </row>
    <row r="4" spans="1:20" ht="24" customHeight="1" thickBot="1">
      <c r="A4" s="339"/>
      <c r="B4" s="229" t="s">
        <v>212</v>
      </c>
      <c r="C4" s="230" t="s">
        <v>452</v>
      </c>
      <c r="D4" s="230" t="s">
        <v>451</v>
      </c>
      <c r="E4" s="230" t="s">
        <v>176</v>
      </c>
      <c r="F4" s="230" t="s">
        <v>210</v>
      </c>
      <c r="G4" s="231" t="s">
        <v>211</v>
      </c>
      <c r="I4" s="901"/>
      <c r="J4" s="100" t="s">
        <v>307</v>
      </c>
      <c r="K4" s="230" t="s">
        <v>246</v>
      </c>
      <c r="L4" s="230" t="s">
        <v>247</v>
      </c>
      <c r="M4" s="231" t="s">
        <v>248</v>
      </c>
      <c r="R4" s="1194" t="s">
        <v>298</v>
      </c>
      <c r="S4" s="1196" t="s">
        <v>308</v>
      </c>
      <c r="T4" s="1197"/>
    </row>
    <row r="5" spans="1:20" ht="15" customHeight="1" thickBot="1">
      <c r="A5" s="130" t="s">
        <v>38</v>
      </c>
      <c r="B5" s="233">
        <f>IF($B$2='Paramètres - Admin'!$F$2,VLOOKUP($C$2,AVAILABLE_Buildings_Resource[#All],MATCH(B$4,AVAILABLE_Buildings_Resource[#Headers],0)),IF($B$2='Paramètres - Admin'!$F$3,VLOOKUP($A$2,AVAILABLE_Buildings_Resource[#All],MATCH(B$4,AVAILABLE_Buildings_Resource[#Headers],0))))</f>
        <v>4</v>
      </c>
      <c r="C5" s="233">
        <f>IF($B$2='Paramètres - Admin'!$F$2,VLOOKUP($C$2,AVAILABLE_Buildings_Resource[#All],MATCH(C$4,AVAILABLE_Buildings_Resource[#Headers],0)),IF($B$2='Paramètres - Admin'!$F$3,VLOOKUP($A$2,AVAILABLE_Buildings_Resource[#All],MATCH(C$4,AVAILABLE_Buildings_Resource[#Headers],0))))</f>
        <v>4</v>
      </c>
      <c r="D5" s="233">
        <f>IF($B$2='Paramètres - Admin'!$F$2,VLOOKUP($C$2,AVAILABLE_Buildings_Resource[#All],MATCH(D$4,AVAILABLE_Buildings_Resource[#Headers],0)),IF($B$2='Paramètres - Admin'!$F$3,VLOOKUP($A$2,AVAILABLE_Buildings_Resource[#All],MATCH(D$4,AVAILABLE_Buildings_Resource[#Headers],0))))</f>
        <v>1</v>
      </c>
      <c r="E5" s="233">
        <f>IF($B$2='Paramètres - Admin'!$F$2,VLOOKUP($C$2,AVAILABLE_Buildings_Resource[#All],MATCH(E$4,AVAILABLE_Buildings_Resource[#Headers],0)),IF($B$2='Paramètres - Admin'!$F$3,VLOOKUP($A$2,AVAILABLE_Buildings_Resource[#All],MATCH(E$4,AVAILABLE_Buildings_Resource[#Headers],0))))</f>
        <v>6</v>
      </c>
      <c r="F5" s="233">
        <f>IF($B$2='Paramètres - Admin'!$F$2,VLOOKUP($C$2,AVAILABLE_Buildings_Resource[#All],MATCH(F$4,AVAILABLE_Buildings_Resource[#Headers],0)),IF($B$2='Paramètres - Admin'!$F$3,VLOOKUP($A$2,AVAILABLE_Buildings_Resource[#All],MATCH(F$4,AVAILABLE_Buildings_Resource[#Headers],0))))</f>
        <v>6</v>
      </c>
      <c r="G5" s="234">
        <f>IF($B$2='Paramètres - Admin'!$F$2,VLOOKUP($C$2,AVAILABLE_Buildings_Resource[#All],MATCH(G$4,AVAILABLE_Buildings_Resource[#Headers],0)),IF($B$2='Paramètres - Admin'!$F$3,VLOOKUP($A$2,AVAILABLE_Buildings_Resource[#All],MATCH(G$4,AVAILABLE_Buildings_Resource[#Headers],0))))</f>
        <v>2</v>
      </c>
      <c r="I5" s="902" t="s">
        <v>453</v>
      </c>
      <c r="J5" s="245">
        <f>VLOOKUP(1,LEAGUES_Loot_Multiplier[#All],3)</f>
        <v>2</v>
      </c>
      <c r="K5" s="86">
        <f>B25*$J5</f>
        <v>0</v>
      </c>
      <c r="L5" s="389">
        <f>C25*$J5</f>
        <v>20000</v>
      </c>
      <c r="M5" s="237">
        <f>D25*$J5</f>
        <v>0</v>
      </c>
      <c r="R5" s="1195"/>
      <c r="S5" s="1198"/>
      <c r="T5" s="1199"/>
    </row>
    <row r="6" spans="1:20" ht="15" customHeight="1" thickBot="1">
      <c r="A6" s="496" t="s">
        <v>285</v>
      </c>
      <c r="B6" s="350">
        <f>IF($B$2='Paramètres - Admin'!$F$2,IF(ISERROR(VLOOKUP(VLOOKUP($C$2,AVAILABLE_Buildings_Resource[#All],MATCH(B$4,AVAILABLE_Buildings_Resource[#Headers],0)+1),EARNINGS_Gold_Storage[#All],2)),0,VLOOKUP(VLOOKUP($C$2,AVAILABLE_Buildings_Resource[#All],MATCH(B$4,AVAILABLE_Buildings_Resource[#Headers],0)+1),EARNINGS_Gold_Storage[#All],2)),IF($B$2='Paramètres - Admin'!$F$3,IF(ISERROR(VLOOKUP(VLOOKUP($A$2,AVAILABLE_Buildings_Resource[#All],MATCH(B$4,AVAILABLE_Buildings_Resource[#Headers],0)+1),EARNINGS_Gold_Storage[#All],2)),0,VLOOKUP(VLOOKUP($A$2,AVAILABLE_Buildings_Resource[#All],MATCH(B$4,AVAILABLE_Buildings_Resource[#Headers],0)+1),EARNINGS_Gold_Storage[#All],2))))</f>
        <v>1750000</v>
      </c>
      <c r="C6" s="350">
        <f>IF($B$2='Paramètres - Admin'!$F$2,IF(ISERROR(VLOOKUP(VLOOKUP($C$2,AVAILABLE_Buildings_Resource[#All],MATCH(C$4,AVAILABLE_Buildings_Resource[#Headers],0)+1),EARNINGS_Elixir_Storage[#All],2)),0,VLOOKUP(VLOOKUP($C$2,AVAILABLE_Buildings_Resource[#All],MATCH(C$4,AVAILABLE_Buildings_Resource[#Headers],0)+1),EARNINGS_Elixir_Storage[#All],2)),IF($B$2='Paramètres - Admin'!$F$3,IF(ISERROR(VLOOKUP(VLOOKUP($A$2,AVAILABLE_Buildings_Resource[#All],MATCH(C$4,AVAILABLE_Buildings_Resource[#Headers],0)+1),EARNINGS_Elixir_Storage[#All],2)),0,VLOOKUP(VLOOKUP($A$2,AVAILABLE_Buildings_Resource[#All],MATCH(C$4,AVAILABLE_Buildings_Resource[#Headers],0)+1),EARNINGS_Elixir_Storage[#All],2))))</f>
        <v>1750000</v>
      </c>
      <c r="D6" s="350">
        <f>IF($B$2='Paramètres - Admin'!$F$2,IF(ISERROR(VLOOKUP(VLOOKUP($C$2,AVAILABLE_Buildings_Resource[#All],MATCH(D$4,AVAILABLE_Buildings_Resource[#Headers],0)+1),EARNINGS_Dark_Elixir_Storage[#All],2)),0,VLOOKUP(VLOOKUP($C$2,AVAILABLE_Buildings_Resource[#All],MATCH(D$4,AVAILABLE_Buildings_Resource[#Headers],0)+1),EARNINGS_Dark_Elixir_Storage[#All],2)),IF($B$2='Paramètres - Admin'!$F$3,IF(ISERROR(VLOOKUP(VLOOKUP($A$2,AVAILABLE_Buildings_Resource[#All],MATCH(D$4,AVAILABLE_Buildings_Resource[#Headers],0)+1),EARNINGS_Dark_Elixir_Storage[#All],2)),0,VLOOKUP(VLOOKUP($A$2,AVAILABLE_Buildings_Resource[#All],MATCH(D$4,AVAILABLE_Buildings_Resource[#Headers],0)+1),EARNINGS_Dark_Elixir_Storage[#All],2))))</f>
        <v>180000</v>
      </c>
      <c r="E6" s="350">
        <f>IF($B$2='Paramètres - Admin'!$F$2,IF(ISERROR(VLOOKUP(VLOOKUP($C$2,AVAILABLE_Buildings_Resource[#All],MATCH(E$4,AVAILABLE_Buildings_Resource[#Headers],0)+1),EARNINGS_Gold_Mine[#All],3)),0,VLOOKUP(VLOOKUP($C$2,AVAILABLE_Buildings_Resource[#All],MATCH(E$4,AVAILABLE_Buildings_Resource[#Headers],0)+1),EARNINGS_Gold_Mine[#All],3)),IF($B$2='Paramètres - Admin'!$F$3,IF(ISERROR(VLOOKUP(VLOOKUP($A$2,AVAILABLE_Buildings_Resource[#All],MATCH(E$4,AVAILABLE_Buildings_Resource[#Headers],0)+1),EARNINGS_Gold_Mine[#All],3)),0,VLOOKUP(VLOOKUP($A$2,AVAILABLE_Buildings_Resource[#All],MATCH(E$4,AVAILABLE_Buildings_Resource[#Headers],0)+1),EARNINGS_Gold_Mine[#All],3))))</f>
        <v>200000</v>
      </c>
      <c r="F6" s="350">
        <f>IF($B$2='Paramètres - Admin'!$F$2,IF(ISERROR(VLOOKUP(VLOOKUP($C$2,AVAILABLE_Buildings_Resource[#All],MATCH(F$4,AVAILABLE_Buildings_Resource[#Headers],0)+1),EARNINGS_Elixir_Collector[#All],3)),0,VLOOKUP(VLOOKUP($C$2,AVAILABLE_Buildings_Resource[#All],MATCH(F$4,AVAILABLE_Buildings_Resource[#Headers],0)+1),EARNINGS_Elixir_Collector[#All],3)),IF($B$2='Paramètres - Admin'!$F$3,IF(ISERROR(VLOOKUP(VLOOKUP($A$2,AVAILABLE_Buildings_Resource[#All],MATCH(F$4,AVAILABLE_Buildings_Resource[#Headers],0)+1),EARNINGS_Elixir_Collector[#All],3)),0,VLOOKUP(VLOOKUP($A$2,AVAILABLE_Buildings_Resource[#All],MATCH(F$4,AVAILABLE_Buildings_Resource[#Headers],0)+1),EARNINGS_Elixir_Collector[#All],3))))</f>
        <v>200000</v>
      </c>
      <c r="G6" s="351">
        <f>IF($B$2='Paramètres - Admin'!$F$2,IF(ISERROR(VLOOKUP(VLOOKUP($C$2,AVAILABLE_Buildings_Resource[#All],MATCH(E$4,AVAILABLE_Buildings_Resource[#Headers],0)+1),EARNINGS_Dark_Elixir_Drill[#All],3)),0,VLOOKUP(VLOOKUP($C$2,AVAILABLE_Buildings_Resource[#All],MATCH(E$4,AVAILABLE_Buildings_Resource[#Headers],0)+1),EARNINGS_Dark_Elixir_Drill[#All],3)),IF($B$2='Paramètres - Admin'!$F$3,IF(ISERROR(VLOOKUP(VLOOKUP($A$2,AVAILABLE_Buildings_Resource[#All],MATCH(E$4,AVAILABLE_Buildings_Resource[#Headers],0)+1),EARNINGS_Dark_Elixir_Drill[#All],3)),0,VLOOKUP(VLOOKUP($A$2,AVAILABLE_Buildings_Resource[#All],MATCH(E$4,AVAILABLE_Buildings_Resource[#Headers],0)+1),EARNINGS_Dark_Elixir_Drill[#All],3))))</f>
        <v>1800</v>
      </c>
      <c r="I6" s="235" t="s">
        <v>304</v>
      </c>
      <c r="J6" s="246">
        <f>VLOOKUP(1,LEAGUES_Loot_Multiplier[#All],3)</f>
        <v>2</v>
      </c>
      <c r="K6" s="93">
        <f>E25*$J6</f>
        <v>0</v>
      </c>
      <c r="L6" s="390">
        <f>F25*$J6</f>
        <v>0</v>
      </c>
      <c r="M6" s="239">
        <f>G25*$J6</f>
        <v>0</v>
      </c>
    </row>
    <row r="7" spans="1:20" ht="15" customHeight="1" thickTop="1">
      <c r="A7" s="109">
        <v>1</v>
      </c>
      <c r="B7" s="369"/>
      <c r="C7" s="370">
        <v>100000</v>
      </c>
      <c r="D7" s="370"/>
      <c r="E7" s="370"/>
      <c r="F7" s="370"/>
      <c r="G7" s="371"/>
      <c r="I7" s="235" t="s">
        <v>197</v>
      </c>
      <c r="J7" s="246">
        <f>IF(D2&gt;0,1,VLOOKUP(1,LEAGUES_Loot_Multiplier[#All],3))</f>
        <v>1</v>
      </c>
      <c r="K7" s="93">
        <f>$K$24*$J7</f>
        <v>1000</v>
      </c>
      <c r="L7" s="390">
        <f>$K$25*$J7</f>
        <v>1000</v>
      </c>
      <c r="M7" s="239">
        <v>0</v>
      </c>
      <c r="R7" s="1200" t="s">
        <v>299</v>
      </c>
      <c r="S7" s="1202" t="s">
        <v>342</v>
      </c>
      <c r="T7" s="1203"/>
    </row>
    <row r="8" spans="1:20" ht="15" customHeight="1" thickBot="1">
      <c r="A8" s="106">
        <v>2</v>
      </c>
      <c r="B8" s="372"/>
      <c r="C8" s="248"/>
      <c r="D8" s="248"/>
      <c r="E8" s="248"/>
      <c r="F8" s="248"/>
      <c r="G8" s="373"/>
      <c r="I8" s="903" t="s">
        <v>306</v>
      </c>
      <c r="J8" s="247" t="s">
        <v>118</v>
      </c>
      <c r="K8" s="118">
        <f>IF($B$2='Paramètres - Admin'!$F$2,VLOOKUP(1,LEAGUES_Bonus[#All],3),0)</f>
        <v>3000</v>
      </c>
      <c r="L8" s="391">
        <f>IF($B$2='Paramètres - Admin'!$F$2,VLOOKUP(1,LEAGUES_Bonus[#All],4),0)</f>
        <v>3000</v>
      </c>
      <c r="M8" s="242">
        <f>IF($B$2='Paramètres - Admin'!$F$2,VLOOKUP(1,LEAGUES_Bonus[#All],5),0)</f>
        <v>0</v>
      </c>
      <c r="R8" s="1201"/>
      <c r="S8" s="1204"/>
      <c r="T8" s="1205"/>
    </row>
    <row r="9" spans="1:20" ht="15" customHeight="1" thickBot="1">
      <c r="A9" s="106">
        <v>3</v>
      </c>
      <c r="B9" s="372"/>
      <c r="C9" s="248"/>
      <c r="D9" s="248"/>
      <c r="E9" s="248"/>
      <c r="F9" s="248"/>
      <c r="G9" s="373"/>
      <c r="I9" s="135"/>
      <c r="J9" s="523" t="s">
        <v>31</v>
      </c>
      <c r="K9" s="227">
        <f>SUM(K5:K8)</f>
        <v>4000</v>
      </c>
      <c r="L9" s="392">
        <f>SUM(L5:L8)</f>
        <v>24000</v>
      </c>
      <c r="M9" s="244">
        <f>SUM(M5:M8)</f>
        <v>0</v>
      </c>
    </row>
    <row r="10" spans="1:20" ht="15" customHeight="1">
      <c r="A10" s="106">
        <v>4</v>
      </c>
      <c r="B10" s="372"/>
      <c r="C10" s="248"/>
      <c r="D10" s="248"/>
      <c r="E10" s="248"/>
      <c r="F10" s="248"/>
      <c r="G10" s="373"/>
    </row>
    <row r="11" spans="1:20" ht="15" customHeight="1">
      <c r="A11" s="106">
        <v>5</v>
      </c>
      <c r="B11" s="372"/>
      <c r="C11" s="248"/>
      <c r="D11" s="248"/>
      <c r="E11" s="248"/>
      <c r="F11" s="248"/>
      <c r="G11" s="373"/>
    </row>
    <row r="12" spans="1:20" ht="15" customHeight="1">
      <c r="A12" s="106">
        <v>6</v>
      </c>
      <c r="B12" s="372"/>
      <c r="C12" s="248"/>
      <c r="D12" s="248"/>
      <c r="E12" s="248"/>
      <c r="F12" s="248"/>
      <c r="G12" s="373"/>
    </row>
    <row r="13" spans="1:20" ht="15" customHeight="1" thickBot="1">
      <c r="A13" s="240">
        <v>7</v>
      </c>
      <c r="B13" s="374"/>
      <c r="C13" s="375"/>
      <c r="D13" s="375"/>
      <c r="E13" s="375"/>
      <c r="F13" s="375"/>
      <c r="G13" s="376"/>
    </row>
    <row r="14" spans="1:20" ht="15" customHeight="1" thickTop="1" thickBot="1">
      <c r="A14" s="232" t="s">
        <v>31</v>
      </c>
      <c r="B14" s="352">
        <f t="shared" ref="B14:G14" si="0">SUMIF($A7:$A13,"&lt;="&amp;B$5,B7:B13)</f>
        <v>0</v>
      </c>
      <c r="C14" s="353">
        <f t="shared" si="0"/>
        <v>100000</v>
      </c>
      <c r="D14" s="353">
        <f t="shared" si="0"/>
        <v>0</v>
      </c>
      <c r="E14" s="353">
        <f t="shared" si="0"/>
        <v>0</v>
      </c>
      <c r="F14" s="353">
        <f t="shared" si="0"/>
        <v>0</v>
      </c>
      <c r="G14" s="354">
        <f t="shared" si="0"/>
        <v>0</v>
      </c>
    </row>
    <row r="15" spans="1:20" ht="15" customHeight="1" thickBot="1"/>
    <row r="16" spans="1:20" ht="24.75" customHeight="1" thickBot="1">
      <c r="A16" s="1082" t="s">
        <v>301</v>
      </c>
      <c r="B16" s="1083"/>
      <c r="C16" s="1083"/>
      <c r="D16" s="1083"/>
      <c r="E16" s="1083"/>
      <c r="F16" s="1083"/>
      <c r="G16" s="1084"/>
    </row>
    <row r="17" spans="1:11" ht="25.5" customHeight="1" thickBot="1">
      <c r="A17" s="337"/>
      <c r="B17" s="229" t="s">
        <v>212</v>
      </c>
      <c r="C17" s="230" t="s">
        <v>452</v>
      </c>
      <c r="D17" s="230" t="s">
        <v>451</v>
      </c>
      <c r="E17" s="230" t="s">
        <v>176</v>
      </c>
      <c r="F17" s="230" t="s">
        <v>210</v>
      </c>
      <c r="G17" s="231" t="s">
        <v>211</v>
      </c>
      <c r="I17" s="886" t="s">
        <v>123</v>
      </c>
      <c r="J17" s="889" t="s">
        <v>127</v>
      </c>
      <c r="K17" s="420" t="s">
        <v>295</v>
      </c>
    </row>
    <row r="18" spans="1:11" ht="27.75" customHeight="1">
      <c r="A18" s="885">
        <v>1</v>
      </c>
      <c r="B18" s="236">
        <f t="shared" ref="B18:B24" si="1">IF($A18&gt;B$5,0,IF((B$7*$J$18)+(B$8*$J$18)+(B$9*$J$18)+(B$10*$J$18)+(B$11*$J$18)+(B$12*$J$18)+(B$13*$J$18)&gt;$K$18,$K$18*(B7/B$14),B7*$J$18))</f>
        <v>0</v>
      </c>
      <c r="C18" s="389">
        <f t="shared" ref="C18:C24" si="2">IF($A18&gt;C$5,0,IF((C$7*$J$19)+(C$8*$J$19)+(C$9*$J$19)+(C$10*$J$19)+(C$11*$J$19)+(C$12*$J$19)+(C$13*$J$19)&gt;$K$19,$K$19*(C7/C$14),C7*$J$19))</f>
        <v>10000</v>
      </c>
      <c r="D18" s="121">
        <f t="shared" ref="D18:D24" si="3">IF($A18&gt;D$5,0,IF((D$7*$J$20)+(D$8*$J$20)+(D$9*$J$20)+(D$10*$J$20)+(D$11*$J$20)+(D$12*$J$20)+(D$13*$J$20)&gt;$K$20,$K$20*(D7/D$14),D7*$J$20))</f>
        <v>0</v>
      </c>
      <c r="E18" s="86">
        <f t="shared" ref="E18:E24" si="4">IF($A18&gt;E$5,0,IF(E7&gt;$K$21,$K$21*$J$21,E7*$J$21))</f>
        <v>0</v>
      </c>
      <c r="F18" s="389">
        <f t="shared" ref="F18:F24" si="5">IF($A18&gt;F$5,0,IF(F7&gt;$K$22,$K$22*$J$22,F7*$J$22))</f>
        <v>0</v>
      </c>
      <c r="G18" s="237">
        <f t="shared" ref="G18:G24" si="6">IF($A18&gt;G$5,0,IF(G7&gt;$K$23,$K$23*$J$23,G7*$J$23))</f>
        <v>0</v>
      </c>
      <c r="I18" s="890" t="s">
        <v>212</v>
      </c>
      <c r="J18" s="891">
        <v>0.1</v>
      </c>
      <c r="K18" s="881">
        <v>400000</v>
      </c>
    </row>
    <row r="19" spans="1:11" ht="15" customHeight="1">
      <c r="A19" s="885">
        <v>2</v>
      </c>
      <c r="B19" s="238">
        <f t="shared" si="1"/>
        <v>0</v>
      </c>
      <c r="C19" s="390">
        <f t="shared" si="2"/>
        <v>0</v>
      </c>
      <c r="D19" s="124">
        <f t="shared" si="3"/>
        <v>0</v>
      </c>
      <c r="E19" s="529">
        <f t="shared" si="4"/>
        <v>0</v>
      </c>
      <c r="F19" s="390">
        <f t="shared" si="5"/>
        <v>0</v>
      </c>
      <c r="G19" s="239">
        <f t="shared" si="6"/>
        <v>0</v>
      </c>
      <c r="I19" s="892" t="s">
        <v>452</v>
      </c>
      <c r="J19" s="893">
        <v>0.1</v>
      </c>
      <c r="K19" s="883">
        <v>400000</v>
      </c>
    </row>
    <row r="20" spans="1:11" ht="15" customHeight="1">
      <c r="A20" s="885">
        <v>3</v>
      </c>
      <c r="B20" s="238">
        <f t="shared" si="1"/>
        <v>0</v>
      </c>
      <c r="C20" s="390">
        <f t="shared" si="2"/>
        <v>0</v>
      </c>
      <c r="D20" s="124">
        <f t="shared" si="3"/>
        <v>0</v>
      </c>
      <c r="E20" s="529">
        <f t="shared" si="4"/>
        <v>0</v>
      </c>
      <c r="F20" s="390">
        <f t="shared" si="5"/>
        <v>0</v>
      </c>
      <c r="G20" s="239">
        <f t="shared" si="6"/>
        <v>0</v>
      </c>
      <c r="I20" s="892" t="s">
        <v>451</v>
      </c>
      <c r="J20" s="894">
        <v>0.04</v>
      </c>
      <c r="K20" s="426">
        <v>3000</v>
      </c>
    </row>
    <row r="21" spans="1:11" ht="15" customHeight="1">
      <c r="A21" s="885">
        <v>4</v>
      </c>
      <c r="B21" s="238">
        <f t="shared" si="1"/>
        <v>0</v>
      </c>
      <c r="C21" s="390">
        <f t="shared" si="2"/>
        <v>0</v>
      </c>
      <c r="D21" s="124">
        <f t="shared" si="3"/>
        <v>0</v>
      </c>
      <c r="E21" s="529">
        <f t="shared" si="4"/>
        <v>0</v>
      </c>
      <c r="F21" s="390">
        <f t="shared" si="5"/>
        <v>0</v>
      </c>
      <c r="G21" s="239">
        <f t="shared" si="6"/>
        <v>0</v>
      </c>
      <c r="I21" s="892" t="s">
        <v>176</v>
      </c>
      <c r="J21" s="895">
        <v>0.5</v>
      </c>
      <c r="K21" s="861">
        <f>IF($B$2='Paramètres - Admin'!$F$2,IF(ISERROR(VLOOKUP(VLOOKUP($C$2,AVAILABLE_Buildings_Resource[#All],MATCH(E$4,AVAILABLE_Buildings_Resource[#Headers],0)+1),EARNINGS_Gold_Storage[#All],2)),0,VLOOKUP(VLOOKUP($C$2,AVAILABLE_Buildings_Resource[#All],MATCH(E$4,AVAILABLE_Buildings_Resource[#Headers],0)+1),EARNINGS_Gold_Mine[#All],3)),IF($B$2='Paramètres - Admin'!$F$3,IF(ISERROR(VLOOKUP(VLOOKUP($A$2,AVAILABLE_Buildings_Resource[#All],MATCH(E$4,AVAILABLE_Buildings_Resource[#Headers],0)+1),EARNINGS_Gold_Storage[#All],2)),0,VLOOKUP(VLOOKUP($A$2,AVAILABLE_Buildings_Resource[#All],MATCH(E$4,AVAILABLE_Buildings_Resource[#Headers],0)+1),EARNINGS_Gold_Mine[#All],3))))</f>
        <v>200000</v>
      </c>
    </row>
    <row r="22" spans="1:11" ht="15" customHeight="1">
      <c r="A22" s="885">
        <v>5</v>
      </c>
      <c r="B22" s="238">
        <f t="shared" si="1"/>
        <v>0</v>
      </c>
      <c r="C22" s="390">
        <f t="shared" si="2"/>
        <v>0</v>
      </c>
      <c r="D22" s="124">
        <f t="shared" si="3"/>
        <v>0</v>
      </c>
      <c r="E22" s="529">
        <f t="shared" si="4"/>
        <v>0</v>
      </c>
      <c r="F22" s="390">
        <f t="shared" si="5"/>
        <v>0</v>
      </c>
      <c r="G22" s="239">
        <f t="shared" si="6"/>
        <v>0</v>
      </c>
      <c r="I22" s="892" t="s">
        <v>210</v>
      </c>
      <c r="J22" s="893">
        <v>0.5</v>
      </c>
      <c r="K22" s="896">
        <f>IF($B$2='Paramètres - Admin'!$F$2,IF(ISERROR(VLOOKUP(VLOOKUP($C$2,AVAILABLE_Buildings_Resource[#All],MATCH(F$4,AVAILABLE_Buildings_Resource[#Headers],0)+1),EARNINGS_Gold_Storage[#All],2)),0,VLOOKUP(VLOOKUP($C$2,AVAILABLE_Buildings_Resource[#All],MATCH(F$4,AVAILABLE_Buildings_Resource[#Headers],0)+1),EARNINGS_Elixir_Collector[#All],3)),IF($B$2='Paramètres - Admin'!$F$3,IF(ISERROR(VLOOKUP(VLOOKUP($A$2,AVAILABLE_Buildings_Resource[#All],MATCH(F$4,AVAILABLE_Buildings_Resource[#Headers],0)+1),EARNINGS_Gold_Storage[#All],2)),0,VLOOKUP(VLOOKUP($A$2,AVAILABLE_Buildings_Resource[#All],MATCH(F$4,AVAILABLE_Buildings_Resource[#Headers],0)+1),EARNINGS_Elixir_Collector[#All],3))))</f>
        <v>200000</v>
      </c>
    </row>
    <row r="23" spans="1:11" ht="15" customHeight="1">
      <c r="A23" s="885">
        <v>6</v>
      </c>
      <c r="B23" s="238">
        <f t="shared" si="1"/>
        <v>0</v>
      </c>
      <c r="C23" s="390">
        <f t="shared" si="2"/>
        <v>0</v>
      </c>
      <c r="D23" s="124">
        <f t="shared" si="3"/>
        <v>0</v>
      </c>
      <c r="E23" s="529">
        <f t="shared" si="4"/>
        <v>0</v>
      </c>
      <c r="F23" s="390">
        <f t="shared" si="5"/>
        <v>0</v>
      </c>
      <c r="G23" s="239">
        <f t="shared" si="6"/>
        <v>0</v>
      </c>
      <c r="I23" s="892" t="s">
        <v>211</v>
      </c>
      <c r="J23" s="894">
        <v>0.75</v>
      </c>
      <c r="K23" s="897">
        <v>1600</v>
      </c>
    </row>
    <row r="24" spans="1:11" ht="15" customHeight="1" thickBot="1">
      <c r="A24" s="240">
        <v>7</v>
      </c>
      <c r="B24" s="241">
        <f t="shared" si="1"/>
        <v>0</v>
      </c>
      <c r="C24" s="391">
        <f t="shared" si="2"/>
        <v>0</v>
      </c>
      <c r="D24" s="207">
        <f t="shared" si="3"/>
        <v>0</v>
      </c>
      <c r="E24" s="118">
        <f t="shared" si="4"/>
        <v>0</v>
      </c>
      <c r="F24" s="391">
        <f t="shared" si="5"/>
        <v>0</v>
      </c>
      <c r="G24" s="242">
        <f t="shared" si="6"/>
        <v>0</v>
      </c>
      <c r="I24" s="898" t="s">
        <v>344</v>
      </c>
      <c r="J24" s="895">
        <v>1</v>
      </c>
      <c r="K24" s="882">
        <v>1000</v>
      </c>
    </row>
    <row r="25" spans="1:11" ht="15" customHeight="1" thickBot="1">
      <c r="A25" s="232" t="s">
        <v>31</v>
      </c>
      <c r="B25" s="243">
        <f t="shared" ref="B25:G25" si="7">SUM(B18:B24)</f>
        <v>0</v>
      </c>
      <c r="C25" s="392">
        <f t="shared" si="7"/>
        <v>10000</v>
      </c>
      <c r="D25" s="228">
        <f t="shared" si="7"/>
        <v>0</v>
      </c>
      <c r="E25" s="227">
        <f t="shared" si="7"/>
        <v>0</v>
      </c>
      <c r="F25" s="392">
        <f t="shared" si="7"/>
        <v>0</v>
      </c>
      <c r="G25" s="244">
        <f t="shared" si="7"/>
        <v>0</v>
      </c>
      <c r="I25" s="899" t="s">
        <v>345</v>
      </c>
      <c r="J25" s="900">
        <v>1</v>
      </c>
      <c r="K25" s="884">
        <v>1000</v>
      </c>
    </row>
    <row r="29" spans="1:11" ht="20.100000000000001" customHeight="1">
      <c r="G29" s="340" t="s">
        <v>310</v>
      </c>
      <c r="H29" s="340" t="s">
        <v>311</v>
      </c>
    </row>
  </sheetData>
  <sheetProtection selectLockedCells="1"/>
  <mergeCells count="7">
    <mergeCell ref="A16:G16"/>
    <mergeCell ref="A3:G3"/>
    <mergeCell ref="I3:M3"/>
    <mergeCell ref="R4:R5"/>
    <mergeCell ref="S4:T5"/>
    <mergeCell ref="R7:R8"/>
    <mergeCell ref="S7:T8"/>
  </mergeCells>
  <conditionalFormatting sqref="B7:G13">
    <cfRule type="expression" dxfId="1701" priority="101">
      <formula>$A7&gt;B$5</formula>
    </cfRule>
  </conditionalFormatting>
  <conditionalFormatting sqref="B7:B13">
    <cfRule type="expression" dxfId="1700" priority="100">
      <formula>$B7&gt;$B$6</formula>
    </cfRule>
  </conditionalFormatting>
  <conditionalFormatting sqref="D7:D13">
    <cfRule type="expression" dxfId="1699" priority="98">
      <formula>$D7&gt;$D$6</formula>
    </cfRule>
  </conditionalFormatting>
  <conditionalFormatting sqref="E7:E13">
    <cfRule type="expression" dxfId="1698" priority="97">
      <formula>$E7&gt;$E$6</formula>
    </cfRule>
  </conditionalFormatting>
  <conditionalFormatting sqref="G7:G13">
    <cfRule type="expression" dxfId="1697" priority="71">
      <formula>$G7&gt;$G$6</formula>
    </cfRule>
  </conditionalFormatting>
  <conditionalFormatting sqref="C7:C13">
    <cfRule type="expression" dxfId="1696" priority="99">
      <formula>$C7&gt;$C$6</formula>
    </cfRule>
  </conditionalFormatting>
  <conditionalFormatting sqref="F7:F13">
    <cfRule type="expression" dxfId="1695" priority="96">
      <formula>$F7&gt;$F$6</formula>
    </cfRule>
  </conditionalFormatting>
  <conditionalFormatting sqref="B18:G25">
    <cfRule type="expression" dxfId="1694" priority="2">
      <formula>B18=0</formula>
    </cfRule>
  </conditionalFormatting>
  <conditionalFormatting sqref="B9">
    <cfRule type="expression" dxfId="1693" priority="1">
      <formula>$C9&gt;$C$6</formula>
    </cfRule>
  </conditionalFormatting>
  <dataValidations count="3">
    <dataValidation type="list" allowBlank="1" showInputMessage="1" showErrorMessage="1" sqref="B2">
      <formula1>Attack_Defense</formula1>
    </dataValidation>
    <dataValidation type="list" allowBlank="1" showInputMessage="1" showErrorMessage="1" sqref="C2">
      <formula1>"1,2,3,4,5,6,7,8,9,10,11"</formula1>
    </dataValidation>
    <dataValidation type="whole" allowBlank="1" showInputMessage="1" showErrorMessage="1" sqref="B7:G13">
      <formula1>0</formula1>
      <formula2>2000000</formula2>
    </dataValidation>
  </dataValidations>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sheetPr codeName="Feuil11">
    <tabColor rgb="FFFF0000"/>
  </sheetPr>
  <dimension ref="A1:W41"/>
  <sheetViews>
    <sheetView showGridLines="0" zoomScaleNormal="100" workbookViewId="0">
      <pane ySplit="2" topLeftCell="A3" activePane="bottomLeft" state="frozen"/>
      <selection activeCell="P319" sqref="P319"/>
      <selection pane="bottomLeft" activeCell="T4" sqref="T4"/>
    </sheetView>
  </sheetViews>
  <sheetFormatPr baseColWidth="10" defaultColWidth="11.42578125" defaultRowHeight="15" customHeight="1"/>
  <cols>
    <col min="1" max="1" width="15.5703125" style="137" customWidth="1"/>
    <col min="2" max="2" width="7.28515625" style="135" customWidth="1"/>
    <col min="3" max="3" width="7.28515625" style="137" customWidth="1"/>
    <col min="4" max="5" width="6.7109375" style="137" customWidth="1"/>
    <col min="6" max="6" width="7.7109375" style="137" customWidth="1"/>
    <col min="7" max="7" width="15.7109375" style="137" customWidth="1"/>
    <col min="8" max="8" width="2.7109375" style="137" customWidth="1"/>
    <col min="9" max="9" width="10.7109375" style="137" customWidth="1"/>
    <col min="10" max="11" width="7.28515625" style="137" customWidth="1"/>
    <col min="12" max="14" width="6.7109375" style="137" hidden="1" customWidth="1"/>
    <col min="15" max="17" width="15.7109375" style="137" customWidth="1"/>
    <col min="18" max="18" width="16.42578125" style="137" customWidth="1"/>
    <col min="19" max="19" width="15.7109375" style="135" customWidth="1"/>
    <col min="20" max="20" width="19.28515625" style="137" customWidth="1"/>
    <col min="21" max="22" width="15.7109375" style="137" customWidth="1"/>
    <col min="23" max="23" width="15.7109375" style="135" customWidth="1"/>
    <col min="24" max="16384" width="11.42578125" style="137"/>
  </cols>
  <sheetData>
    <row r="1" spans="1:20" ht="24.95" customHeight="1" thickBot="1">
      <c r="A1" s="334" t="s">
        <v>291</v>
      </c>
      <c r="B1" s="1074" t="s">
        <v>228</v>
      </c>
      <c r="C1" s="1210"/>
      <c r="D1" s="1206" t="s">
        <v>315</v>
      </c>
      <c r="E1" s="1207"/>
      <c r="F1" s="1206" t="s">
        <v>712</v>
      </c>
      <c r="G1" s="1216"/>
      <c r="I1" s="193" t="s">
        <v>318</v>
      </c>
      <c r="L1" s="272"/>
      <c r="M1" s="272"/>
      <c r="N1" s="273"/>
      <c r="O1" s="229" t="s">
        <v>323</v>
      </c>
      <c r="P1" s="230" t="s">
        <v>324</v>
      </c>
      <c r="Q1" s="230" t="s">
        <v>325</v>
      </c>
      <c r="R1" s="231" t="s">
        <v>326</v>
      </c>
    </row>
    <row r="2" spans="1:20" ht="15" customHeight="1" thickTop="1" thickBot="1">
      <c r="A2" s="605">
        <f>Paramètres!$BI$2</f>
        <v>2</v>
      </c>
      <c r="B2" s="1072" t="s">
        <v>218</v>
      </c>
      <c r="C2" s="1211"/>
      <c r="D2" s="1208">
        <f>IF(ISERROR(MATCH(1,Paramètres!L$6:L$45,0)),0,MATCH(1,Paramètres!L$6:L$45,0))</f>
        <v>0</v>
      </c>
      <c r="E2" s="1209"/>
      <c r="F2" s="1217">
        <f>IF(ISERROR(MATCH(1,Paramètres!M$6:M$45,0)),0,MATCH(1,Paramètres!M$6:M$45,0))</f>
        <v>0</v>
      </c>
      <c r="G2" s="1218"/>
      <c r="I2" s="274">
        <f>Paramètres!H46</f>
        <v>0</v>
      </c>
      <c r="L2" s="275"/>
      <c r="M2" s="275"/>
      <c r="N2" s="276"/>
      <c r="O2" s="381">
        <f>IF(ISERROR(MATCH(2,Paramètres!H6:H45,0)),0,MATCH(2,Paramètres!H6:H45,0))</f>
        <v>0</v>
      </c>
      <c r="P2" s="383">
        <v>9</v>
      </c>
      <c r="Q2" s="383">
        <v>10</v>
      </c>
      <c r="R2" s="382">
        <v>10</v>
      </c>
    </row>
    <row r="3" spans="1:20" ht="20.100000000000001" customHeight="1" thickTop="1" thickBot="1">
      <c r="A3" s="1082" t="s">
        <v>312</v>
      </c>
      <c r="B3" s="1090"/>
      <c r="C3" s="1090"/>
      <c r="D3" s="1083"/>
      <c r="E3" s="1083"/>
      <c r="F3" s="1083"/>
      <c r="G3" s="1084"/>
      <c r="I3" s="1089" t="s">
        <v>313</v>
      </c>
      <c r="J3" s="1090"/>
      <c r="K3" s="1090"/>
      <c r="L3" s="1090"/>
      <c r="M3" s="1090"/>
      <c r="N3" s="1090"/>
      <c r="O3" s="1090"/>
      <c r="P3" s="1090"/>
      <c r="Q3" s="1090"/>
      <c r="R3" s="1193"/>
    </row>
    <row r="4" spans="1:20" ht="15" customHeight="1" thickBot="1">
      <c r="A4" s="277"/>
      <c r="B4" s="278" t="s">
        <v>39</v>
      </c>
      <c r="C4" s="544" t="s">
        <v>331</v>
      </c>
      <c r="D4" s="544" t="s">
        <v>390</v>
      </c>
      <c r="E4" s="279" t="s">
        <v>258</v>
      </c>
      <c r="F4" s="280" t="s">
        <v>151</v>
      </c>
      <c r="G4" s="349" t="s">
        <v>448</v>
      </c>
      <c r="I4" s="281"/>
      <c r="J4" s="100" t="s">
        <v>39</v>
      </c>
      <c r="K4" s="230" t="s">
        <v>331</v>
      </c>
      <c r="L4" s="230" t="s">
        <v>390</v>
      </c>
      <c r="M4" s="282" t="s">
        <v>258</v>
      </c>
      <c r="N4" s="283" t="s">
        <v>151</v>
      </c>
      <c r="O4" s="229" t="s">
        <v>322</v>
      </c>
      <c r="P4" s="230" t="s">
        <v>358</v>
      </c>
      <c r="Q4" s="230" t="s">
        <v>321</v>
      </c>
      <c r="R4" s="283" t="s">
        <v>320</v>
      </c>
      <c r="S4" s="349" t="s">
        <v>31</v>
      </c>
      <c r="T4" s="137" t="b">
        <f>AND(B$5&lt;&gt;"",$A6&gt;B$5)</f>
        <v>1</v>
      </c>
    </row>
    <row r="5" spans="1:20" ht="15" customHeight="1" thickTop="1">
      <c r="A5" s="285" t="s">
        <v>190</v>
      </c>
      <c r="B5" s="83">
        <f>VLOOKUP($A$2,AVAILABLE_Upgrades_Spells[#All],MATCH($A5,AVAILABLE_Upgrades_Spells[#Headers],0)+1)</f>
        <v>0</v>
      </c>
      <c r="C5" s="286">
        <f>IF(ISERROR(MATCH(1,Paramètres!AG$6:AG$45,0)),0,MATCH(1,Paramètres!AG$6:AG$45,0))</f>
        <v>0</v>
      </c>
      <c r="D5" s="287">
        <f>IF($C5&lt;&gt;0,VLOOKUP($C5,TRAINING_Spell_Lightning[#All],2),0)</f>
        <v>0</v>
      </c>
      <c r="E5" s="386">
        <f>IF($C5&lt;&gt;0,VLOOKUP($C5,TRAINING_Spell_Lightning[#All],3),0)</f>
        <v>0</v>
      </c>
      <c r="F5" s="288">
        <f>IF($C5&lt;&gt;0,VLOOKUP($C5,TRAINING_Spell_Lightning[#All],4),0)</f>
        <v>0</v>
      </c>
      <c r="G5" s="377"/>
      <c r="I5" s="122" t="s">
        <v>195</v>
      </c>
      <c r="J5" s="123">
        <f>VLOOKUP($A$2,AVAILABLE_Upgrades_Normal_Troops[#All],MATCH($I5,AVAILABLE_Upgrades_Normal_Troops[#Headers],0)+1)</f>
        <v>0</v>
      </c>
      <c r="K5" s="289">
        <f>IF(ISERROR(MATCH(1,Paramètres!AO$6:AO$45,0)),0,MATCH(1,Paramètres!AO$6:AO$45,0))</f>
        <v>0</v>
      </c>
      <c r="L5" s="290">
        <f>IF($K5&lt;&gt;0,VLOOKUP($K5,TRAINING_Barbarian[#All],2),0)</f>
        <v>0</v>
      </c>
      <c r="M5" s="95">
        <f>IF($K5&lt;&gt;0,VLOOKUP($K5,TRAINING_Barbarian[#All],3),0)</f>
        <v>0</v>
      </c>
      <c r="N5" s="291">
        <f>IF($K5&lt;&gt;0,VLOOKUP($K5,TRAINING_Barbarian[#All],4),0)</f>
        <v>0</v>
      </c>
      <c r="O5" s="359"/>
      <c r="P5" s="365"/>
      <c r="Q5" s="365"/>
      <c r="R5" s="360"/>
      <c r="S5" s="498">
        <f>SUM(O5:R5)</f>
        <v>0</v>
      </c>
    </row>
    <row r="6" spans="1:20" ht="15" customHeight="1">
      <c r="A6" s="122" t="s">
        <v>191</v>
      </c>
      <c r="B6" s="91">
        <f>VLOOKUP($A$2,AVAILABLE_Upgrades_Spells[#All],MATCH($A6,AVAILABLE_Upgrades_Spells[#Headers],0)+1)</f>
        <v>0</v>
      </c>
      <c r="C6" s="289">
        <f>IF(ISERROR(MATCH(1,Paramètres!AH$6:AH$45,0)),0,MATCH(1,Paramètres!AH$6:AH$45,0))</f>
        <v>0</v>
      </c>
      <c r="D6" s="290">
        <f>IF($C6&lt;&gt;0,VLOOKUP($C6,TRAINING_Spell_Healing[#All],2),0)</f>
        <v>0</v>
      </c>
      <c r="E6" s="386">
        <f>IF($C6&lt;&gt;0,VLOOKUP($C6,TRAINING_Spell_Healing[#All],3),0)</f>
        <v>0</v>
      </c>
      <c r="F6" s="291">
        <f>IF($C6&lt;&gt;0,VLOOKUP($C6,TRAINING_Spell_Healing[#All],4),0)</f>
        <v>0</v>
      </c>
      <c r="G6" s="378"/>
      <c r="I6" s="122" t="s">
        <v>50</v>
      </c>
      <c r="J6" s="123">
        <f>VLOOKUP($A$2,AVAILABLE_Upgrades_Normal_Troops[#All],MATCH($I6,AVAILABLE_Upgrades_Normal_Troops[#Headers],0)+1)</f>
        <v>0</v>
      </c>
      <c r="K6" s="289">
        <f>IF(ISERROR(MATCH(1,Paramètres!AP$6:AP$45,0)),0,MATCH(1,Paramètres!AP$6:AP$45,0))</f>
        <v>0</v>
      </c>
      <c r="L6" s="290">
        <f>IF($K6&lt;&gt;0,VLOOKUP($K6,TRAINING_Archer[#All],2),0)</f>
        <v>0</v>
      </c>
      <c r="M6" s="95">
        <f>IF($K6&lt;&gt;0,VLOOKUP($K6,TRAINING_Archer[#All],3),0)</f>
        <v>0</v>
      </c>
      <c r="N6" s="291">
        <f>IF($K6&lt;&gt;0,VLOOKUP($K6,TRAINING_Archer[#All],4),0)</f>
        <v>0</v>
      </c>
      <c r="O6" s="361"/>
      <c r="P6" s="160"/>
      <c r="Q6" s="160"/>
      <c r="R6" s="362"/>
      <c r="S6" s="498">
        <f t="shared" ref="S6:S14" si="0">SUM(O6:R6)</f>
        <v>0</v>
      </c>
    </row>
    <row r="7" spans="1:20" ht="15" customHeight="1">
      <c r="A7" s="122" t="s">
        <v>192</v>
      </c>
      <c r="B7" s="91">
        <f>VLOOKUP($A$2,AVAILABLE_Upgrades_Spells[#All],MATCH($A7,AVAILABLE_Upgrades_Spells[#Headers],0)+1)</f>
        <v>0</v>
      </c>
      <c r="C7" s="289">
        <f>IF(ISERROR(MATCH(1,Paramètres!AI$6:AI$45,0)),0,MATCH(1,Paramètres!AI$6:AI$45,0))</f>
        <v>0</v>
      </c>
      <c r="D7" s="290">
        <f>IF($C7&lt;&gt;0,VLOOKUP($C7,TRAINING_Spell_Rage[#All],2),0)</f>
        <v>0</v>
      </c>
      <c r="E7" s="386">
        <f>IF($C7&lt;&gt;0,VLOOKUP($C7,TRAINING_Spell_Rage[#All],3),0)</f>
        <v>0</v>
      </c>
      <c r="F7" s="291">
        <f>IF($C7&lt;&gt;0,VLOOKUP($C7,TRAINING_Spell_Rage[#All],4),0)</f>
        <v>0</v>
      </c>
      <c r="G7" s="378"/>
      <c r="I7" s="122" t="s">
        <v>189</v>
      </c>
      <c r="J7" s="123">
        <f>VLOOKUP($A$2,AVAILABLE_Upgrades_Normal_Troops[#All],MATCH($I7,AVAILABLE_Upgrades_Normal_Troops[#Headers],0)+1)</f>
        <v>0</v>
      </c>
      <c r="K7" s="289">
        <f>IF(ISERROR(MATCH(1,Paramètres!AQ$6:AQ$45,0)),0,MATCH(1,Paramètres!AQ$6:AQ$45,0))</f>
        <v>0</v>
      </c>
      <c r="L7" s="290">
        <f>IF($K7&lt;&gt;0,VLOOKUP($K7,TRAINING_Goblin[#All],2),0)</f>
        <v>0</v>
      </c>
      <c r="M7" s="95">
        <f>IF($K7&lt;&gt;0,VLOOKUP($K7,TRAINING_Goblin[#All],3),0)</f>
        <v>0</v>
      </c>
      <c r="N7" s="291">
        <f>IF($K7&lt;&gt;0,VLOOKUP($K7,TRAINING_Goblin[#All],4),0)</f>
        <v>0</v>
      </c>
      <c r="O7" s="361"/>
      <c r="P7" s="160"/>
      <c r="Q7" s="160"/>
      <c r="R7" s="362"/>
      <c r="S7" s="498">
        <f t="shared" si="0"/>
        <v>0</v>
      </c>
    </row>
    <row r="8" spans="1:20" ht="15" customHeight="1">
      <c r="A8" s="122" t="s">
        <v>193</v>
      </c>
      <c r="B8" s="91">
        <f>VLOOKUP($A$2,AVAILABLE_Upgrades_Spells[#All],MATCH($A8,AVAILABLE_Upgrades_Spells[#Headers],0)+1)</f>
        <v>0</v>
      </c>
      <c r="C8" s="289">
        <f>IF(ISERROR(MATCH(1,Paramètres!AJ$6:AJ$45,0)),0,MATCH(1,Paramètres!AJ$6:AJ$45,0))</f>
        <v>0</v>
      </c>
      <c r="D8" s="290">
        <f>IF($C8&lt;&gt;0,VLOOKUP($C8,TRAINING_Spell_Jump[#All],2),0)</f>
        <v>0</v>
      </c>
      <c r="E8" s="386">
        <f>IF($C8&lt;&gt;0,VLOOKUP($C8,TRAINING_Spell_Jump[#All],3),0)</f>
        <v>0</v>
      </c>
      <c r="F8" s="291">
        <f>IF($C8&lt;&gt;0,VLOOKUP($C8,TRAINING_Spell_Jump[#All],4),0)</f>
        <v>0</v>
      </c>
      <c r="G8" s="378"/>
      <c r="I8" s="122" t="s">
        <v>188</v>
      </c>
      <c r="J8" s="123">
        <f>VLOOKUP($A$2,AVAILABLE_Upgrades_Normal_Troops[#All],MATCH($I8,AVAILABLE_Upgrades_Normal_Troops[#Headers],0)+1)</f>
        <v>0</v>
      </c>
      <c r="K8" s="289">
        <f>IF(ISERROR(MATCH(1,Paramètres!AR$6:AR$45,0)),0,MATCH(1,Paramètres!AR$6:AR$45,0))</f>
        <v>0</v>
      </c>
      <c r="L8" s="290">
        <f>IF($K8&lt;&gt;0,VLOOKUP($K8,TRAINING_Giant[#All],2),0)</f>
        <v>0</v>
      </c>
      <c r="M8" s="95">
        <f>IF($K8&lt;&gt;0,VLOOKUP($K8,TRAINING_Giant[#All],3),0)</f>
        <v>0</v>
      </c>
      <c r="N8" s="291">
        <f>IF($K8&lt;&gt;0,VLOOKUP($K8,TRAINING_Giant[#All],4),0)</f>
        <v>0</v>
      </c>
      <c r="O8" s="361"/>
      <c r="P8" s="160"/>
      <c r="Q8" s="160"/>
      <c r="R8" s="362"/>
      <c r="S8" s="498">
        <f t="shared" si="0"/>
        <v>0</v>
      </c>
    </row>
    <row r="9" spans="1:20" ht="15" customHeight="1" thickBot="1">
      <c r="A9" s="293" t="s">
        <v>194</v>
      </c>
      <c r="B9" s="88">
        <f>VLOOKUP($A$2,AVAILABLE_Upgrades_Spells[#All],MATCH($A9,AVAILABLE_Upgrades_Spells[#Headers],0)+1)</f>
        <v>0</v>
      </c>
      <c r="C9" s="222">
        <f>IF(ISERROR(MATCH(1,Paramètres!AK$6:AK$45,0)),0,MATCH(1,Paramètres!AK$6:AK$45,0))</f>
        <v>0</v>
      </c>
      <c r="D9" s="296">
        <f>IF($C9&lt;&gt;0,VLOOKUP($C9,TRAINING_Spell_Freeze[#All],2),0)</f>
        <v>0</v>
      </c>
      <c r="E9" s="386">
        <f>IF($C9&lt;&gt;0,VLOOKUP($C9,TRAINING_Spell_Freeze[#All],3),0)</f>
        <v>0</v>
      </c>
      <c r="F9" s="291">
        <f>IF($C9&lt;&gt;0,VLOOKUP($C9,TRAINING_Spell_Freeze[#All],4),0)</f>
        <v>0</v>
      </c>
      <c r="G9" s="378"/>
      <c r="I9" s="122" t="s">
        <v>187</v>
      </c>
      <c r="J9" s="123">
        <f>VLOOKUP($A$2,AVAILABLE_Upgrades_Normal_Troops[#All],MATCH($I9,AVAILABLE_Upgrades_Normal_Troops[#Headers],0)+1)</f>
        <v>0</v>
      </c>
      <c r="K9" s="289">
        <f>IF(ISERROR(MATCH(1,Paramètres!AS$6:AS$45,0)),0,MATCH(1,Paramètres!AS$6:AS$45,0))</f>
        <v>0</v>
      </c>
      <c r="L9" s="290">
        <f>IF($K9&lt;&gt;0,VLOOKUP($K9,TRAINING_Wall_Breaker[#All],2),0)</f>
        <v>0</v>
      </c>
      <c r="M9" s="95">
        <f>IF($K9&lt;&gt;0,VLOOKUP($K9,TRAINING_Wall_Breaker[#All],3),0)</f>
        <v>0</v>
      </c>
      <c r="N9" s="291">
        <f>IF($K9&lt;&gt;0,VLOOKUP($K9,TRAINING_Wall_Breaker[#All],4),0)</f>
        <v>0</v>
      </c>
      <c r="O9" s="361"/>
      <c r="P9" s="160"/>
      <c r="Q9" s="160"/>
      <c r="R9" s="362"/>
      <c r="S9" s="498">
        <f t="shared" si="0"/>
        <v>0</v>
      </c>
    </row>
    <row r="10" spans="1:20" ht="15" customHeight="1" thickBot="1">
      <c r="A10" s="380" t="s">
        <v>707</v>
      </c>
      <c r="B10" s="473">
        <f>VLOOKUP($A$2,AVAILABLE_Upgrades_Dark_Spells[#All],MATCH($A10,AVAILABLE_Upgrades_Dark_Spells[#Headers],0)+1)</f>
        <v>0</v>
      </c>
      <c r="C10" s="474">
        <f>IF(ISERROR(MATCH(1,Paramètres!AL$6:AL$45,0)),0,MATCH(1,Paramètres!AL$6:AL$45,0))</f>
        <v>0</v>
      </c>
      <c r="D10" s="824">
        <f>IF($C10&lt;&gt;0,VLOOKUP($C10,TRAINING_Spell_Poison[#All],2),0)</f>
        <v>0</v>
      </c>
      <c r="E10" s="826">
        <f>IF($C10&lt;&gt;0,VLOOKUP($C10,TRAINING_Spell_Poison[#All],3),0)</f>
        <v>0</v>
      </c>
      <c r="F10" s="825">
        <f>IF($C10&lt;&gt;0,VLOOKUP($C10,TRAINING_Spell_Poison[#All],4),0)</f>
        <v>0</v>
      </c>
      <c r="G10" s="378"/>
      <c r="I10" s="122" t="s">
        <v>186</v>
      </c>
      <c r="J10" s="123">
        <f>VLOOKUP($A$2,AVAILABLE_Upgrades_Normal_Troops[#All],MATCH($I10,AVAILABLE_Upgrades_Normal_Troops[#Headers],0)+1)</f>
        <v>0</v>
      </c>
      <c r="K10" s="289">
        <f>IF(ISERROR(MATCH(1,Paramètres!AT$6:AT$45,0)),0,MATCH(1,Paramètres!AT$6:AT$45,0))</f>
        <v>0</v>
      </c>
      <c r="L10" s="290">
        <f>IF($K10&lt;&gt;0,VLOOKUP($K10,TRAINING_Balloon[#All],2),0)</f>
        <v>0</v>
      </c>
      <c r="M10" s="95">
        <f>IF($K10&lt;&gt;0,VLOOKUP($K10,TRAINING_Balloon[#All],3),0)</f>
        <v>0</v>
      </c>
      <c r="N10" s="291">
        <f>IF($K10&lt;&gt;0,VLOOKUP($K10,TRAINING_Balloon[#All],4),0)</f>
        <v>0</v>
      </c>
      <c r="O10" s="361"/>
      <c r="P10" s="160"/>
      <c r="Q10" s="160"/>
      <c r="R10" s="362"/>
      <c r="S10" s="498">
        <f t="shared" si="0"/>
        <v>0</v>
      </c>
    </row>
    <row r="11" spans="1:20" ht="15" customHeight="1" thickBot="1">
      <c r="A11" s="380" t="s">
        <v>719</v>
      </c>
      <c r="B11" s="91">
        <f>VLOOKUP($A$2,AVAILABLE_Upgrades_Dark_Spells[#All],MATCH($A11,AVAILABLE_Upgrades_Dark_Spells[#Headers],0)+1)</f>
        <v>0</v>
      </c>
      <c r="C11" s="289">
        <f>IF(ISERROR(MATCH(1,Paramètres!AM$6:AM$45,0)),0,MATCH(1,Paramètres!AM$6:AM$45,0))</f>
        <v>0</v>
      </c>
      <c r="D11" s="290">
        <f>IF($C11&lt;&gt;0,VLOOKUP($C11,TRAINING_Spell_Earthquake[#All],2),0)</f>
        <v>0</v>
      </c>
      <c r="E11" s="827">
        <f>IF($C11&lt;&gt;0,VLOOKUP($C11,TRAINING_Spell_Earthquake[#All],3),0)</f>
        <v>0</v>
      </c>
      <c r="F11" s="291">
        <f>IF($C11&lt;&gt;0,VLOOKUP($C11,TRAINING_Spell_Earthquake[#All],4),0)</f>
        <v>0</v>
      </c>
      <c r="G11" s="378"/>
      <c r="I11" s="122" t="s">
        <v>185</v>
      </c>
      <c r="J11" s="123">
        <f>VLOOKUP($A$2,AVAILABLE_Upgrades_Normal_Troops[#All],MATCH($I11,AVAILABLE_Upgrades_Normal_Troops[#Headers],0)+1)</f>
        <v>0</v>
      </c>
      <c r="K11" s="289">
        <f>IF(ISERROR(MATCH(1,Paramètres!AU$6:AU$45,0)),0,MATCH(1,Paramètres!AU$6:AU$45,0))</f>
        <v>0</v>
      </c>
      <c r="L11" s="290">
        <f>IF($K11&lt;&gt;0,VLOOKUP($K11,TRAINING_Wizard[#All],2),0)</f>
        <v>0</v>
      </c>
      <c r="M11" s="95">
        <f>IF($K11&lt;&gt;0,VLOOKUP($K11,TRAINING_Wizard[#All],3),0)</f>
        <v>0</v>
      </c>
      <c r="N11" s="291">
        <f>IF($K11&lt;&gt;0,VLOOKUP($K11,TRAINING_Wizard[#All],4),0)</f>
        <v>0</v>
      </c>
      <c r="O11" s="361"/>
      <c r="P11" s="160"/>
      <c r="Q11" s="160"/>
      <c r="R11" s="362"/>
      <c r="S11" s="498">
        <f t="shared" si="0"/>
        <v>0</v>
      </c>
    </row>
    <row r="12" spans="1:20" ht="15" customHeight="1" thickBot="1">
      <c r="A12" s="380" t="s">
        <v>708</v>
      </c>
      <c r="B12" s="527">
        <f>VLOOKUP($A$2,AVAILABLE_Upgrades_Dark_Spells[#All],MATCH($A12,AVAILABLE_Upgrades_Dark_Spells[#Headers],0)+1)</f>
        <v>0</v>
      </c>
      <c r="C12" s="222">
        <f>IF(ISERROR(MATCH(1,Paramètres!AN$6:AN$45,0)),0,MATCH(1,Paramètres!AN$6:AN$45,0))</f>
        <v>0</v>
      </c>
      <c r="D12" s="296">
        <f>IF($C12&lt;&gt;0,VLOOKUP($C12,TRAINING_Spell_Haste[#All],2),0)</f>
        <v>0</v>
      </c>
      <c r="E12" s="828">
        <f>IF($C12&lt;&gt;0,VLOOKUP($C12,TRAINING_Spell_Haste[#All],3),0)</f>
        <v>0</v>
      </c>
      <c r="F12" s="297">
        <f>IF($C12&lt;&gt;0,VLOOKUP($C12,TRAINING_Spell_Haste[#All],4),0)</f>
        <v>0</v>
      </c>
      <c r="G12" s="379"/>
      <c r="I12" s="122" t="s">
        <v>184</v>
      </c>
      <c r="J12" s="123">
        <f>VLOOKUP($A$2,AVAILABLE_Upgrades_Normal_Troops[#All],MATCH($I12,AVAILABLE_Upgrades_Normal_Troops[#Headers],0)+1)</f>
        <v>0</v>
      </c>
      <c r="K12" s="289">
        <f>IF(ISERROR(MATCH(1,Paramètres!AV$6:AV$45,0)),0,MATCH(1,Paramètres!AV$6:AV$45,0))</f>
        <v>0</v>
      </c>
      <c r="L12" s="290">
        <f>IF($K12&lt;&gt;0,VLOOKUP($K12,TRAINING_Healer[#All],2),0)</f>
        <v>0</v>
      </c>
      <c r="M12" s="95">
        <f>IF($K12&lt;&gt;0,VLOOKUP($K12,TRAINING_Healer[#All],3),0)</f>
        <v>0</v>
      </c>
      <c r="N12" s="291">
        <f>IF($K12&lt;&gt;0,VLOOKUP($K12,TRAINING_Healer[#All],4),0)</f>
        <v>0</v>
      </c>
      <c r="O12" s="361"/>
      <c r="P12" s="160"/>
      <c r="Q12" s="160"/>
      <c r="R12" s="362"/>
      <c r="S12" s="498">
        <f t="shared" si="0"/>
        <v>0</v>
      </c>
    </row>
    <row r="13" spans="1:20" ht="15" customHeight="1" thickBot="1">
      <c r="B13" s="1212" t="s">
        <v>316</v>
      </c>
      <c r="C13" s="1213"/>
      <c r="D13" s="298"/>
      <c r="E13" s="299"/>
      <c r="F13" s="299"/>
      <c r="G13" s="354">
        <f>VLOOKUP($F$2,TRAINING_Dark_Spell_Factory[#All],2)+VLOOKUP($D$2,TRAINING_Spell_Factory[#All],2)</f>
        <v>0</v>
      </c>
      <c r="I13" s="122" t="s">
        <v>57</v>
      </c>
      <c r="J13" s="123">
        <f>VLOOKUP($A$2,AVAILABLE_Upgrades_Normal_Troops[#All],MATCH($I13,AVAILABLE_Upgrades_Normal_Troops[#Headers],0)+1)</f>
        <v>0</v>
      </c>
      <c r="K13" s="289">
        <f>IF(ISERROR(MATCH(1,Paramètres!AW$6:AW$45,0)),0,MATCH(1,Paramètres!AW$6:AW$45,0))</f>
        <v>0</v>
      </c>
      <c r="L13" s="290">
        <f>IF($K13&lt;&gt;0,VLOOKUP($K13,TRAINING_Dragon[#All],2),0)</f>
        <v>0</v>
      </c>
      <c r="M13" s="95">
        <f>IF($K13&lt;&gt;0,VLOOKUP($K13,TRAINING_Dragon[#All],3),0)</f>
        <v>0</v>
      </c>
      <c r="N13" s="291">
        <f>IF($K13&lt;&gt;0,VLOOKUP($K13,TRAINING_Dragon[#All],4),0)</f>
        <v>0</v>
      </c>
      <c r="O13" s="361"/>
      <c r="P13" s="160"/>
      <c r="Q13" s="160"/>
      <c r="R13" s="362"/>
      <c r="S13" s="498">
        <f t="shared" si="0"/>
        <v>0</v>
      </c>
    </row>
    <row r="14" spans="1:20" ht="15" customHeight="1" thickBot="1">
      <c r="B14" s="1180" t="s">
        <v>317</v>
      </c>
      <c r="C14" s="1181"/>
      <c r="D14" s="301"/>
      <c r="E14" s="302"/>
      <c r="F14" s="302"/>
      <c r="G14" s="306">
        <f>SUMPRODUCT(G$5:G$9,$D$5:$D$9)+SUMPRODUCT(G$10:G$12,$D$10:$D$12)</f>
        <v>0</v>
      </c>
      <c r="I14" s="293" t="s">
        <v>58</v>
      </c>
      <c r="J14" s="159">
        <f>VLOOKUP($A$2,AVAILABLE_Upgrades_Normal_Troops[#All],MATCH($I14,AVAILABLE_Upgrades_Normal_Troops[#Headers],0)+1)</f>
        <v>0</v>
      </c>
      <c r="K14" s="97">
        <f>IF(ISERROR(MATCH(1,Paramètres!AX$6:AX$45,0)),0,MATCH(1,Paramètres!AX$6:AX$45,0))</f>
        <v>0</v>
      </c>
      <c r="L14" s="294">
        <f>IF($K14&lt;&gt;0,VLOOKUP($K14,TRAINING_PEKKA[#All],2),0)</f>
        <v>0</v>
      </c>
      <c r="M14" s="112">
        <f>IF($K14&lt;&gt;0,VLOOKUP($K14,TRAINING_PEKKA[#All],3),0)</f>
        <v>0</v>
      </c>
      <c r="N14" s="317">
        <f>IF($K14&lt;&gt;0,VLOOKUP($K14,TRAINING_PEKKA[#All],4),0)</f>
        <v>0</v>
      </c>
      <c r="O14" s="363"/>
      <c r="P14" s="366"/>
      <c r="Q14" s="366"/>
      <c r="R14" s="364"/>
      <c r="S14" s="499">
        <f t="shared" si="0"/>
        <v>0</v>
      </c>
    </row>
    <row r="15" spans="1:20" ht="15" customHeight="1" thickBot="1">
      <c r="B15" s="1178" t="s">
        <v>232</v>
      </c>
      <c r="C15" s="1179"/>
      <c r="D15" s="307"/>
      <c r="E15" s="308"/>
      <c r="F15" s="308"/>
      <c r="G15" s="386">
        <f>SUMPRODUCT(G$5:G$9,$E$5:$E$9)</f>
        <v>0</v>
      </c>
      <c r="J15" s="1212" t="s">
        <v>316</v>
      </c>
      <c r="K15" s="1213"/>
      <c r="L15" s="298"/>
      <c r="M15" s="299"/>
      <c r="N15" s="299"/>
      <c r="O15" s="353">
        <f>VLOOKUP(O$2,TRAINING_Barrack[#All],2)</f>
        <v>0</v>
      </c>
      <c r="P15" s="353">
        <f>VLOOKUP(P$2,TRAINING_Barrack[#All],2)</f>
        <v>60</v>
      </c>
      <c r="Q15" s="353">
        <f>VLOOKUP(Q$2,TRAINING_Barrack[#All],2)</f>
        <v>75</v>
      </c>
      <c r="R15" s="356">
        <f>VLOOKUP(R$2,TRAINING_Barrack[#All],2)</f>
        <v>75</v>
      </c>
      <c r="S15" s="300">
        <f>SUM(O15:R15)</f>
        <v>210</v>
      </c>
    </row>
    <row r="16" spans="1:20" ht="15" customHeight="1">
      <c r="B16" s="1178" t="s">
        <v>232</v>
      </c>
      <c r="C16" s="1179"/>
      <c r="D16" s="307"/>
      <c r="E16" s="308"/>
      <c r="F16" s="308"/>
      <c r="G16" s="827">
        <f>SUMPRODUCT(G$10:G$12,$E$10:$E$12)</f>
        <v>0</v>
      </c>
      <c r="J16" s="1180" t="s">
        <v>317</v>
      </c>
      <c r="K16" s="1181"/>
      <c r="L16" s="301"/>
      <c r="M16" s="302"/>
      <c r="N16" s="302"/>
      <c r="O16" s="303">
        <f>SUMPRODUCT(O$5:O$14,$L$5:$L$14)</f>
        <v>0</v>
      </c>
      <c r="P16" s="303">
        <f>SUMPRODUCT(P$5:P$14,$L$5:$L$14)</f>
        <v>0</v>
      </c>
      <c r="Q16" s="303">
        <f>SUMPRODUCT(Q$5:Q$14,$L$5:$L$14)</f>
        <v>0</v>
      </c>
      <c r="R16" s="304">
        <f>SUMPRODUCT(R$5:R$14,$L$5:$L$14)</f>
        <v>0</v>
      </c>
      <c r="S16" s="305">
        <f>SUM(O16:R16)</f>
        <v>0</v>
      </c>
    </row>
    <row r="17" spans="1:19" ht="15" customHeight="1" thickBot="1">
      <c r="B17" s="1214" t="s">
        <v>233</v>
      </c>
      <c r="C17" s="1215"/>
      <c r="D17" s="312"/>
      <c r="E17" s="275"/>
      <c r="F17" s="275"/>
      <c r="G17" s="316" t="str">
        <f>IF($B$2='Paramètres - Admin'!$B$2,TEXT(SUMPRODUCT(G$5:G$12,$F$5:$F$12),"# 0")&amp;" " &amp; 'Paramètres - Admin'!$B$2,IF($B$2='Paramètres - Admin'!$B$3,TEXT(SUMPRODUCT(G$5:G$12,$F$5:$F$12)/60,"# 0")&amp;" " &amp; 'Paramètres - Admin'!$B$3,IF($B$2='Paramètres - Admin'!$B$4,TEXT(SUMPRODUCT(G$5:G$12,$F$5:$F$12)/3600,"# 0,00")&amp;" " &amp; 'Paramètres - Admin'!$B$4,IF(SUMPRODUCT(G$5:G$12,$F$5:$F$12)/3600&gt;=1,INT(SUMPRODUCT(G$5:G$12,$F$5:$F$12)/3600) &amp;" " &amp; 'Paramètres - Admin'!$D$3 &amp; " " &amp; MINUTE(SUMPRODUCT(G$5:G$12,$F$5:$F$12)/86400-INT(SUMPRODUCT(G$5:G$12,$F$5:$F$12)/86400))  &amp;" " &amp; 'Paramètres - Admin'!$D$2 &amp; " " &amp; SECOND(SUMPRODUCT(G$5:G$12,$F$5:$F$12)/86400-INT(SUMPRODUCT(G$5:G$12,$F$5:$F$12)/86400)) &amp;" " &amp; 'Paramètres - Admin'!$D$5,MINUTE(SUMPRODUCT(G$5:G$12,$F$5:$F$12)/86400-INT(SUMPRODUCT(G$5:G$12,$F$5:$F$12)/86400)) &amp;" " &amp; 'Paramètres - Admin'!$D$2 &amp; " " &amp; SECOND(SUMPRODUCT(G$5:G$12,$F$5:$F$12)/86400-INT(SUMPRODUCT(G$5:G$12,$F$5:$F$12)/86400)) &amp;" " &amp; 'Paramètres - Admin'!$D$5))))</f>
        <v>0,00 heures</v>
      </c>
      <c r="J17" s="1178" t="s">
        <v>232</v>
      </c>
      <c r="K17" s="1179"/>
      <c r="L17" s="307"/>
      <c r="M17" s="308"/>
      <c r="N17" s="308"/>
      <c r="O17" s="386">
        <f>SUMPRODUCT(O$5:O$14,$M$5:$M$14)</f>
        <v>0</v>
      </c>
      <c r="P17" s="386">
        <f>SUMPRODUCT(P$5:P$14,$M$5:$M$14)</f>
        <v>0</v>
      </c>
      <c r="Q17" s="386">
        <f>SUMPRODUCT(Q$5:Q$14,$M$5:$M$14)</f>
        <v>0</v>
      </c>
      <c r="R17" s="387">
        <f>SUMPRODUCT(R$5:R$14,$M$5:$M$14)</f>
        <v>0</v>
      </c>
      <c r="S17" s="388">
        <f>SUM(O17:R17)</f>
        <v>0</v>
      </c>
    </row>
    <row r="18" spans="1:19" ht="15" customHeight="1" thickBot="1">
      <c r="J18" s="1214" t="s">
        <v>233</v>
      </c>
      <c r="K18" s="1215"/>
      <c r="L18" s="312"/>
      <c r="M18" s="275"/>
      <c r="N18" s="275"/>
      <c r="O18" s="313" t="str">
        <f>IF($B$2='Paramètres - Admin'!$B$2,TEXT(SUMPRODUCT(O$5:O$14,$N$5:$N$14),"# 0")&amp;" " &amp; 'Paramètres - Admin'!$B$2,IF($B$2='Paramètres - Admin'!$B$3,TEXT(SUMPRODUCT(O$5:O$14,$N$5:$N$14)/60,"# 0")&amp;" " &amp; 'Paramètres - Admin'!$B$3,IF($B$2='Paramètres - Admin'!$B$4,TEXT(SUMPRODUCT(O$5:O$14,$N$5:$N$14)/3600,"# 0,00")&amp;" " &amp; 'Paramètres - Admin'!$B$4,IF(SUMPRODUCT(O$5:O$14,$N$5:$N$14)/3600&gt;=1,INT(SUMPRODUCT(O$5:O$14,$N$5:$N$14)/3600) &amp;" " &amp; 'Paramètres - Admin'!$D$3 &amp; " " &amp; MINUTE(SUMPRODUCT(O$5:O$14,$N$5:$N$14)/86400-INT(SUMPRODUCT(O$5:O$14,$N$5:$N$14)/86400))  &amp;" " &amp; 'Paramètres - Admin'!$D$2 &amp; " " &amp; SECOND(SUMPRODUCT(O$5:O$14,$N$5:$N$14)/86400-INT(SUMPRODUCT(O$5:O$14,$N$5:$N$14)/86400)) &amp;" " &amp; 'Paramètres - Admin'!$D$5,MINUTE(SUMPRODUCT(O$5:O$14,$N$5:$N$14)/86400-INT(SUMPRODUCT(O$5:O$14,$N$5:$N$14)/86400)) &amp;" " &amp; 'Paramètres - Admin'!$D$2 &amp; " " &amp; SECOND(SUMPRODUCT(O$5:O$14,$N$5:$N$14)/86400-INT(SUMPRODUCT(O$5:O$14,$N$5:$N$14)/86400)) &amp;" " &amp; 'Paramètres - Admin'!$D$5))))</f>
        <v>0,00 heures</v>
      </c>
      <c r="P18" s="313" t="str">
        <f>IF($B$2='Paramètres - Admin'!$B$2,TEXT(SUMPRODUCT(P$5:P$14,$N$5:$N$14),"# 0")&amp;" " &amp; 'Paramètres - Admin'!$B$2,IF($B$2='Paramètres - Admin'!$B$3,TEXT(SUMPRODUCT(P$5:P$14,$N$5:$N$14)/60,"# 0")&amp;" " &amp; 'Paramètres - Admin'!$B$3,IF($B$2='Paramètres - Admin'!$B$4,TEXT(SUMPRODUCT(P$5:P$14,$N$5:$N$14)/3600,"# 0,00")&amp;" " &amp; 'Paramètres - Admin'!$B$4,IF(SUMPRODUCT(P$5:P$14,$N$5:$N$14)/3600&gt;=1,INT(SUMPRODUCT(P$5:P$14,$N$5:$N$14)/3600) &amp;" " &amp; 'Paramètres - Admin'!$D$3 &amp; " " &amp; MINUTE(SUMPRODUCT(P$5:P$14,$N$5:$N$14)/86400-INT(SUMPRODUCT(P$5:P$14,$N$5:$N$14)/86400))  &amp;" " &amp; 'Paramètres - Admin'!$D$2 &amp; " " &amp; SECOND(SUMPRODUCT(P$5:P$14,$N$5:$N$14)/86400-INT(SUMPRODUCT(P$5:P$14,$N$5:$N$14)/86400)) &amp;" " &amp; 'Paramètres - Admin'!$D$5,MINUTE(SUMPRODUCT(P$5:P$14,$N$5:$N$14)/86400-INT(SUMPRODUCT(P$5:P$14,$N$5:$N$14)/86400)) &amp;" " &amp; 'Paramètres - Admin'!$D$2 &amp; " " &amp; SECOND(SUMPRODUCT(P$5:P$14,$N$5:$N$14)/86400-INT(SUMPRODUCT(P$5:P$14,$N$5:$N$14)/86400)) &amp;" " &amp; 'Paramètres - Admin'!$D$5))))</f>
        <v>0,00 heures</v>
      </c>
      <c r="Q18" s="313" t="str">
        <f>IF($B$2='Paramètres - Admin'!$B$2,TEXT(SUMPRODUCT(Q$5:Q$14,$N$5:$N$14),"# 0")&amp;" " &amp; 'Paramètres - Admin'!$B$2,IF($B$2='Paramètres - Admin'!$B$3,TEXT(SUMPRODUCT(Q$5:Q$14,$N$5:$N$14)/60,"# 0")&amp;" " &amp; 'Paramètres - Admin'!$B$3,IF($B$2='Paramètres - Admin'!$B$4,TEXT(SUMPRODUCT(Q$5:Q$14,$N$5:$N$14)/3600,"# 0,00")&amp;" " &amp; 'Paramètres - Admin'!$B$4,IF(SUMPRODUCT(Q$5:Q$14,$N$5:$N$14)/3600&gt;=1,INT(SUMPRODUCT(Q$5:Q$14,$N$5:$N$14)/3600) &amp;" " &amp; 'Paramètres - Admin'!$D$3 &amp; " " &amp; MINUTE(SUMPRODUCT(Q$5:Q$14,$N$5:$N$14)/86400-INT(SUMPRODUCT(Q$5:Q$14,$N$5:$N$14)/86400))  &amp;" " &amp; 'Paramètres - Admin'!$D$2 &amp; " " &amp; SECOND(SUMPRODUCT(Q$5:Q$14,$N$5:$N$14)/86400-INT(SUMPRODUCT(Q$5:Q$14,$N$5:$N$14)/86400)) &amp;" " &amp; 'Paramètres - Admin'!$D$5,MINUTE(SUMPRODUCT(Q$5:Q$14,$N$5:$N$14)/86400-INT(SUMPRODUCT(Q$5:Q$14,$N$5:$N$14)/86400)) &amp;" " &amp; 'Paramètres - Admin'!$D$2 &amp; " " &amp; SECOND(SUMPRODUCT(Q$5:Q$14,$N$5:$N$14)/86400-INT(SUMPRODUCT(Q$5:Q$14,$N$5:$N$14)/86400)) &amp;" " &amp; 'Paramètres - Admin'!$D$5))))</f>
        <v>0,00 heures</v>
      </c>
      <c r="R18" s="314" t="str">
        <f>IF($B$2='Paramètres - Admin'!$B$2,TEXT(SUMPRODUCT(R$5:R$14,$N$5:$N$14),"# 0")&amp;" " &amp; 'Paramètres - Admin'!$B$2,IF($B$2='Paramètres - Admin'!$B$3,TEXT(SUMPRODUCT(R$5:R$14,$N$5:$N$14)/60,"# 0")&amp;" " &amp; 'Paramètres - Admin'!$B$3,IF($B$2='Paramètres - Admin'!$B$4,TEXT(SUMPRODUCT(R$5:R$14,$N$5:$N$14)/3600,"# 0,00")&amp;" " &amp; 'Paramètres - Admin'!$B$4,IF(SUMPRODUCT(R$5:R$14,$N$5:$N$14)/3600&gt;=1,INT(SUMPRODUCT(R$5:R$14,$N$5:$N$14)/3600) &amp;" " &amp; 'Paramètres - Admin'!$D$3 &amp; " " &amp; MINUTE(SUMPRODUCT(R$5:R$14,$N$5:$N$14)/86400-INT(SUMPRODUCT(R$5:R$14,$N$5:$N$14)/86400))  &amp;" " &amp; 'Paramètres - Admin'!$D$2 &amp; " " &amp; SECOND(SUMPRODUCT(R$5:R$14,$N$5:$N$14)/86400-INT(SUMPRODUCT(R$5:R$14,$N$5:$N$14)/86400)) &amp;" " &amp; 'Paramètres - Admin'!$D$5,MINUTE(SUMPRODUCT(R$5:R$14,$N$5:$N$14)/86400-INT(SUMPRODUCT(R$5:R$14,$N$5:$N$14)/86400)) &amp;" " &amp; 'Paramètres - Admin'!$D$2 &amp; " " &amp; SECOND(SUMPRODUCT(R$5:R$14,$N$5:$N$14)/86400-INT(SUMPRODUCT(R$5:R$14,$N$5:$N$14)/86400)) &amp;" " &amp; 'Paramètres - Admin'!$D$5))))</f>
        <v>0,00 heures</v>
      </c>
      <c r="S18" s="315" t="str">
        <f>IF($B$2='Paramètres - Admin'!$B$2,TEXT((SUMPRODUCT(O$5:O$14,$N$5:$N$14)+SUMPRODUCT(P$5:P$14,$N$5:$N$14)+SUMPRODUCT(Q$5:Q$14,$N$5:$N$14)+SUMPRODUCT(R$5:R$14,$N$5:$N$14)),"# 0")&amp;" " &amp; 'Paramètres - Admin'!$B$2,IF($B$2='Paramètres - Admin'!$B$3,TEXT((SUMPRODUCT(O$5:O$14,$N$5:$N$14)+SUMPRODUCT(P$5:P$14,$N$5:$N$14)+SUMPRODUCT(Q$5:Q$14,$N$5:$N$14)+SUMPRODUCT(R$5:R$14,$N$5:$N$14))/60,"# 0")&amp;" " &amp; 'Paramètres - Admin'!$B$3,IF($B$2='Paramètres - Admin'!$B$4,TEXT((SUMPRODUCT(O$5:O$14,$N$5:$N$14)+SUMPRODUCT(P$5:P$14,$N$5:$N$14)+SUMPRODUCT(Q$5:Q$14,$N$5:$N$14)+SUMPRODUCT(R$5:R$14,$N$5:$N$14))/3600,"# 0,00")&amp;" " &amp; 'Paramètres - Admin'!$B$4,IF((SUMPRODUCT(O$5:O$14,$N$5:$N$14)+SUMPRODUCT(P$5:P$14,$N$5:$N$14)+SUMPRODUCT(Q$5:Q$14,$N$5:$N$14)+SUMPRODUCT(R$5:R$14,$N$5:$N$14))/3600&gt;=1,INT((SUMPRODUCT(O$5:O$14,$N$5:$N$14)+SUMPRODUCT(P$5:P$14,$N$5:$N$14)+SUMPRODUCT(Q$5:Q$14,$N$5:$N$14)+SUMPRODUCT(R$5:R$14,$N$5:$N$14))/3600) &amp;" " &amp; 'Paramètres - Admin'!$D$3 &amp; " " &amp; MINUTE((SUMPRODUCT(O$5:O$14,$N$5:$N$14)+SUMPRODUCT(P$5:P$14,$N$5:$N$14)+SUMPRODUCT(Q$5:Q$14,$N$5:$N$14)+SUMPRODUCT(R$5:R$14,$N$5:$N$14))/86400-INT((SUMPRODUCT(O$5:O$14,$N$5:$N$14)+SUMPRODUCT(P$5:P$14,$N$5:$N$14)+SUMPRODUCT(Q$5:Q$14,$N$5:$N$14)+SUMPRODUCT(R$5:R$14,$N$5:$N$14))/86400))  &amp;" " &amp; 'Paramètres - Admin'!$D$2 &amp; " " &amp; SECOND((SUMPRODUCT(O$5:O$14,$N$5:$N$14)+SUMPRODUCT(P$5:P$14,$N$5:$N$14)+SUMPRODUCT(Q$5:Q$14,$N$5:$N$14)+SUMPRODUCT(R$5:R$14,$N$5:$N$14))/86400-INT((SUMPRODUCT(O$5:O$14,$N$5:$N$14)+SUMPRODUCT(P$5:P$14,$N$5:$N$14)+SUMPRODUCT(Q$5:Q$14,$N$5:$N$14)+SUMPRODUCT(R$5:R$14,$N$5:$N$14))/86400)) &amp;" " &amp; 'Paramètres - Admin'!$D$5,MINUTE((SUMPRODUCT(O$5:O$14,$N$5:$N$14)+SUMPRODUCT(P$5:P$14,$N$5:$N$14)+SUMPRODUCT(Q$5:Q$14,$N$5:$N$14)+SUMPRODUCT(R$5:R$14,$N$5:$N$14))/86400-INT((SUMPRODUCT(O$5:O$14,$N$5:$N$14)+SUMPRODUCT(P$5:P$14,$N$5:$N$14)+SUMPRODUCT(Q$5:Q$14,$N$5:$N$14)+SUMPRODUCT(R$5:R$14,$N$5:$N$14))/86400)) &amp;" " &amp; 'Paramètres - Admin'!$D$2 &amp; " " &amp; SECOND((SUMPRODUCT(O$5:O$14,$N$5:$N$14)+SUMPRODUCT(P$5:P$14,$N$5:$N$14)+SUMPRODUCT(Q$5:Q$14,$N$5:$N$14)+SUMPRODUCT(R$5:R$14,$N$5:$N$14))/86400-INT((SUMPRODUCT(O$5:O$14,$N$5:$N$14)+SUMPRODUCT(P$5:P$14,$N$5:$N$14)+SUMPRODUCT(Q$5:Q$14,$N$5:$N$14)+SUMPRODUCT(R$5:R$14,$N$5:$N$14))/86400)) &amp;" " &amp; 'Paramètres - Admin'!$D$5))))</f>
        <v>0,00 heures</v>
      </c>
    </row>
    <row r="19" spans="1:19" ht="20.100000000000001" customHeight="1" thickBot="1">
      <c r="A19" s="1223" t="s">
        <v>332</v>
      </c>
      <c r="B19" s="1224"/>
      <c r="C19" s="1224"/>
      <c r="D19" s="1225"/>
    </row>
    <row r="20" spans="1:19" ht="15" customHeight="1" thickBot="1">
      <c r="A20" s="1226"/>
      <c r="B20" s="1227"/>
      <c r="C20" s="1227"/>
      <c r="D20" s="1228"/>
      <c r="I20" s="193" t="s">
        <v>319</v>
      </c>
      <c r="O20" s="229" t="s">
        <v>327</v>
      </c>
      <c r="P20" s="231" t="s">
        <v>328</v>
      </c>
    </row>
    <row r="21" spans="1:19" ht="15" customHeight="1" thickTop="1" thickBot="1">
      <c r="B21" s="137"/>
      <c r="I21" s="274">
        <f>Paramètres!I46</f>
        <v>0</v>
      </c>
      <c r="O21" s="381">
        <v>4</v>
      </c>
      <c r="P21" s="382">
        <v>4</v>
      </c>
    </row>
    <row r="22" spans="1:19" ht="15" customHeight="1" thickBot="1">
      <c r="A22" s="1229" t="s">
        <v>334</v>
      </c>
      <c r="B22" s="1230"/>
      <c r="C22" s="1230"/>
      <c r="D22" s="1231"/>
      <c r="I22" s="1089" t="s">
        <v>314</v>
      </c>
      <c r="J22" s="1090"/>
      <c r="K22" s="1090"/>
      <c r="L22" s="1090"/>
      <c r="M22" s="1090"/>
      <c r="N22" s="1090"/>
      <c r="O22" s="1090"/>
      <c r="P22" s="1193"/>
      <c r="Q22" s="135"/>
      <c r="S22" s="764" t="s">
        <v>232</v>
      </c>
    </row>
    <row r="23" spans="1:19" ht="15" customHeight="1" thickBot="1">
      <c r="A23" s="1232"/>
      <c r="B23" s="1233"/>
      <c r="C23" s="1233"/>
      <c r="D23" s="1234"/>
      <c r="I23" s="284"/>
      <c r="J23" s="278" t="s">
        <v>39</v>
      </c>
      <c r="K23" s="544" t="s">
        <v>331</v>
      </c>
      <c r="L23" s="544" t="s">
        <v>390</v>
      </c>
      <c r="M23" s="279" t="s">
        <v>258</v>
      </c>
      <c r="N23" s="280" t="s">
        <v>151</v>
      </c>
      <c r="O23" s="349" t="s">
        <v>329</v>
      </c>
      <c r="P23" s="349" t="s">
        <v>330</v>
      </c>
      <c r="Q23" s="355" t="s">
        <v>31</v>
      </c>
      <c r="S23" s="388">
        <f>S17+G15</f>
        <v>0</v>
      </c>
    </row>
    <row r="24" spans="1:19" ht="15" customHeight="1" thickBot="1">
      <c r="B24" s="137"/>
      <c r="I24" s="285" t="s">
        <v>183</v>
      </c>
      <c r="J24" s="123">
        <f>VLOOKUP($A$2,AVAILABLE_Upgrades_Dark_Troops[#All],MATCH($I24,AVAILABLE_Upgrades_Dark_Troops[#Headers],0)+1)</f>
        <v>0</v>
      </c>
      <c r="K24" s="289">
        <f>IF(ISERROR(MATCH(1,Paramètres!AY$6:AY$45,0)),0,MATCH(1,Paramètres!AY$6:AY$45,0))</f>
        <v>0</v>
      </c>
      <c r="L24" s="290">
        <f>IF($K24&lt;&gt;0,VLOOKUP($K24,TRAINING_Minion[#All],2),0)</f>
        <v>0</v>
      </c>
      <c r="M24" s="124">
        <f>IF($K24&lt;&gt;0,VLOOKUP($K24,TRAINING_Minion[#All],3),0)</f>
        <v>0</v>
      </c>
      <c r="N24" s="292">
        <f>IF($K24&lt;&gt;0,VLOOKUP($K24,TRAINING_Minion[#All],4),0)</f>
        <v>0</v>
      </c>
      <c r="O24" s="567"/>
      <c r="P24" s="567"/>
      <c r="Q24" s="498">
        <f t="shared" ref="Q24:Q32" si="1">SUM(O24:P24)</f>
        <v>0</v>
      </c>
      <c r="S24" s="311">
        <f>G16+Q32</f>
        <v>0</v>
      </c>
    </row>
    <row r="25" spans="1:19" ht="15" customHeight="1">
      <c r="A25" s="1235" t="s">
        <v>336</v>
      </c>
      <c r="B25" s="1236"/>
      <c r="C25" s="1236"/>
      <c r="D25" s="1237"/>
      <c r="F25" s="1219" t="s">
        <v>733</v>
      </c>
      <c r="G25" s="1221">
        <f>SUMPRODUCT(Paramètres!J6:J13,'Coûts de Formation'!AH31:AH38)</f>
        <v>0</v>
      </c>
      <c r="I25" s="122" t="s">
        <v>245</v>
      </c>
      <c r="J25" s="123">
        <f>VLOOKUP($A$2,AVAILABLE_Upgrades_Dark_Troops[#All],MATCH($I25,AVAILABLE_Upgrades_Dark_Troops[#Headers],0)+1)</f>
        <v>0</v>
      </c>
      <c r="K25" s="289">
        <f>IF(ISERROR(MATCH(1,Paramètres!AZ$6:AZ$45,0)),0,MATCH(1,Paramètres!AZ$6:AZ$45,0))</f>
        <v>0</v>
      </c>
      <c r="L25" s="290">
        <f>IF($K25&lt;&gt;0,VLOOKUP($K25,TRAINING_Hog_Rider[#All],2),0)</f>
        <v>0</v>
      </c>
      <c r="M25" s="124">
        <f>IF($K25&lt;&gt;0,VLOOKUP($K25,TRAINING_Hog_Rider[#All],3),0)</f>
        <v>0</v>
      </c>
      <c r="N25" s="292">
        <f>IF($K25&lt;&gt;0,VLOOKUP($K25,TRAINING_Hog_Rider[#All],4),0)</f>
        <v>0</v>
      </c>
      <c r="O25" s="568">
        <v>5</v>
      </c>
      <c r="P25" s="568"/>
      <c r="Q25" s="498">
        <f t="shared" si="1"/>
        <v>5</v>
      </c>
    </row>
    <row r="26" spans="1:19" ht="15" customHeight="1" thickBot="1">
      <c r="A26" s="1238"/>
      <c r="B26" s="1239"/>
      <c r="C26" s="1239"/>
      <c r="D26" s="1240"/>
      <c r="F26" s="1220"/>
      <c r="G26" s="1222"/>
      <c r="I26" s="122" t="s">
        <v>66</v>
      </c>
      <c r="J26" s="123">
        <f>VLOOKUP($A$2,AVAILABLE_Upgrades_Dark_Troops[#All],MATCH($I26,AVAILABLE_Upgrades_Dark_Troops[#Headers],0)+1)</f>
        <v>0</v>
      </c>
      <c r="K26" s="289">
        <f>IF(ISERROR(MATCH(1,Paramètres!BA$6:BA$45,0)),0,MATCH(1,Paramètres!BA$6:BA$45,0))</f>
        <v>0</v>
      </c>
      <c r="L26" s="290">
        <f>IF($K26&lt;&gt;0,VLOOKUP($K26,TRAINING_Valkyrie[#All],2),0)</f>
        <v>0</v>
      </c>
      <c r="M26" s="124">
        <f>IF($K26&lt;&gt;0,VLOOKUP($K26,TRAINING_Valkyrie[#All],3),0)</f>
        <v>0</v>
      </c>
      <c r="N26" s="292">
        <f>IF($K26&lt;&gt;0,VLOOKUP($K26,TRAINING_Valkyrie[#All],4),0)</f>
        <v>0</v>
      </c>
      <c r="O26" s="568"/>
      <c r="P26" s="568"/>
      <c r="Q26" s="498">
        <f t="shared" si="1"/>
        <v>0</v>
      </c>
    </row>
    <row r="27" spans="1:19" ht="15" customHeight="1" thickBot="1">
      <c r="I27" s="122" t="s">
        <v>67</v>
      </c>
      <c r="J27" s="159">
        <f>VLOOKUP($A$2,AVAILABLE_Upgrades_Dark_Troops[#All],MATCH($I27,AVAILABLE_Upgrades_Dark_Troops[#Headers],0)+1)</f>
        <v>0</v>
      </c>
      <c r="K27" s="97">
        <f>IF(ISERROR(MATCH(1,Paramètres!BB$6:BB$45,0)),0,MATCH(1,Paramètres!BB$6:BB$45,0))</f>
        <v>0</v>
      </c>
      <c r="L27" s="294">
        <f>IF($K27&lt;&gt;0,VLOOKUP($K27,TRAINING_Golem[#All],2),0)</f>
        <v>0</v>
      </c>
      <c r="M27" s="125">
        <f>IF($K27&lt;&gt;0,VLOOKUP($K27,TRAINING_Golem[#All],3),0)</f>
        <v>0</v>
      </c>
      <c r="N27" s="295">
        <f>IF($K27&lt;&gt;0,VLOOKUP($K27,TRAINING_Golem[#All],4),0)</f>
        <v>0</v>
      </c>
      <c r="O27" s="568"/>
      <c r="P27" s="568"/>
      <c r="Q27" s="498">
        <f t="shared" si="1"/>
        <v>0</v>
      </c>
    </row>
    <row r="28" spans="1:19" ht="15" customHeight="1">
      <c r="A28" s="1241" t="s">
        <v>341</v>
      </c>
      <c r="B28" s="1242"/>
      <c r="C28" s="1242"/>
      <c r="D28" s="1243"/>
      <c r="I28" s="122" t="s">
        <v>536</v>
      </c>
      <c r="J28" s="159">
        <f>VLOOKUP($A$2,AVAILABLE_Upgrades_Dark_Troops[#All],MATCH($I28,AVAILABLE_Upgrades_Dark_Troops[#Headers],0)+1)</f>
        <v>0</v>
      </c>
      <c r="K28" s="97">
        <f>IF(ISERROR(MATCH(1,Paramètres!BC$6:BC$45,0)),0,MATCH(1,Paramètres!BC$6:BC$45,0))</f>
        <v>0</v>
      </c>
      <c r="L28" s="294">
        <f>IF($K28&lt;&gt;0,VLOOKUP($K28,TRAINING_Witch[#All],2),0)</f>
        <v>0</v>
      </c>
      <c r="M28" s="125">
        <f>IF($K28&lt;&gt;0,VLOOKUP($K28,TRAINING_Witch[#All],3),0)</f>
        <v>0</v>
      </c>
      <c r="N28" s="295">
        <f>IF($K28&lt;&gt;0,VLOOKUP($K28,TRAINING_Witch[#All],4),0)</f>
        <v>0</v>
      </c>
      <c r="O28" s="568"/>
      <c r="P28" s="568"/>
      <c r="Q28" s="499">
        <f t="shared" si="1"/>
        <v>0</v>
      </c>
    </row>
    <row r="29" spans="1:19" ht="15" customHeight="1" thickBot="1">
      <c r="A29" s="1244"/>
      <c r="B29" s="1245"/>
      <c r="C29" s="1245"/>
      <c r="D29" s="1246"/>
      <c r="I29" s="119" t="s">
        <v>573</v>
      </c>
      <c r="J29" s="159">
        <f>VLOOKUP($A$2,AVAILABLE_Upgrades_Dark_Troops[#All],MATCH($I29,AVAILABLE_Upgrades_Dark_Troops[#Headers],0)+1)</f>
        <v>0</v>
      </c>
      <c r="K29" s="531">
        <f>IF(ISERROR(MATCH(1,Paramètres!BD$6:BD$45,0)),0,MATCH(1,Paramètres!BD$6:BD$45,0))</f>
        <v>0</v>
      </c>
      <c r="L29" s="294">
        <f>IF($K29&lt;&gt;0,VLOOKUP($K29,TRAINING_Lava_Hound[#All],2),0)</f>
        <v>0</v>
      </c>
      <c r="M29" s="125">
        <f>IF($K29&lt;&gt;0,VLOOKUP($K29,TRAINING_Lava_Hound[#All],3),0)</f>
        <v>0</v>
      </c>
      <c r="N29" s="295">
        <f>IF($K29&lt;&gt;0,VLOOKUP($K29,TRAINING_Lava_Hound[#All],4),0)</f>
        <v>0</v>
      </c>
      <c r="O29" s="569"/>
      <c r="P29" s="569"/>
      <c r="Q29" s="499">
        <f t="shared" si="1"/>
        <v>0</v>
      </c>
    </row>
    <row r="30" spans="1:19" ht="15" customHeight="1" thickBot="1">
      <c r="J30" s="1212" t="s">
        <v>316</v>
      </c>
      <c r="K30" s="1213"/>
      <c r="L30" s="298"/>
      <c r="M30" s="299"/>
      <c r="N30" s="299"/>
      <c r="O30" s="353">
        <f>VLOOKUP(O$21,TRAINING_Dark_Barrack[#All],2)</f>
        <v>70</v>
      </c>
      <c r="P30" s="356">
        <f>VLOOKUP(P$21,TRAINING_Dark_Barrack[#All],2)</f>
        <v>70</v>
      </c>
      <c r="Q30" s="300">
        <f t="shared" si="1"/>
        <v>140</v>
      </c>
    </row>
    <row r="31" spans="1:19" ht="15" customHeight="1">
      <c r="B31" s="137"/>
      <c r="J31" s="1180" t="s">
        <v>317</v>
      </c>
      <c r="K31" s="1181"/>
      <c r="L31" s="301"/>
      <c r="M31" s="302"/>
      <c r="N31" s="302"/>
      <c r="O31" s="303">
        <f>SUMPRODUCT(O$24:O$29,$L$24:$L$29)</f>
        <v>0</v>
      </c>
      <c r="P31" s="303">
        <f>SUMPRODUCT(P$24:P$29,$L$24:$L$29)</f>
        <v>0</v>
      </c>
      <c r="Q31" s="305">
        <f t="shared" si="1"/>
        <v>0</v>
      </c>
    </row>
    <row r="32" spans="1:19" ht="15" customHeight="1">
      <c r="J32" s="1178" t="s">
        <v>232</v>
      </c>
      <c r="K32" s="1179"/>
      <c r="L32" s="307"/>
      <c r="M32" s="308"/>
      <c r="N32" s="308"/>
      <c r="O32" s="309">
        <f>SUMPRODUCT(O$24:O$29,$M$24:$M$29)</f>
        <v>0</v>
      </c>
      <c r="P32" s="310">
        <f>SUMPRODUCT(P$24:P$29,$M$24:$M$29)</f>
        <v>0</v>
      </c>
      <c r="Q32" s="311">
        <f t="shared" si="1"/>
        <v>0</v>
      </c>
    </row>
    <row r="33" spans="2:17" ht="15" customHeight="1" thickBot="1">
      <c r="J33" s="1214" t="s">
        <v>233</v>
      </c>
      <c r="K33" s="1215"/>
      <c r="L33" s="312"/>
      <c r="M33" s="275"/>
      <c r="N33" s="275"/>
      <c r="O33" s="313" t="str">
        <f>IF($B$2='Paramètres - Admin'!$B$2,TEXT(SUMPRODUCT(O$24:O$29,$N$24:$N$29),"# 0")&amp;" " &amp; 'Paramètres - Admin'!$B$2,IF($B$2='Paramètres - Admin'!$B$3,TEXT(SUMPRODUCT(O$24:O$29,$N$24:$N$29)/60,"# 0")&amp;" " &amp; 'Paramètres - Admin'!$B$3,IF($B$2='Paramètres - Admin'!$B$4,TEXT(SUMPRODUCT(O$24:O$29,$N$24:$N$29)/3600,"# 0,00")&amp;" " &amp; 'Paramètres - Admin'!$B$4,IF(SUMPRODUCT(O$24:O$29,$N$24:$N$29)/3600&gt;=1,INT(SUMPRODUCT(O$24:O$29,$N$24:$N$29)/3600) &amp;" " &amp; 'Paramètres - Admin'!$D$3 &amp; " " &amp; MINUTE(SUMPRODUCT(O$24:O$29,$N$24:$N$29)/86400-INT(SUMPRODUCT(O$24:O$29,$N$24:$N$29)/86400))  &amp;" " &amp; 'Paramètres - Admin'!$D$2 &amp; " " &amp; SECOND(SUMPRODUCT(O$24:O$29,$N$24:$N$29)/86400-INT(SUMPRODUCT(O$24:O$29,$N$24:$N$29)/86400)) &amp;" " &amp; 'Paramètres - Admin'!$D$5,MINUTE(SUMPRODUCT(O$24:O$29,$N$24:$N$29)/86400-INT(SUMPRODUCT(O$24:O$29,$N$24:$N$29)/86400)) &amp;" " &amp; 'Paramètres - Admin'!$D$2 &amp; " " &amp; SECOND(SUMPRODUCT(O$24:O$29,$N$24:$N$29)/86400-INT(SUMPRODUCT(O$24:O$29,$N$24:$N$29)/86400)) &amp;" " &amp; 'Paramètres - Admin'!$D$5))))</f>
        <v>0,00 heures</v>
      </c>
      <c r="P33" s="314" t="str">
        <f>IF($B$2='Paramètres - Admin'!$B$2,TEXT(SUMPRODUCT(P$24:P$29,$N$24:$N$29),"# 0")&amp;" " &amp; 'Paramètres - Admin'!$B$2,IF($B$2='Paramètres - Admin'!$B$3,TEXT(SUMPRODUCT(P$24:P$29,$N$24:$N$29)/60,"# 0")&amp;" " &amp; 'Paramètres - Admin'!$B$3,IF($B$2='Paramètres - Admin'!$B$4,TEXT(SUMPRODUCT(P$24:P$29,$N$24:$N$29)/3600,"# 0,00")&amp;" " &amp; 'Paramètres - Admin'!$B$4,IF(SUMPRODUCT(P$24:P$29,$N$24:$N$29)/3600&gt;=1,INT(SUMPRODUCT(P$24:P$29,$N$24:$N$29)/3600) &amp;" " &amp; 'Paramètres - Admin'!$D$3 &amp; " " &amp; MINUTE(SUMPRODUCT(P$24:P$29,$N$24:$N$29)/86400-INT(SUMPRODUCT(P$24:P$29,$N$24:$N$29)/86400))  &amp;" " &amp; 'Paramètres - Admin'!$D$2 &amp; " " &amp; SECOND(SUMPRODUCT(P$24:P$29,$N$24:$N$29)/86400-INT(SUMPRODUCT(P$24:P$29,$N$24:$N$29)/86400)) &amp;" " &amp; 'Paramètres - Admin'!$D$5,MINUTE(SUMPRODUCT(P$24:P$29,$N$24:$N$29)/86400-INT(SUMPRODUCT(P$24:P$29,$N$24:$N$29)/86400)) &amp;" " &amp; 'Paramètres - Admin'!$D$2 &amp; " " &amp; SECOND(SUMPRODUCT(P$24:P$29,$N$24:$N$29)/86400-INT(SUMPRODUCT(P$24:P$29,$N$24:$N$29)/86400)) &amp;" " &amp; 'Paramètres - Admin'!$D$5))))</f>
        <v>0,00 heures</v>
      </c>
      <c r="Q33" s="315" t="str">
        <f>IF($B$2='Paramètres - Admin'!$B$2,TEXT((SUMPRODUCT(O$24:O$29,$N$24:$N$29)+SUMPRODUCT(P$24:P$29,$N$24:$N$29)),"# 0")&amp;" " &amp; 'Paramètres - Admin'!$B$2,IF($B$2='Paramètres - Admin'!$B$3,TEXT((SUMPRODUCT(O$24:O$29,$N$24:$N$29)+SUMPRODUCT(P$24:P$29,$N$24:$N$29))/60,"# 0")&amp;" " &amp; 'Paramètres - Admin'!$B$3,IF($B$2='Paramètres - Admin'!$B$4,TEXT((SUMPRODUCT(O$24:O$29,$N$24:$N$29)+SUMPRODUCT(P$24:P$29,$N$24:$N$29))/3600,"# 0,00")&amp;" " &amp; 'Paramètres - Admin'!$B$4,IF((SUMPRODUCT(O$24:O$29,$N$24:$N$29)+SUMPRODUCT(P$24:P$29,$N$24:$N$29))/3600&gt;=1,INT((SUMPRODUCT(O$24:O$29,$N$24:$N$29)+SUMPRODUCT(P$24:P$29,$N$24:$N$29))/3600) &amp;" " &amp; 'Paramètres - Admin'!$D$3 &amp; " " &amp; MINUTE((SUMPRODUCT(O$24:O$29,$N$24:$N$29)+SUMPRODUCT(P$24:P$29,$N$24:$N$29))/86400-INT((SUMPRODUCT(O$24:O$29,$N$24:$N$29)+SUMPRODUCT(P$24:P$29,$N$24:$N$29))/86400))  &amp;" " &amp; 'Paramètres - Admin'!$D$2 &amp; " " &amp; SECOND((SUMPRODUCT(O$24:O$29,$N$24:$N$29)+SUMPRODUCT(P$24:P$29,$N$24:$N$29))/86400-INT((SUMPRODUCT(O$24:O$29,$N$24:$N$29)+SUMPRODUCT(P$24:P$29,$N$24:$N$29))/86400)) &amp;" " &amp; 'Paramètres - Admin'!$D$5,MINUTE((SUMPRODUCT(O$24:O$29,$N$24:$N$29)+SUMPRODUCT(P$24:P$29,$N$24:$N$29))/86400-INT((SUMPRODUCT(O$24:O$29,$N$24:$N$29)+SUMPRODUCT(P$24:P$29,$N$24:$N$29))/86400)) &amp;" " &amp; 'Paramètres - Admin'!$D$2 &amp; " " &amp; SECOND((SUMPRODUCT(O$24:O$29,$N$24:$N$29)+SUMPRODUCT(P$24:P$29,$N$24:$N$29))/86400-INT((SUMPRODUCT(O$24:O$29,$N$24:$N$29)+SUMPRODUCT(P$24:P$29,$N$24:$N$29))/86400)) &amp;" " &amp; 'Paramètres - Admin'!$D$5))))</f>
        <v>0,00 heures</v>
      </c>
    </row>
    <row r="39" spans="2:17" ht="15" customHeight="1">
      <c r="B39" s="137"/>
    </row>
    <row r="40" spans="2:17" ht="15" customHeight="1">
      <c r="B40" s="137"/>
    </row>
    <row r="41" spans="2:17" ht="15" customHeight="1">
      <c r="B41" s="137"/>
    </row>
  </sheetData>
  <sheetProtection selectLockedCells="1"/>
  <dataConsolidate/>
  <mergeCells count="28">
    <mergeCell ref="A19:D20"/>
    <mergeCell ref="A22:D23"/>
    <mergeCell ref="A25:D26"/>
    <mergeCell ref="A28:D29"/>
    <mergeCell ref="I3:R3"/>
    <mergeCell ref="B15:C15"/>
    <mergeCell ref="B17:C17"/>
    <mergeCell ref="B16:C16"/>
    <mergeCell ref="J31:K31"/>
    <mergeCell ref="J32:K32"/>
    <mergeCell ref="J33:K33"/>
    <mergeCell ref="F1:G1"/>
    <mergeCell ref="F2:G2"/>
    <mergeCell ref="J30:K30"/>
    <mergeCell ref="F25:F26"/>
    <mergeCell ref="G25:G26"/>
    <mergeCell ref="J15:K15"/>
    <mergeCell ref="J16:K16"/>
    <mergeCell ref="J17:K17"/>
    <mergeCell ref="J18:K18"/>
    <mergeCell ref="I22:P22"/>
    <mergeCell ref="D1:E1"/>
    <mergeCell ref="D2:E2"/>
    <mergeCell ref="B14:C14"/>
    <mergeCell ref="B1:C1"/>
    <mergeCell ref="B2:C2"/>
    <mergeCell ref="B13:C13"/>
    <mergeCell ref="A3:G3"/>
  </mergeCells>
  <conditionalFormatting sqref="O5:R14">
    <cfRule type="expression" dxfId="1684" priority="34">
      <formula>OR($J5=0,$K5=0)</formula>
    </cfRule>
    <cfRule type="expression" dxfId="1683" priority="61">
      <formula>O$16&gt;O$15</formula>
    </cfRule>
    <cfRule type="expression" dxfId="1682" priority="175">
      <formula>O$2&lt;1</formula>
    </cfRule>
  </conditionalFormatting>
  <conditionalFormatting sqref="P5:P14">
    <cfRule type="expression" dxfId="1681" priority="155">
      <formula>$I$2&lt;2</formula>
    </cfRule>
  </conditionalFormatting>
  <conditionalFormatting sqref="Q5:Q14">
    <cfRule type="expression" dxfId="1680" priority="154">
      <formula>$I$2&lt;3</formula>
    </cfRule>
  </conditionalFormatting>
  <conditionalFormatting sqref="R5:R14">
    <cfRule type="expression" dxfId="1679" priority="153">
      <formula>$I$2&lt;4</formula>
    </cfRule>
  </conditionalFormatting>
  <conditionalFormatting sqref="O6:R14">
    <cfRule type="expression" dxfId="1678" priority="177">
      <formula>O$2&lt;2</formula>
    </cfRule>
  </conditionalFormatting>
  <conditionalFormatting sqref="O7:R14">
    <cfRule type="expression" dxfId="1677" priority="178">
      <formula>O$2&lt;3</formula>
    </cfRule>
  </conditionalFormatting>
  <conditionalFormatting sqref="O8:R14">
    <cfRule type="expression" dxfId="1676" priority="179">
      <formula>O$2&lt;4</formula>
    </cfRule>
  </conditionalFormatting>
  <conditionalFormatting sqref="O9:R14">
    <cfRule type="expression" dxfId="1675" priority="180">
      <formula>O$2&lt;5</formula>
    </cfRule>
  </conditionalFormatting>
  <conditionalFormatting sqref="O10:R14">
    <cfRule type="expression" dxfId="1674" priority="181">
      <formula>O$2&lt;6</formula>
    </cfRule>
  </conditionalFormatting>
  <conditionalFormatting sqref="O11:R14">
    <cfRule type="expression" dxfId="1673" priority="182">
      <formula>O$2&lt;7</formula>
    </cfRule>
  </conditionalFormatting>
  <conditionalFormatting sqref="O12:R14">
    <cfRule type="expression" dxfId="1672" priority="183">
      <formula>O$2&lt;8</formula>
    </cfRule>
  </conditionalFormatting>
  <conditionalFormatting sqref="O13:R14">
    <cfRule type="expression" dxfId="1671" priority="184">
      <formula>O$2&lt;9</formula>
    </cfRule>
  </conditionalFormatting>
  <conditionalFormatting sqref="O14:R14">
    <cfRule type="expression" dxfId="1670" priority="185">
      <formula>O$2&lt;10</formula>
    </cfRule>
  </conditionalFormatting>
  <conditionalFormatting sqref="G5:G12">
    <cfRule type="expression" dxfId="1669" priority="1">
      <formula>OR($B5=0,$C5=0)</formula>
    </cfRule>
  </conditionalFormatting>
  <conditionalFormatting sqref="O31:Q31 O16:S16">
    <cfRule type="expression" dxfId="1668" priority="731">
      <formula>$S$16+$Q$31&gt;$G$25</formula>
    </cfRule>
  </conditionalFormatting>
  <conditionalFormatting sqref="G7:G9">
    <cfRule type="expression" dxfId="1667" priority="735">
      <formula>$D$2&lt;3</formula>
    </cfRule>
  </conditionalFormatting>
  <conditionalFormatting sqref="G8:G9">
    <cfRule type="expression" dxfId="1666" priority="736">
      <formula>$D$2&lt;4</formula>
    </cfRule>
  </conditionalFormatting>
  <conditionalFormatting sqref="G9">
    <cfRule type="expression" dxfId="1665" priority="737">
      <formula>$D$2&lt;5</formula>
    </cfRule>
  </conditionalFormatting>
  <conditionalFormatting sqref="G6:G9">
    <cfRule type="expression" dxfId="1664" priority="738">
      <formula>$D$2&lt;2</formula>
    </cfRule>
  </conditionalFormatting>
  <conditionalFormatting sqref="G5:G9">
    <cfRule type="expression" dxfId="1663" priority="739">
      <formula>$D$2&lt;1</formula>
    </cfRule>
    <cfRule type="expression" dxfId="1662" priority="740">
      <formula>$G$14&gt;#REF!</formula>
    </cfRule>
  </conditionalFormatting>
  <conditionalFormatting sqref="G10:G12">
    <cfRule type="expression" dxfId="1661" priority="757">
      <formula>$F$2&lt;1</formula>
    </cfRule>
  </conditionalFormatting>
  <conditionalFormatting sqref="G11:G12">
    <cfRule type="expression" dxfId="1660" priority="758">
      <formula>$F$2&lt;2</formula>
    </cfRule>
  </conditionalFormatting>
  <conditionalFormatting sqref="G12">
    <cfRule type="expression" dxfId="1659" priority="759">
      <formula>$F$2&lt;3</formula>
    </cfRule>
  </conditionalFormatting>
  <conditionalFormatting sqref="P24:P29">
    <cfRule type="expression" dxfId="1658" priority="808">
      <formula>$I$21&lt;2</formula>
    </cfRule>
  </conditionalFormatting>
  <conditionalFormatting sqref="O29">
    <cfRule type="expression" dxfId="1657" priority="809" stopIfTrue="1">
      <formula>$I$21&lt;1</formula>
    </cfRule>
  </conditionalFormatting>
  <conditionalFormatting sqref="O27:P29">
    <cfRule type="expression" dxfId="1656" priority="824">
      <formula>O$21&lt;4</formula>
    </cfRule>
  </conditionalFormatting>
  <conditionalFormatting sqref="O25:P29">
    <cfRule type="expression" dxfId="1655" priority="825">
      <formula>O$21&lt;2</formula>
    </cfRule>
  </conditionalFormatting>
  <conditionalFormatting sqref="O26:P29">
    <cfRule type="expression" dxfId="1654" priority="826">
      <formula>O$21&lt;3</formula>
    </cfRule>
  </conditionalFormatting>
  <conditionalFormatting sqref="O28:P29">
    <cfRule type="expression" dxfId="1653" priority="827">
      <formula>O$21&lt;5</formula>
    </cfRule>
  </conditionalFormatting>
  <conditionalFormatting sqref="O24:P28">
    <cfRule type="expression" dxfId="1652" priority="846">
      <formula>O$31&gt;O$30</formula>
    </cfRule>
  </conditionalFormatting>
  <conditionalFormatting sqref="O29:P29">
    <cfRule type="expression" dxfId="1651" priority="847">
      <formula>O$21&lt;6</formula>
    </cfRule>
    <cfRule type="expression" dxfId="1650" priority="848" stopIfTrue="1">
      <formula>OR($J29=0,$K29=0)</formula>
    </cfRule>
    <cfRule type="expression" dxfId="1649" priority="849" stopIfTrue="1">
      <formula>O$31&gt;O$30</formula>
    </cfRule>
  </conditionalFormatting>
  <conditionalFormatting sqref="O24:P29">
    <cfRule type="expression" dxfId="1648" priority="850">
      <formula>OR($J24=0,$K24=0)</formula>
    </cfRule>
    <cfRule type="expression" dxfId="1647" priority="851">
      <formula>O$21&lt;1</formula>
    </cfRule>
  </conditionalFormatting>
  <dataValidations count="5">
    <dataValidation type="whole" allowBlank="1" showInputMessage="1" showErrorMessage="1" sqref="O24:P29 O5:R14">
      <formula1>0</formula1>
      <formula2>1000</formula2>
    </dataValidation>
    <dataValidation type="list" allowBlank="1" showInputMessage="1" showErrorMessage="1" sqref="O21:P21">
      <formula1>"0,1,2,3,4,5,6"</formula1>
    </dataValidation>
    <dataValidation type="whole" allowBlank="1" showInputMessage="1" showErrorMessage="1" sqref="G5:G11">
      <formula1>0</formula1>
      <formula2>10</formula2>
    </dataValidation>
    <dataValidation type="list" allowBlank="1" showInputMessage="1" showErrorMessage="1" sqref="P2:R2">
      <formula1>"0,1,2,3,4,5,6,7,8,9,10"</formula1>
    </dataValidation>
    <dataValidation type="list" allowBlank="1" showInputMessage="1" showErrorMessage="1" sqref="B2">
      <formula1>TimeDisplay2</formula1>
    </dataValidation>
  </dataValidations>
  <pageMargins left="0.7" right="0.7" top="0.75" bottom="0.75" header="0.3" footer="0.3"/>
  <pageSetup paperSize="9" orientation="portrait" r:id="rId1"/>
  <ignoredErrors>
    <ignoredError sqref="I2 K6:K14 C5:C8" unlockedFormula="1"/>
  </ignoredErrors>
</worksheet>
</file>

<file path=xl/worksheets/sheet7.xml><?xml version="1.0" encoding="utf-8"?>
<worksheet xmlns="http://schemas.openxmlformats.org/spreadsheetml/2006/main" xmlns:r="http://schemas.openxmlformats.org/officeDocument/2006/relationships">
  <sheetPr codeName="Feuil6">
    <tabColor theme="1"/>
  </sheetPr>
  <dimension ref="A1:BL89"/>
  <sheetViews>
    <sheetView showGridLines="0" tabSelected="1" zoomScaleNormal="100" workbookViewId="0">
      <pane xSplit="1" ySplit="2" topLeftCell="B3" activePane="bottomRight" state="frozen"/>
      <selection activeCell="A3" sqref="A3:H6"/>
      <selection pane="topRight" activeCell="A3" sqref="A3:H6"/>
      <selection pane="bottomLeft" activeCell="A3" sqref="A3:H6"/>
      <selection pane="bottomRight" activeCell="E20" sqref="E20"/>
    </sheetView>
  </sheetViews>
  <sheetFormatPr baseColWidth="10" defaultColWidth="11.42578125" defaultRowHeight="15"/>
  <cols>
    <col min="1" max="1" width="5.140625" style="135" customWidth="1"/>
    <col min="2" max="13" width="3" style="135" customWidth="1"/>
    <col min="14" max="14" width="3.5703125" style="135" customWidth="1"/>
    <col min="15" max="30" width="3" style="135" customWidth="1"/>
    <col min="31" max="31" width="3.7109375" style="135" customWidth="1"/>
    <col min="32" max="32" width="3.5703125" style="135" bestFit="1" customWidth="1"/>
    <col min="33" max="50" width="3" style="135" customWidth="1"/>
    <col min="51" max="55" width="3.28515625" style="135" customWidth="1"/>
    <col min="56" max="57" width="2.85546875" style="135" customWidth="1"/>
    <col min="58" max="58" width="3.28515625" style="135" customWidth="1"/>
    <col min="59" max="59" width="3" style="135" customWidth="1"/>
    <col min="60" max="60" width="4.7109375" style="537" customWidth="1"/>
    <col min="61" max="61" width="12.42578125" style="132" customWidth="1"/>
    <col min="62" max="62" width="12.7109375" style="537" customWidth="1"/>
    <col min="63" max="63" width="8.140625" style="1327" bestFit="1" customWidth="1"/>
    <col min="64" max="64" width="7.140625" style="537" bestFit="1" customWidth="1"/>
    <col min="65" max="16384" width="11.42578125" style="537"/>
  </cols>
  <sheetData>
    <row r="1" spans="1:64" ht="30" customHeight="1" thickBot="1">
      <c r="A1" s="1247" t="s">
        <v>30</v>
      </c>
      <c r="B1" s="1249" t="s">
        <v>447</v>
      </c>
      <c r="C1" s="1250"/>
      <c r="D1" s="1250"/>
      <c r="E1" s="1250"/>
      <c r="F1" s="1250"/>
      <c r="G1" s="1251"/>
      <c r="H1" s="1255" t="s">
        <v>181</v>
      </c>
      <c r="I1" s="1256"/>
      <c r="J1" s="1256"/>
      <c r="K1" s="1256"/>
      <c r="L1" s="1256"/>
      <c r="M1" s="1257"/>
      <c r="N1" s="1249" t="s">
        <v>179</v>
      </c>
      <c r="O1" s="1250"/>
      <c r="P1" s="1250"/>
      <c r="Q1" s="1250"/>
      <c r="R1" s="1250"/>
      <c r="S1" s="1250"/>
      <c r="T1" s="1250"/>
      <c r="U1" s="1250"/>
      <c r="V1" s="1250"/>
      <c r="W1" s="1254"/>
      <c r="X1" s="1251"/>
      <c r="Y1" s="1249" t="s">
        <v>582</v>
      </c>
      <c r="Z1" s="1250"/>
      <c r="AA1" s="1250"/>
      <c r="AB1" s="1250"/>
      <c r="AC1" s="1250"/>
      <c r="AD1" s="1251"/>
      <c r="AE1" s="1252" t="s">
        <v>180</v>
      </c>
      <c r="AF1" s="1253"/>
      <c r="AG1" s="1255" t="s">
        <v>226</v>
      </c>
      <c r="AH1" s="1256"/>
      <c r="AI1" s="1256"/>
      <c r="AJ1" s="1256"/>
      <c r="AK1" s="1256"/>
      <c r="AL1" s="1256"/>
      <c r="AM1" s="1256"/>
      <c r="AN1" s="1257"/>
      <c r="AO1" s="1249" t="s">
        <v>240</v>
      </c>
      <c r="AP1" s="1250"/>
      <c r="AQ1" s="1250"/>
      <c r="AR1" s="1250"/>
      <c r="AS1" s="1250"/>
      <c r="AT1" s="1250"/>
      <c r="AU1" s="1250"/>
      <c r="AV1" s="1250"/>
      <c r="AW1" s="1250"/>
      <c r="AX1" s="1251"/>
      <c r="AY1" s="1255" t="s">
        <v>227</v>
      </c>
      <c r="AZ1" s="1256"/>
      <c r="BA1" s="1256"/>
      <c r="BB1" s="1256"/>
      <c r="BC1" s="1256"/>
      <c r="BD1" s="1257"/>
      <c r="BE1" s="1255" t="s">
        <v>178</v>
      </c>
      <c r="BF1" s="1256"/>
      <c r="BG1" s="1257"/>
      <c r="BI1" s="204" t="s">
        <v>291</v>
      </c>
      <c r="BJ1" s="204" t="s">
        <v>351</v>
      </c>
      <c r="BK1" s="204" t="s">
        <v>414</v>
      </c>
      <c r="BL1" s="349" t="s">
        <v>294</v>
      </c>
    </row>
    <row r="2" spans="1:64" ht="95.1" customHeight="1" thickTop="1" thickBot="1">
      <c r="A2" s="1248"/>
      <c r="B2" s="685" t="s">
        <v>176</v>
      </c>
      <c r="C2" s="686" t="s">
        <v>210</v>
      </c>
      <c r="D2" s="686" t="s">
        <v>211</v>
      </c>
      <c r="E2" s="686" t="s">
        <v>212</v>
      </c>
      <c r="F2" s="686" t="s">
        <v>452</v>
      </c>
      <c r="G2" s="687" t="s">
        <v>451</v>
      </c>
      <c r="H2" s="685" t="s">
        <v>207</v>
      </c>
      <c r="I2" s="686" t="s">
        <v>343</v>
      </c>
      <c r="J2" s="686" t="s">
        <v>338</v>
      </c>
      <c r="K2" s="686" t="s">
        <v>208</v>
      </c>
      <c r="L2" s="686" t="s">
        <v>209</v>
      </c>
      <c r="M2" s="687" t="s">
        <v>702</v>
      </c>
      <c r="N2" s="685" t="s">
        <v>206</v>
      </c>
      <c r="O2" s="686" t="s">
        <v>205</v>
      </c>
      <c r="P2" s="686" t="s">
        <v>204</v>
      </c>
      <c r="Q2" s="686" t="s">
        <v>203</v>
      </c>
      <c r="R2" s="686" t="s">
        <v>202</v>
      </c>
      <c r="S2" s="686" t="s">
        <v>454</v>
      </c>
      <c r="T2" s="686" t="s">
        <v>643</v>
      </c>
      <c r="U2" s="686" t="s">
        <v>201</v>
      </c>
      <c r="V2" s="686" t="s">
        <v>200</v>
      </c>
      <c r="W2" s="686" t="s">
        <v>199</v>
      </c>
      <c r="X2" s="687" t="s">
        <v>747</v>
      </c>
      <c r="Y2" s="685" t="s">
        <v>561</v>
      </c>
      <c r="Z2" s="686" t="s">
        <v>559</v>
      </c>
      <c r="AA2" s="686" t="s">
        <v>558</v>
      </c>
      <c r="AB2" s="686" t="s">
        <v>560</v>
      </c>
      <c r="AC2" s="686" t="s">
        <v>562</v>
      </c>
      <c r="AD2" s="687" t="s">
        <v>564</v>
      </c>
      <c r="AE2" s="685" t="s">
        <v>198</v>
      </c>
      <c r="AF2" s="687" t="s">
        <v>197</v>
      </c>
      <c r="AG2" s="685" t="s">
        <v>190</v>
      </c>
      <c r="AH2" s="686" t="s">
        <v>191</v>
      </c>
      <c r="AI2" s="686" t="s">
        <v>192</v>
      </c>
      <c r="AJ2" s="686" t="s">
        <v>193</v>
      </c>
      <c r="AK2" s="686" t="s">
        <v>194</v>
      </c>
      <c r="AL2" s="686" t="s">
        <v>707</v>
      </c>
      <c r="AM2" s="686" t="s">
        <v>719</v>
      </c>
      <c r="AN2" s="687" t="s">
        <v>708</v>
      </c>
      <c r="AO2" s="685" t="s">
        <v>195</v>
      </c>
      <c r="AP2" s="686" t="s">
        <v>50</v>
      </c>
      <c r="AQ2" s="686" t="s">
        <v>188</v>
      </c>
      <c r="AR2" s="686" t="s">
        <v>189</v>
      </c>
      <c r="AS2" s="686" t="s">
        <v>187</v>
      </c>
      <c r="AT2" s="686" t="s">
        <v>186</v>
      </c>
      <c r="AU2" s="686" t="s">
        <v>185</v>
      </c>
      <c r="AV2" s="686" t="s">
        <v>184</v>
      </c>
      <c r="AW2" s="686" t="s">
        <v>57</v>
      </c>
      <c r="AX2" s="687" t="s">
        <v>58</v>
      </c>
      <c r="AY2" s="685" t="s">
        <v>183</v>
      </c>
      <c r="AZ2" s="686" t="s">
        <v>245</v>
      </c>
      <c r="BA2" s="686" t="s">
        <v>66</v>
      </c>
      <c r="BB2" s="686" t="s">
        <v>67</v>
      </c>
      <c r="BC2" s="686" t="s">
        <v>536</v>
      </c>
      <c r="BD2" s="687" t="s">
        <v>573</v>
      </c>
      <c r="BE2" s="685" t="s">
        <v>196</v>
      </c>
      <c r="BF2" s="686" t="s">
        <v>182</v>
      </c>
      <c r="BG2" s="687" t="s">
        <v>739</v>
      </c>
      <c r="BI2" s="357">
        <v>2</v>
      </c>
      <c r="BJ2" s="358">
        <v>2</v>
      </c>
      <c r="BK2" s="358" t="s">
        <v>654</v>
      </c>
      <c r="BL2" s="680">
        <v>1000</v>
      </c>
    </row>
    <row r="3" spans="1:64" ht="15" customHeight="1" thickTop="1">
      <c r="A3" s="691" t="s">
        <v>38</v>
      </c>
      <c r="B3" s="693">
        <f>VLOOKUP($BI$2,AVAILABLE_Buildings_Resource[#All],MATCH(B$2,AVAILABLE_Buildings_Resource[#Headers],0))</f>
        <v>2</v>
      </c>
      <c r="C3" s="688">
        <f>VLOOKUP($BI$2,AVAILABLE_Buildings_Resource[#All],MATCH(C$2,AVAILABLE_Buildings_Resource[#Headers],0))</f>
        <v>2</v>
      </c>
      <c r="D3" s="688">
        <f>VLOOKUP($BI$2,AVAILABLE_Buildings_Resource[#All],MATCH(D$2,AVAILABLE_Buildings_Resource[#Headers],0))</f>
        <v>0</v>
      </c>
      <c r="E3" s="688">
        <f>VLOOKUP($BI$2,AVAILABLE_Buildings_Resource[#All],MATCH(E$2,AVAILABLE_Buildings_Resource[#Headers],0))</f>
        <v>1</v>
      </c>
      <c r="F3" s="688">
        <f>VLOOKUP($BI$2,AVAILABLE_Buildings_Resource[#All],MATCH(F$2,AVAILABLE_Buildings_Resource[#Headers],0))</f>
        <v>1</v>
      </c>
      <c r="G3" s="694">
        <f>VLOOKUP($BI$2,AVAILABLE_Buildings_Resource[#All],MATCH(G$2,AVAILABLE_Buildings_Resource[#Headers],0))</f>
        <v>0</v>
      </c>
      <c r="H3" s="693">
        <f>VLOOKUP($BI$2,AVAILABLE_Buildings_Army[#All],MATCH(H$2,AVAILABLE_Buildings_Army[#Headers],0))</f>
        <v>2</v>
      </c>
      <c r="I3" s="688">
        <f>VLOOKUP($BI$2,AVAILABLE_Buildings_Army[#All],MATCH(I$2,AVAILABLE_Buildings_Army[#Headers],0))</f>
        <v>0</v>
      </c>
      <c r="J3" s="688">
        <f>VLOOKUP($BI$2,AVAILABLE_Buildings_Army[#All],MATCH(J$2,AVAILABLE_Buildings_Army[#Headers],0))</f>
        <v>1</v>
      </c>
      <c r="K3" s="688">
        <f>VLOOKUP($BI$2,AVAILABLE_Buildings_Army[#All],MATCH(K$2,AVAILABLE_Buildings_Army[#Headers],0))</f>
        <v>0</v>
      </c>
      <c r="L3" s="688">
        <f>VLOOKUP($BI$2,AVAILABLE_Buildings_Army[#All],MATCH(L$2,AVAILABLE_Buildings_Army[#Headers],0))</f>
        <v>0</v>
      </c>
      <c r="M3" s="688">
        <f>VLOOKUP($BI$2,AVAILABLE_Buildings_Army[#All],MATCH(M$2,AVAILABLE_Buildings_Army[#Headers],0))</f>
        <v>0</v>
      </c>
      <c r="N3" s="693">
        <f>VLOOKUP($BI$2,AVAILABLE_Buildings_Defensive[#All],MATCH(N$2,AVAILABLE_Buildings_Defensive[#Headers],0))</f>
        <v>25</v>
      </c>
      <c r="O3" s="688">
        <f>VLOOKUP($BI$2,AVAILABLE_Buildings_Defensive[#All],MATCH(O$2,AVAILABLE_Buildings_Defensive[#Headers],0))</f>
        <v>2</v>
      </c>
      <c r="P3" s="688">
        <f>VLOOKUP($BI$2,AVAILABLE_Buildings_Defensive[#All],MATCH(P$2,AVAILABLE_Buildings_Defensive[#Headers],0))</f>
        <v>1</v>
      </c>
      <c r="Q3" s="688">
        <f>VLOOKUP($BI$2,AVAILABLE_Buildings_Defensive[#All],MATCH(Q$2,AVAILABLE_Buildings_Defensive[#Headers],0))</f>
        <v>0</v>
      </c>
      <c r="R3" s="688">
        <f>VLOOKUP($BI$2,AVAILABLE_Buildings_Defensive[#All],MATCH(R$2,AVAILABLE_Buildings_Defensive[#Headers],0))</f>
        <v>0</v>
      </c>
      <c r="S3" s="688">
        <f>VLOOKUP($BI$2,AVAILABLE_Buildings_Defensive[#All],MATCH(S$2,AVAILABLE_Buildings_Defensive[#Headers],0))</f>
        <v>0</v>
      </c>
      <c r="T3" s="688">
        <f>VLOOKUP($BI$2,AVAILABLE_Buildings_Defensive[#All],MATCH(T$2,AVAILABLE_Buildings_Defensive[#Headers],0))</f>
        <v>0</v>
      </c>
      <c r="U3" s="688">
        <f>VLOOKUP($BI$2,AVAILABLE_Buildings_Defensive[#All],MATCH(U$2,AVAILABLE_Buildings_Defensive[#Headers],0))</f>
        <v>0</v>
      </c>
      <c r="V3" s="688">
        <f>VLOOKUP($BI$2,AVAILABLE_Buildings_Defensive[#All],MATCH(V$2,AVAILABLE_Buildings_Defensive[#Headers],0))</f>
        <v>0</v>
      </c>
      <c r="W3" s="688">
        <f>VLOOKUP($BI$2,AVAILABLE_Buildings_Defensive[#All],MATCH(W$2,AVAILABLE_Buildings_Defensive[#Headers],0))</f>
        <v>0</v>
      </c>
      <c r="X3" s="694">
        <f>VLOOKUP($BI$2,AVAILABLE_Buildings_Defensive[#All],MATCH(X$2,AVAILABLE_Buildings_Defensive[#Headers],0))</f>
        <v>0</v>
      </c>
      <c r="Y3" s="693">
        <f>VLOOKUP($BI$2,AVAILABLE_Traps[#All],MATCH(Y$2,AVAILABLE_Traps[#Headers],0))</f>
        <v>0</v>
      </c>
      <c r="Z3" s="688">
        <f>VLOOKUP($BI$2,AVAILABLE_Traps[#All],MATCH(Z$2,AVAILABLE_Traps[#Headers],0))</f>
        <v>0</v>
      </c>
      <c r="AA3" s="688">
        <f>VLOOKUP($BI$2,AVAILABLE_Traps[#All],MATCH(AA$2,AVAILABLE_Traps[#Headers],0))</f>
        <v>0</v>
      </c>
      <c r="AB3" s="688">
        <f>VLOOKUP($BI$2,AVAILABLE_Traps[#All],MATCH(AB$2,AVAILABLE_Traps[#Headers],0))</f>
        <v>0</v>
      </c>
      <c r="AC3" s="688">
        <f>VLOOKUP($BI$2,AVAILABLE_Traps[#All],MATCH(AC$2,AVAILABLE_Traps[#Headers],0))</f>
        <v>0</v>
      </c>
      <c r="AD3" s="694">
        <f>VLOOKUP($BI$2,AVAILABLE_Traps[#All],MATCH(AD$2,AVAILABLE_Traps[#Headers],0))</f>
        <v>0</v>
      </c>
      <c r="AE3" s="693">
        <f>VLOOKUP($BI$2,AVAILABLE_Buildings_Other[#All],MATCH(AE$2,AVAILABLE_Buildings_Other[#Headers],0))</f>
        <v>0</v>
      </c>
      <c r="AF3" s="694">
        <f>VLOOKUP($BI$2,AVAILABLE_Buildings_Other[#All],MATCH(AF$2,AVAILABLE_Buildings_Other[#Headers],0))</f>
        <v>1</v>
      </c>
      <c r="AG3" s="693">
        <f>IF(IF(ISERROR(LOOKUP(MATCH(4,Paramètres!$L$6:$L$45,1),Paramètres!$A$6:$A$45)),0,LOOKUP(MATCH(4,Paramètres!$L$6:$L$45,1),Paramètres!$A$6:$A$45))&gt;=1,1,0)</f>
        <v>0</v>
      </c>
      <c r="AH3" s="688">
        <f>IF(IF(ISERROR(LOOKUP(MATCH(4,Paramètres!$L$6:$L$45,1),Paramètres!$A$6:$A$45)),0,LOOKUP(MATCH(4,Paramètres!$L$6:$L$45,1),Paramètres!$A$6:$A$45))&gt;=2,1,0)</f>
        <v>0</v>
      </c>
      <c r="AI3" s="688">
        <f>IF(IF(ISERROR(LOOKUP(MATCH(4,Paramètres!$L$6:$L$45,1),Paramètres!$A$6:$A$45)),0,LOOKUP(MATCH(4,Paramètres!$L$6:$L$45,1),Paramètres!$A$6:$A$45))&gt;=3,1,0)</f>
        <v>0</v>
      </c>
      <c r="AJ3" s="688">
        <f>IF(IF(ISERROR(LOOKUP(MATCH(4,Paramètres!$L$6:$L$45,1),Paramètres!$A$6:$A$45)),0,LOOKUP(MATCH(4,Paramètres!$L$6:$L$45,1),Paramètres!$A$6:$A$45))&gt;=4,1,0)</f>
        <v>0</v>
      </c>
      <c r="AK3" s="688">
        <f>IF(IF(ISERROR(LOOKUP(MATCH(4,Paramètres!$L$6:$L$45,1),Paramètres!$A$6:$A$45)),0,LOOKUP(MATCH(4,Paramètres!$L$6:$L$45,1),Paramètres!$A$6:$A$45))&gt;=4,1,0)</f>
        <v>0</v>
      </c>
      <c r="AL3" s="688">
        <f>IF(IF(ISERROR(LOOKUP(MATCH(4,Paramètres!$M$6:$M$45,1),Paramètres!$A$6:$A$45)),0,LOOKUP(MATCH(4,Paramètres!$M$6:$M$45,1),Paramètres!$A$6:$A$45))&gt;=1,1,0)</f>
        <v>0</v>
      </c>
      <c r="AM3" s="688">
        <f>IF(IF(ISERROR(LOOKUP(MATCH(4,Paramètres!$M$6:$M$45,1),Paramètres!$A$6:$A$45)),0,LOOKUP(MATCH(4,Paramètres!$M$6:$M$45,1),Paramètres!$A$6:$A$45))&gt;=2,1,0)</f>
        <v>0</v>
      </c>
      <c r="AN3" s="694">
        <f>IF(IF(ISERROR(LOOKUP(MATCH(4,Paramètres!$M$6:$M$45,1),Paramètres!$A$6:$A$45)),0,LOOKUP(MATCH(4,Paramètres!$M$6:$M$45,1),Paramètres!$A$6:$A$45))&gt;=3,1,0)</f>
        <v>0</v>
      </c>
      <c r="AO3" s="693">
        <f>IF(IF(ISERROR(LOOKUP(MATCH(4,Paramètres!$H$6:$H$45,1),Paramètres!$A$6:$A$45)),0,LOOKUP(MATCH(4,Paramètres!$H$6:$H$45,1),Paramètres!$A$6:$A$45))&gt;=1,1,0)</f>
        <v>0</v>
      </c>
      <c r="AP3" s="688">
        <f>IF(IF(ISERROR(LOOKUP(MATCH(4,Paramètres!$H$6:$H$45,1),Paramètres!$A$6:$A$45)),0,LOOKUP(MATCH(4,Paramètres!$H$6:$H$45,1),Paramètres!$A$6:$A$45))&gt;=2,1,0)</f>
        <v>0</v>
      </c>
      <c r="AQ3" s="688">
        <f>IF(IF(ISERROR(LOOKUP(MATCH(4,Paramètres!$H$6:$H$45,1),Paramètres!$A$6:$A$45)),0,LOOKUP(MATCH(4,Paramètres!$H$6:$H$45,1),Paramètres!$A$6:$A$45))&gt;=3,1,0)</f>
        <v>0</v>
      </c>
      <c r="AR3" s="688">
        <f>IF(IF(ISERROR(LOOKUP(MATCH(4,Paramètres!$H$6:$H$45,1),Paramètres!$A$6:$A$45)),0,LOOKUP(MATCH(4,Paramètres!$H$6:$H$45,1),Paramètres!$A$6:$A$45))&gt;=4,1,0)</f>
        <v>0</v>
      </c>
      <c r="AS3" s="688">
        <f>IF(IF(ISERROR(LOOKUP(MATCH(4,Paramètres!$H$6:$H$45,1),Paramètres!$A$6:$A$45)),0,LOOKUP(MATCH(4,Paramètres!$H$6:$H$45,1),Paramètres!$A$6:$A$45))&gt;=5,1,0)</f>
        <v>0</v>
      </c>
      <c r="AT3" s="688">
        <f>IF(IF(ISERROR(LOOKUP(MATCH(4,Paramètres!$H$6:$H$45,1),Paramètres!$A$6:$A$45)),0,LOOKUP(MATCH(4,Paramètres!$H$6:$H$45,1),Paramètres!$A$6:$A$45))&gt;=6,1,0)</f>
        <v>0</v>
      </c>
      <c r="AU3" s="688">
        <f>IF(IF(ISERROR(LOOKUP(MATCH(4,Paramètres!$H$6:$H$45,1),Paramètres!$A$6:$A$45)),0,LOOKUP(MATCH(4,Paramètres!$H$6:$H$45,1),Paramètres!$A$6:$A$45))&gt;=7,1,0)</f>
        <v>0</v>
      </c>
      <c r="AV3" s="688">
        <f>IF(IF(ISERROR(LOOKUP(MATCH(4,Paramètres!$H$6:$H$45,1),Paramètres!$A$6:$A$45)),0,LOOKUP(MATCH(4,Paramètres!$H$6:$H$45,1),Paramètres!$A$6:$A$45))&gt;=8,1,0)</f>
        <v>0</v>
      </c>
      <c r="AW3" s="688">
        <f>IF(IF(ISERROR(LOOKUP(MATCH(4,Paramètres!$H$6:$H$45,1),Paramètres!$A$6:$A$45)),0,LOOKUP(MATCH(4,Paramètres!$H$6:$H$45,1),Paramètres!$A$6:$A$45))&gt;=9,1,0)</f>
        <v>0</v>
      </c>
      <c r="AX3" s="694">
        <f>IF(IF(ISERROR(LOOKUP(MATCH(4,Paramètres!$H$6:$H$45,1),Paramètres!$A$6:$A$45)),0,LOOKUP(MATCH(4,Paramètres!$H$6:$H$45,1),Paramètres!$A$6:$A$45))&gt;=10,1,0)</f>
        <v>0</v>
      </c>
      <c r="AY3" s="693">
        <f>IF(IF(ISERROR(LOOKUP(MATCH(4,Paramètres!$I$6:$I$45,1),Paramètres!$A$6:$A$45)),0,LOOKUP(MATCH(4,Paramètres!$I$6:$I$45,1),Paramètres!$A$6:$A$45))&gt;=1,1,0)</f>
        <v>0</v>
      </c>
      <c r="AZ3" s="688">
        <f>IF(IF(ISERROR(LOOKUP(MATCH(4,Paramètres!$I$6:$I$45,1),Paramètres!$A$6:$A$45)),0,LOOKUP(MATCH(4,Paramètres!$I$6:$I$45,1),Paramètres!$A$6:$A$45))&gt;=2,1,0)</f>
        <v>0</v>
      </c>
      <c r="BA3" s="688">
        <f>IF(IF(ISERROR(LOOKUP(MATCH(4,Paramètres!$I$6:$I$45,1),Paramètres!$A$6:$A$45)),0,LOOKUP(MATCH(4,Paramètres!$I$6:$I$45,1),Paramètres!$A$6:$A$45))&gt;=3,1,0)</f>
        <v>0</v>
      </c>
      <c r="BB3" s="688">
        <f>IF(IF(ISERROR(LOOKUP(MATCH(4,Paramètres!$I$6:$I$45,1),Paramètres!$A$6:$A$45)),0,LOOKUP(MATCH(4,Paramètres!$I$6:$I$45,1),Paramètres!$A$6:$A$45))&gt;=4,1,0)</f>
        <v>0</v>
      </c>
      <c r="BC3" s="688">
        <f>IF(IF(ISERROR(LOOKUP(MATCH(4,Paramètres!$I$6:$I$45,1),Paramètres!$A$6:$A$45)),0,LOOKUP(MATCH(4,Paramètres!$I$6:$I$45,1),Paramètres!$A$6:$A$45))&gt;=5,1,0)</f>
        <v>0</v>
      </c>
      <c r="BD3" s="694">
        <f>IF(IF(ISERROR(LOOKUP(MATCH(4,Paramètres!$I$6:$I$45,1),Paramètres!$A$6:$A$45)),0,LOOKUP(MATCH(4,Paramètres!$I$6:$I$45,1),Paramètres!$A$6:$A$45))&gt;=6,1,0)</f>
        <v>0</v>
      </c>
      <c r="BE3" s="693">
        <f>VLOOKUP($BI$2,AVAILABLE_Heroes[#All],MATCH(BE$2,AVAILABLE_Heroes[#Headers],0))</f>
        <v>0</v>
      </c>
      <c r="BF3" s="688">
        <f>VLOOKUP($BI$2,AVAILABLE_Heroes[#All],MATCH(BF$2,AVAILABLE_Heroes[#Headers],0))</f>
        <v>0</v>
      </c>
      <c r="BG3" s="694">
        <f>VLOOKUP($BI$2,AVAILABLE_Heroes[#All],MATCH(BG$2,AVAILABLE_Heroes[#Headers],0))</f>
        <v>0</v>
      </c>
    </row>
    <row r="4" spans="1:64" ht="20.100000000000001" customHeight="1">
      <c r="A4" s="691" t="s">
        <v>361</v>
      </c>
      <c r="B4" s="695">
        <f t="shared" ref="B4:AF4" si="0">B3-B46</f>
        <v>2</v>
      </c>
      <c r="C4" s="689">
        <f t="shared" si="0"/>
        <v>2</v>
      </c>
      <c r="D4" s="689">
        <f t="shared" si="0"/>
        <v>0</v>
      </c>
      <c r="E4" s="689">
        <f t="shared" si="0"/>
        <v>1</v>
      </c>
      <c r="F4" s="689">
        <f t="shared" si="0"/>
        <v>1</v>
      </c>
      <c r="G4" s="696">
        <f t="shared" si="0"/>
        <v>0</v>
      </c>
      <c r="H4" s="695">
        <f t="shared" si="0"/>
        <v>2</v>
      </c>
      <c r="I4" s="689">
        <f t="shared" si="0"/>
        <v>0</v>
      </c>
      <c r="J4" s="689">
        <f t="shared" si="0"/>
        <v>1</v>
      </c>
      <c r="K4" s="689">
        <f t="shared" si="0"/>
        <v>0</v>
      </c>
      <c r="L4" s="689">
        <f t="shared" si="0"/>
        <v>0</v>
      </c>
      <c r="M4" s="696">
        <f t="shared" si="0"/>
        <v>0</v>
      </c>
      <c r="N4" s="695">
        <f t="shared" si="0"/>
        <v>25</v>
      </c>
      <c r="O4" s="689">
        <f t="shared" si="0"/>
        <v>2</v>
      </c>
      <c r="P4" s="689">
        <f t="shared" si="0"/>
        <v>1</v>
      </c>
      <c r="Q4" s="689">
        <f>Q3-Q46</f>
        <v>0</v>
      </c>
      <c r="R4" s="689">
        <f>R3-R46</f>
        <v>0</v>
      </c>
      <c r="S4" s="689">
        <f t="shared" si="0"/>
        <v>0</v>
      </c>
      <c r="T4" s="689">
        <f t="shared" ref="T4" si="1">T3-T46</f>
        <v>0</v>
      </c>
      <c r="U4" s="689">
        <f t="shared" si="0"/>
        <v>0</v>
      </c>
      <c r="V4" s="689">
        <f t="shared" si="0"/>
        <v>0</v>
      </c>
      <c r="W4" s="689">
        <f t="shared" si="0"/>
        <v>0</v>
      </c>
      <c r="X4" s="696">
        <f t="shared" ref="X4:AD4" si="2">X3-X46</f>
        <v>0</v>
      </c>
      <c r="Y4" s="695">
        <f t="shared" si="2"/>
        <v>0</v>
      </c>
      <c r="Z4" s="689">
        <f t="shared" si="2"/>
        <v>0</v>
      </c>
      <c r="AA4" s="689">
        <f t="shared" si="2"/>
        <v>0</v>
      </c>
      <c r="AB4" s="689">
        <f t="shared" si="2"/>
        <v>0</v>
      </c>
      <c r="AC4" s="689">
        <f t="shared" si="2"/>
        <v>0</v>
      </c>
      <c r="AD4" s="696">
        <f t="shared" si="2"/>
        <v>0</v>
      </c>
      <c r="AE4" s="695">
        <f t="shared" si="0"/>
        <v>0</v>
      </c>
      <c r="AF4" s="696">
        <f t="shared" si="0"/>
        <v>0</v>
      </c>
      <c r="AG4" s="695">
        <f t="shared" ref="AG4:BC4" si="3">AG3-AG46</f>
        <v>0</v>
      </c>
      <c r="AH4" s="689">
        <f t="shared" si="3"/>
        <v>0</v>
      </c>
      <c r="AI4" s="689">
        <f t="shared" si="3"/>
        <v>0</v>
      </c>
      <c r="AJ4" s="689">
        <f>AJ3-AJ46</f>
        <v>0</v>
      </c>
      <c r="AK4" s="689">
        <f t="shared" si="3"/>
        <v>0</v>
      </c>
      <c r="AL4" s="689">
        <f t="shared" si="3"/>
        <v>0</v>
      </c>
      <c r="AM4" s="689">
        <f t="shared" si="3"/>
        <v>0</v>
      </c>
      <c r="AN4" s="696">
        <f>AN3-AN46</f>
        <v>0</v>
      </c>
      <c r="AO4" s="695">
        <f t="shared" si="3"/>
        <v>0</v>
      </c>
      <c r="AP4" s="689">
        <f t="shared" si="3"/>
        <v>0</v>
      </c>
      <c r="AQ4" s="689">
        <f t="shared" si="3"/>
        <v>0</v>
      </c>
      <c r="AR4" s="689">
        <f t="shared" si="3"/>
        <v>0</v>
      </c>
      <c r="AS4" s="689">
        <f t="shared" si="3"/>
        <v>0</v>
      </c>
      <c r="AT4" s="689">
        <f t="shared" si="3"/>
        <v>0</v>
      </c>
      <c r="AU4" s="689">
        <f t="shared" si="3"/>
        <v>0</v>
      </c>
      <c r="AV4" s="689">
        <f t="shared" si="3"/>
        <v>0</v>
      </c>
      <c r="AW4" s="689">
        <f t="shared" si="3"/>
        <v>0</v>
      </c>
      <c r="AX4" s="696">
        <f>AX3-AX46</f>
        <v>0</v>
      </c>
      <c r="AY4" s="695">
        <f t="shared" si="3"/>
        <v>0</v>
      </c>
      <c r="AZ4" s="689">
        <f t="shared" si="3"/>
        <v>0</v>
      </c>
      <c r="BA4" s="689">
        <f>BA3-BA46</f>
        <v>0</v>
      </c>
      <c r="BB4" s="689">
        <f t="shared" si="3"/>
        <v>0</v>
      </c>
      <c r="BC4" s="689">
        <f t="shared" si="3"/>
        <v>0</v>
      </c>
      <c r="BD4" s="696">
        <f>BD3-BD46</f>
        <v>0</v>
      </c>
      <c r="BE4" s="695">
        <f>BE3-BE46</f>
        <v>0</v>
      </c>
      <c r="BF4" s="689">
        <f>BF3-BF46</f>
        <v>0</v>
      </c>
      <c r="BG4" s="696">
        <f>BG3-BG46</f>
        <v>0</v>
      </c>
      <c r="BK4" s="132"/>
      <c r="BL4" s="132"/>
    </row>
    <row r="5" spans="1:64" ht="20.100000000000001" customHeight="1" thickBot="1">
      <c r="A5" s="691" t="s">
        <v>39</v>
      </c>
      <c r="B5" s="697">
        <f>VLOOKUP($BI$2,AVAILABLE_Buildings_Resource[#All],MATCH(B$2,AVAILABLE_Buildings_Resource[#Headers],0)+1)</f>
        <v>4</v>
      </c>
      <c r="C5" s="690">
        <f>VLOOKUP($BI$2,AVAILABLE_Buildings_Resource[#All],MATCH(C$2,AVAILABLE_Buildings_Resource[#Headers],0)+1)</f>
        <v>4</v>
      </c>
      <c r="D5" s="690">
        <f>VLOOKUP($BI$2,AVAILABLE_Buildings_Resource[#All],MATCH(D$2,AVAILABLE_Buildings_Resource[#Headers],0)+1)</f>
        <v>0</v>
      </c>
      <c r="E5" s="690">
        <f>VLOOKUP($BI$2,AVAILABLE_Buildings_Resource[#All],MATCH(E$2,AVAILABLE_Buildings_Resource[#Headers],0)+1)</f>
        <v>3</v>
      </c>
      <c r="F5" s="690">
        <f>VLOOKUP($BI$2,AVAILABLE_Buildings_Resource[#All],MATCH(F$2,AVAILABLE_Buildings_Resource[#Headers],0)+1)</f>
        <v>3</v>
      </c>
      <c r="G5" s="698">
        <f>VLOOKUP($BI$2,AVAILABLE_Buildings_Resource[#All],MATCH(G$2,AVAILABLE_Buildings_Resource[#Headers],0)+1)</f>
        <v>0</v>
      </c>
      <c r="H5" s="697">
        <f>VLOOKUP($BI$2,AVAILABLE_Buildings_Army[#All],MATCH(H$2,AVAILABLE_Buildings_Army[#Headers],0)+1)</f>
        <v>4</v>
      </c>
      <c r="I5" s="690">
        <f>VLOOKUP($BI$2,AVAILABLE_Buildings_Army[#All],MATCH(I$2,AVAILABLE_Buildings_Army[#Headers],0)+1)</f>
        <v>0</v>
      </c>
      <c r="J5" s="690">
        <f>VLOOKUP($BI$2,AVAILABLE_Buildings_Army[#All],MATCH(J$2,AVAILABLE_Buildings_Army[#Headers],0)+1)</f>
        <v>2</v>
      </c>
      <c r="K5" s="690">
        <f>VLOOKUP($BI$2,AVAILABLE_Buildings_Army[#All],MATCH(K$2,AVAILABLE_Buildings_Army[#Headers],0)+1)</f>
        <v>0</v>
      </c>
      <c r="L5" s="690">
        <f>VLOOKUP($BI$2,AVAILABLE_Buildings_Army[#All],MATCH(L$2,AVAILABLE_Buildings_Army[#Headers],0)+1)</f>
        <v>0</v>
      </c>
      <c r="M5" s="690">
        <f>VLOOKUP($BI$2,AVAILABLE_Buildings_Army[#All],MATCH(M$2,AVAILABLE_Buildings_Army[#Headers],0)+1)</f>
        <v>0</v>
      </c>
      <c r="N5" s="697">
        <f>VLOOKUP($BI$2,AVAILABLE_Buildings_Defensive[#All],MATCH(N$2,AVAILABLE_Buildings_Defensive[#Headers],0)+1)</f>
        <v>2</v>
      </c>
      <c r="O5" s="690">
        <f>VLOOKUP($BI$2,AVAILABLE_Buildings_Defensive[#All],MATCH(O$2,AVAILABLE_Buildings_Defensive[#Headers],0)+1)</f>
        <v>3</v>
      </c>
      <c r="P5" s="690">
        <f>VLOOKUP($BI$2,AVAILABLE_Buildings_Defensive[#All],MATCH(P$2,AVAILABLE_Buildings_Defensive[#Headers],0)+1)</f>
        <v>2</v>
      </c>
      <c r="Q5" s="690">
        <f>VLOOKUP($BI$2,AVAILABLE_Buildings_Defensive[#All],MATCH(Q$2,AVAILABLE_Buildings_Defensive[#Headers],0)+1)</f>
        <v>0</v>
      </c>
      <c r="R5" s="690">
        <f>VLOOKUP($BI$2,AVAILABLE_Buildings_Defensive[#All],MATCH(R$2,AVAILABLE_Buildings_Defensive[#Headers],0)+1)</f>
        <v>0</v>
      </c>
      <c r="S5" s="690">
        <f>VLOOKUP($BI$2,AVAILABLE_Buildings_Defensive[#All],MATCH(S$2,AVAILABLE_Buildings_Defensive[#Headers],0)+1)</f>
        <v>0</v>
      </c>
      <c r="T5" s="690">
        <f>VLOOKUP($BI$2,AVAILABLE_Buildings_Defensive[#All],MATCH(T$2,AVAILABLE_Buildings_Defensive[#Headers],0)+1)</f>
        <v>0</v>
      </c>
      <c r="U5" s="690">
        <f>VLOOKUP($BI$2,AVAILABLE_Buildings_Defensive[#All],MATCH(U$2,AVAILABLE_Buildings_Defensive[#Headers],0)+1)</f>
        <v>0</v>
      </c>
      <c r="V5" s="690">
        <f>VLOOKUP($BI$2,AVAILABLE_Buildings_Defensive[#All],MATCH(V$2,AVAILABLE_Buildings_Defensive[#Headers],0)+1)</f>
        <v>0</v>
      </c>
      <c r="W5" s="690">
        <f>VLOOKUP($BI$2,AVAILABLE_Buildings_Defensive[#All],MATCH(W$2,AVAILABLE_Buildings_Defensive[#Headers],0)+1)</f>
        <v>0</v>
      </c>
      <c r="X5" s="698">
        <f>VLOOKUP($BI$2,AVAILABLE_Buildings_Defensive[#All],MATCH(X$2,AVAILABLE_Buildings_Defensive[#Headers],0)+1)</f>
        <v>0</v>
      </c>
      <c r="Y5" s="697">
        <f>VLOOKUP($BI$2,AVAILABLE_Traps[#All],MATCH(Y$2,AVAILABLE_Traps[#Headers],0)+1)</f>
        <v>0</v>
      </c>
      <c r="Z5" s="690">
        <f>VLOOKUP($BI$2,AVAILABLE_Traps[#All],MATCH(Z$2,AVAILABLE_Traps[#Headers],0)+1)</f>
        <v>0</v>
      </c>
      <c r="AA5" s="690">
        <f>VLOOKUP($BI$2,AVAILABLE_Traps[#All],MATCH(AA$2,AVAILABLE_Traps[#Headers],0)+1)</f>
        <v>0</v>
      </c>
      <c r="AB5" s="690">
        <f>VLOOKUP($BI$2,AVAILABLE_Traps[#All],MATCH(AB$2,AVAILABLE_Traps[#Headers],0)+1)</f>
        <v>0</v>
      </c>
      <c r="AC5" s="690">
        <f>VLOOKUP($BI$2,AVAILABLE_Traps[#All],MATCH(AC$2,AVAILABLE_Traps[#Headers],0)+1)</f>
        <v>0</v>
      </c>
      <c r="AD5" s="698">
        <f>VLOOKUP($BI$2,AVAILABLE_Traps[#All],MATCH(AD$2,AVAILABLE_Traps[#Headers],0)+1)</f>
        <v>0</v>
      </c>
      <c r="AE5" s="697">
        <f>VLOOKUP($BI$2,AVAILABLE_Buildings_Other[#All],MATCH(AE$2,AVAILABLE_Buildings_Other[#Headers],0)+1)</f>
        <v>0</v>
      </c>
      <c r="AF5" s="698">
        <f>VLOOKUP($BI$2,AVAILABLE_Buildings_Other[#All],MATCH(AF$2,AVAILABLE_Buildings_Other[#Headers],0)+1)</f>
        <v>3</v>
      </c>
      <c r="AG5" s="697">
        <f>VLOOKUP(IF(ISERROR(LOOKUP(MATCH(1,Paramètres!$K$6:$K$45,0),Paramètres!$A$6:$A$45)),0,LOOKUP(MATCH(1,Paramètres!$K$6:$K$45,0),Paramètres!$A$6:$A$45)),AVAILABLE_Upgrades_Spells[#All],MATCH(AG$2,AVAILABLE_Upgrades_Spells[#Headers],0)+1)</f>
        <v>0</v>
      </c>
      <c r="AH5" s="690">
        <f>VLOOKUP(IF(ISERROR(LOOKUP(MATCH(1,Paramètres!$K$6:$K$45,0),Paramètres!$A$6:$A$45)),0,LOOKUP(MATCH(1,Paramètres!$K$6:$K$45,0),Paramètres!$A$6:$A$45)),AVAILABLE_Upgrades_Spells[#All],MATCH(AH$2,AVAILABLE_Upgrades_Spells[#Headers],0)+1)</f>
        <v>0</v>
      </c>
      <c r="AI5" s="690">
        <f>VLOOKUP(IF(ISERROR(LOOKUP(MATCH(1,Paramètres!$K$6:$K$45,0),Paramètres!$A$6:$A$45)),0,LOOKUP(MATCH(1,Paramètres!$K$6:$K$45,0),Paramètres!$A$6:$A$45)),AVAILABLE_Upgrades_Spells[#All],MATCH(AI$2,AVAILABLE_Upgrades_Spells[#Headers],0)+1)</f>
        <v>0</v>
      </c>
      <c r="AJ5" s="690">
        <f>VLOOKUP(IF(ISERROR(LOOKUP(MATCH(1,Paramètres!$K$6:$K$45,0),Paramètres!$A$6:$A$45)),0,LOOKUP(MATCH(1,Paramètres!$K$6:$K$45,0),Paramètres!$A$6:$A$45)),AVAILABLE_Upgrades_Spells[#All],MATCH(AJ$2,AVAILABLE_Upgrades_Spells[#Headers],0)+1)</f>
        <v>0</v>
      </c>
      <c r="AK5" s="690">
        <f>VLOOKUP(IF(ISERROR(LOOKUP(MATCH(1,Paramètres!$K$6:$K$45,0),Paramètres!$A$6:$A$45)),0,LOOKUP(MATCH(1,Paramètres!$K$6:$K$45,0),Paramètres!$A$6:$A$45)),AVAILABLE_Upgrades_Spells[#All],MATCH(AK$2,AVAILABLE_Upgrades_Spells[#Headers],0)+1)</f>
        <v>0</v>
      </c>
      <c r="AL5" s="690">
        <f>VLOOKUP(IF(ISERROR(LOOKUP(MATCH(1,Paramètres!$K$6:$K$45,0),Paramètres!$A$6:$A$45)),0,LOOKUP(MATCH(1,Paramètres!$K$6:$K$45,0),Paramètres!$A$6:$A$45)),AVAILABLE_Upgrades_Dark_Spells[#All],MATCH(AL$2,AVAILABLE_Upgrades_Dark_Spells[#Headers],0)+1)</f>
        <v>0</v>
      </c>
      <c r="AM5" s="690">
        <f>VLOOKUP(IF(ISERROR(LOOKUP(MATCH(1,Paramètres!$K$6:$K$45,0),Paramètres!$A$6:$A$45)),0,LOOKUP(MATCH(1,Paramètres!$K$6:$K$45,0),Paramètres!$A$6:$A$45)),AVAILABLE_Upgrades_Dark_Spells[#All],MATCH(AM$2,AVAILABLE_Upgrades_Dark_Spells[#Headers],0)+1)</f>
        <v>0</v>
      </c>
      <c r="AN5" s="698">
        <f>VLOOKUP(IF(ISERROR(LOOKUP(MATCH(1,Paramètres!$K$6:$K$45,0),Paramètres!$A$6:$A$45)),0,LOOKUP(MATCH(1,Paramètres!$K$6:$K$45,0),Paramètres!$A$6:$A$45)),AVAILABLE_Upgrades_Dark_Spells[#All],MATCH(AN$2,AVAILABLE_Upgrades_Dark_Spells[#Headers],0)+1)</f>
        <v>0</v>
      </c>
      <c r="AO5" s="697">
        <f>VLOOKUP(IF(ISERROR(LOOKUP(MATCH(1,Paramètres!$K$6:$K$45,0),Paramètres!$A$6:$A$45)),0,LOOKUP(MATCH(1,Paramètres!$K$6:$K$45,0),Paramètres!$A$6:$A$45)),AVAILABLE_Upgrades_Normal_Troops[#All],MATCH(AO$2,AVAILABLE_Upgrades_Normal_Troops[#Headers],0)+1)</f>
        <v>0</v>
      </c>
      <c r="AP5" s="690">
        <f>VLOOKUP(IF(ISERROR(LOOKUP(MATCH(1,Paramètres!$K$6:$K$45,0),Paramètres!$A$6:$A$45)),0,LOOKUP(MATCH(1,Paramètres!$K$6:$K$45,0),Paramètres!$A$6:$A$45)),AVAILABLE_Upgrades_Normal_Troops[#All],MATCH(AP$2,AVAILABLE_Upgrades_Normal_Troops[#Headers],0)+1)</f>
        <v>0</v>
      </c>
      <c r="AQ5" s="690">
        <f>VLOOKUP(IF(ISERROR(LOOKUP(MATCH(1,Paramètres!$K$6:$K$45,0),Paramètres!$A$6:$A$45)),0,LOOKUP(MATCH(1,Paramètres!$K$6:$K$45,0),Paramètres!$A$6:$A$45)),AVAILABLE_Upgrades_Normal_Troops[#All],MATCH(AQ$2,AVAILABLE_Upgrades_Normal_Troops[#Headers],0)+1)</f>
        <v>0</v>
      </c>
      <c r="AR5" s="690">
        <f>VLOOKUP(IF(ISERROR(LOOKUP(MATCH(1,Paramètres!$K$6:$K$45,0),Paramètres!$A$6:$A$45)),0,LOOKUP(MATCH(1,Paramètres!$K$6:$K$45,0),Paramètres!$A$6:$A$45)),AVAILABLE_Upgrades_Normal_Troops[#All],MATCH(AR$2,AVAILABLE_Upgrades_Normal_Troops[#Headers],0)+1)</f>
        <v>0</v>
      </c>
      <c r="AS5" s="690">
        <f>VLOOKUP(IF(ISERROR(LOOKUP(MATCH(1,Paramètres!$K$6:$K$45,0),Paramètres!$A$6:$A$45)),0,LOOKUP(MATCH(1,Paramètres!$K$6:$K$45,0),Paramètres!$A$6:$A$45)),AVAILABLE_Upgrades_Normal_Troops[#All],MATCH(AS$2,AVAILABLE_Upgrades_Normal_Troops[#Headers],0)+1)</f>
        <v>0</v>
      </c>
      <c r="AT5" s="690">
        <f>VLOOKUP(IF(ISERROR(LOOKUP(MATCH(1,Paramètres!$K$6:$K$45,0),Paramètres!$A$6:$A$45)),0,LOOKUP(MATCH(1,Paramètres!$K$6:$K$45,0),Paramètres!$A$6:$A$45)),AVAILABLE_Upgrades_Normal_Troops[#All],MATCH(AT$2,AVAILABLE_Upgrades_Normal_Troops[#Headers],0)+1)</f>
        <v>0</v>
      </c>
      <c r="AU5" s="690">
        <f>VLOOKUP(IF(ISERROR(LOOKUP(MATCH(1,Paramètres!$K$6:$K$45,0),Paramètres!$A$6:$A$45)),0,LOOKUP(MATCH(1,Paramètres!$K$6:$K$45,0),Paramètres!$A$6:$A$45)),AVAILABLE_Upgrades_Normal_Troops[#All],MATCH(AU$2,AVAILABLE_Upgrades_Normal_Troops[#Headers],0)+1)</f>
        <v>0</v>
      </c>
      <c r="AV5" s="690">
        <f>VLOOKUP(IF(ISERROR(LOOKUP(MATCH(1,Paramètres!$K$6:$K$45,0),Paramètres!$A$6:$A$45)),0,LOOKUP(MATCH(1,Paramètres!$K$6:$K$45,0),Paramètres!$A$6:$A$45)),AVAILABLE_Upgrades_Normal_Troops[#All],MATCH(AV$2,AVAILABLE_Upgrades_Normal_Troops[#Headers],0)+1)</f>
        <v>0</v>
      </c>
      <c r="AW5" s="690">
        <f>VLOOKUP(IF(ISERROR(LOOKUP(MATCH(1,Paramètres!$K$6:$K$45,0),Paramètres!$A$6:$A$45)),0,LOOKUP(MATCH(1,Paramètres!$K$6:$K$45,0),Paramètres!$A$6:$A$45)),AVAILABLE_Upgrades_Normal_Troops[#All],MATCH(AW$2,AVAILABLE_Upgrades_Normal_Troops[#Headers],0)+1)</f>
        <v>0</v>
      </c>
      <c r="AX5" s="698">
        <f>VLOOKUP(IF(ISERROR(LOOKUP(MATCH(1,Paramètres!$K$6:$K$45,0),Paramètres!$A$6:$A$45)),0,LOOKUP(MATCH(1,Paramètres!$K$6:$K$45,0),Paramètres!$A$6:$A$45)),AVAILABLE_Upgrades_Normal_Troops[#All],MATCH(AX$2,AVAILABLE_Upgrades_Normal_Troops[#Headers],0)+1)</f>
        <v>0</v>
      </c>
      <c r="AY5" s="697">
        <f>VLOOKUP(IF(ISERROR(LOOKUP(MATCH(1,Paramètres!$K$6:$K$45,0),Paramètres!$A$6:$A$45)),0,LOOKUP(MATCH(1,Paramètres!$K$6:$K$45,0),Paramètres!$A$6:$A$45)),AVAILABLE_Upgrades_Dark_Troops[#All],MATCH(AY$2,AVAILABLE_Upgrades_Dark_Troops[#Headers],0)+1)</f>
        <v>0</v>
      </c>
      <c r="AZ5" s="690">
        <f>VLOOKUP(IF(ISERROR(LOOKUP(MATCH(1,Paramètres!$K$6:$K$45,0),Paramètres!$A$6:$A$45)),0,LOOKUP(MATCH(1,Paramètres!$K$6:$K$45,0),Paramètres!$A$6:$A$45)),AVAILABLE_Upgrades_Dark_Troops[#All],MATCH(AZ$2,AVAILABLE_Upgrades_Dark_Troops[#Headers],0)+1)</f>
        <v>0</v>
      </c>
      <c r="BA5" s="690">
        <f>VLOOKUP(IF(ISERROR(LOOKUP(MATCH(1,Paramètres!$K$6:$K$45,0),Paramètres!$A$6:$A$45)),0,LOOKUP(MATCH(1,Paramètres!$K$6:$K$45,0),Paramètres!$A$6:$A$45)),AVAILABLE_Upgrades_Dark_Troops[#All],MATCH(BA$2,AVAILABLE_Upgrades_Dark_Troops[#Headers],0)+1)</f>
        <v>0</v>
      </c>
      <c r="BB5" s="690">
        <f>VLOOKUP(IF(ISERROR(LOOKUP(MATCH(1,Paramètres!$K$6:$K$45,0),Paramètres!$A$6:$A$45)),0,LOOKUP(MATCH(1,Paramètres!$K$6:$K$45,0),Paramètres!$A$6:$A$45)),AVAILABLE_Upgrades_Dark_Troops[#All],MATCH(BB$2,AVAILABLE_Upgrades_Dark_Troops[#Headers],0)+1)</f>
        <v>0</v>
      </c>
      <c r="BC5" s="690">
        <f>VLOOKUP(IF(ISERROR(LOOKUP(MATCH(1,Paramètres!$K$6:$K$45,0),Paramètres!$A$6:$A$45)),0,LOOKUP(MATCH(1,Paramètres!$K$6:$K$45,0),Paramètres!$A$6:$A$45)),AVAILABLE_Upgrades_Dark_Troops[#All],MATCH(BC$2,AVAILABLE_Upgrades_Dark_Troops[#Headers],0)+1)</f>
        <v>0</v>
      </c>
      <c r="BD5" s="698">
        <f>VLOOKUP(IF(ISERROR(LOOKUP(MATCH(1,Paramètres!$K$6:$K$45,0),Paramètres!$A$6:$A$45)),0,LOOKUP(MATCH(1,Paramètres!$K$6:$K$45,0),Paramètres!$A$6:$A$45)),AVAILABLE_Upgrades_Dark_Troops[#All],MATCH(BD$2,AVAILABLE_Upgrades_Dark_Troops[#Headers],0)+1)</f>
        <v>0</v>
      </c>
      <c r="BE5" s="697">
        <f>VLOOKUP($BI$2,AVAILABLE_Heroes[#All],MATCH(BE$2,AVAILABLE_Heroes[#Headers],0)+1)</f>
        <v>0</v>
      </c>
      <c r="BF5" s="690">
        <f>VLOOKUP($BI$2,AVAILABLE_Heroes[#All],MATCH(BF$2,AVAILABLE_Heroes[#Headers],0)+1)</f>
        <v>0</v>
      </c>
      <c r="BG5" s="698">
        <f>VLOOKUP($BI$2,AVAILABLE_Heroes[#All],MATCH(BG$2,AVAILABLE_Heroes[#Headers],0)+1)</f>
        <v>0</v>
      </c>
      <c r="BK5" s="1328"/>
    </row>
    <row r="6" spans="1:64" ht="12" customHeight="1">
      <c r="A6" s="699">
        <v>1</v>
      </c>
      <c r="B6" s="841"/>
      <c r="C6" s="842"/>
      <c r="D6" s="842"/>
      <c r="E6" s="842"/>
      <c r="F6" s="842"/>
      <c r="G6" s="843"/>
      <c r="H6" s="844"/>
      <c r="I6" s="842"/>
      <c r="J6" s="842"/>
      <c r="K6" s="842"/>
      <c r="L6" s="842"/>
      <c r="M6" s="843"/>
      <c r="N6" s="844"/>
      <c r="O6" s="842"/>
      <c r="P6" s="842"/>
      <c r="Q6" s="842"/>
      <c r="R6" s="842"/>
      <c r="S6" s="842"/>
      <c r="T6" s="842"/>
      <c r="U6" s="842"/>
      <c r="V6" s="842"/>
      <c r="W6" s="842"/>
      <c r="X6" s="843"/>
      <c r="Y6" s="844"/>
      <c r="Z6" s="842"/>
      <c r="AA6" s="842"/>
      <c r="AB6" s="842"/>
      <c r="AC6" s="842"/>
      <c r="AD6" s="843"/>
      <c r="AE6" s="844"/>
      <c r="AF6" s="851">
        <f>IF($BI$2=1,1,0)</f>
        <v>0</v>
      </c>
      <c r="AG6" s="844"/>
      <c r="AH6" s="842"/>
      <c r="AI6" s="842"/>
      <c r="AJ6" s="842"/>
      <c r="AK6" s="842"/>
      <c r="AL6" s="842"/>
      <c r="AM6" s="842"/>
      <c r="AN6" s="843"/>
      <c r="AO6" s="844"/>
      <c r="AP6" s="842"/>
      <c r="AQ6" s="842"/>
      <c r="AR6" s="842"/>
      <c r="AS6" s="842"/>
      <c r="AT6" s="842"/>
      <c r="AU6" s="842"/>
      <c r="AV6" s="842"/>
      <c r="AW6" s="842"/>
      <c r="AX6" s="843"/>
      <c r="AY6" s="844"/>
      <c r="AZ6" s="842"/>
      <c r="BA6" s="842"/>
      <c r="BB6" s="842"/>
      <c r="BC6" s="842"/>
      <c r="BD6" s="843"/>
      <c r="BE6" s="844"/>
      <c r="BF6" s="842"/>
      <c r="BG6" s="849"/>
      <c r="BI6" s="1194" t="s">
        <v>298</v>
      </c>
      <c r="BJ6" s="1197" t="s">
        <v>657</v>
      </c>
    </row>
    <row r="7" spans="1:64" ht="11.1" customHeight="1">
      <c r="A7" s="699">
        <v>2</v>
      </c>
      <c r="B7" s="845"/>
      <c r="C7" s="846"/>
      <c r="D7" s="846"/>
      <c r="E7" s="846"/>
      <c r="F7" s="846"/>
      <c r="G7" s="847"/>
      <c r="H7" s="848"/>
      <c r="I7" s="846"/>
      <c r="J7" s="846"/>
      <c r="K7" s="846"/>
      <c r="L7" s="846"/>
      <c r="M7" s="847"/>
      <c r="N7" s="848"/>
      <c r="O7" s="846"/>
      <c r="P7" s="846"/>
      <c r="Q7" s="846"/>
      <c r="R7" s="846"/>
      <c r="S7" s="846"/>
      <c r="T7" s="846"/>
      <c r="U7" s="846"/>
      <c r="V7" s="846"/>
      <c r="W7" s="846"/>
      <c r="X7" s="847"/>
      <c r="Y7" s="848"/>
      <c r="Z7" s="846"/>
      <c r="AA7" s="846"/>
      <c r="AB7" s="846"/>
      <c r="AC7" s="846"/>
      <c r="AD7" s="847"/>
      <c r="AE7" s="848"/>
      <c r="AF7" s="852">
        <f>IF($BI$2=2,1,0)</f>
        <v>1</v>
      </c>
      <c r="AG7" s="848"/>
      <c r="AH7" s="846"/>
      <c r="AI7" s="846"/>
      <c r="AJ7" s="846"/>
      <c r="AK7" s="846"/>
      <c r="AL7" s="846"/>
      <c r="AM7" s="846"/>
      <c r="AN7" s="847"/>
      <c r="AO7" s="848"/>
      <c r="AP7" s="846"/>
      <c r="AQ7" s="846"/>
      <c r="AR7" s="846"/>
      <c r="AS7" s="846"/>
      <c r="AT7" s="846"/>
      <c r="AU7" s="846"/>
      <c r="AV7" s="846"/>
      <c r="AW7" s="846"/>
      <c r="AX7" s="847"/>
      <c r="AY7" s="848"/>
      <c r="AZ7" s="846"/>
      <c r="BA7" s="846"/>
      <c r="BB7" s="846"/>
      <c r="BC7" s="846"/>
      <c r="BD7" s="847"/>
      <c r="BE7" s="848"/>
      <c r="BF7" s="846"/>
      <c r="BG7" s="850"/>
      <c r="BI7" s="1264"/>
      <c r="BJ7" s="1265"/>
      <c r="BK7" s="1328"/>
    </row>
    <row r="8" spans="1:64" ht="11.1" customHeight="1" thickBot="1">
      <c r="A8" s="699">
        <v>3</v>
      </c>
      <c r="B8" s="845"/>
      <c r="C8" s="846"/>
      <c r="D8" s="846"/>
      <c r="E8" s="846"/>
      <c r="F8" s="846"/>
      <c r="G8" s="847"/>
      <c r="H8" s="848"/>
      <c r="I8" s="846"/>
      <c r="J8" s="846"/>
      <c r="K8" s="846"/>
      <c r="L8" s="846"/>
      <c r="M8" s="847"/>
      <c r="N8" s="848"/>
      <c r="O8" s="846"/>
      <c r="P8" s="846"/>
      <c r="Q8" s="846"/>
      <c r="R8" s="846"/>
      <c r="S8" s="846"/>
      <c r="T8" s="846"/>
      <c r="U8" s="846"/>
      <c r="V8" s="846"/>
      <c r="W8" s="846"/>
      <c r="X8" s="847"/>
      <c r="Y8" s="848"/>
      <c r="Z8" s="846"/>
      <c r="AA8" s="846"/>
      <c r="AB8" s="846"/>
      <c r="AC8" s="846"/>
      <c r="AD8" s="847"/>
      <c r="AE8" s="848"/>
      <c r="AF8" s="852">
        <f>IF($BI$2=3,1,0)</f>
        <v>0</v>
      </c>
      <c r="AG8" s="848"/>
      <c r="AH8" s="846"/>
      <c r="AI8" s="846"/>
      <c r="AJ8" s="846"/>
      <c r="AK8" s="846"/>
      <c r="AL8" s="846"/>
      <c r="AM8" s="846"/>
      <c r="AN8" s="847"/>
      <c r="AO8" s="848"/>
      <c r="AP8" s="846"/>
      <c r="AQ8" s="846"/>
      <c r="AR8" s="846"/>
      <c r="AS8" s="846"/>
      <c r="AT8" s="846"/>
      <c r="AU8" s="846"/>
      <c r="AV8" s="846"/>
      <c r="AW8" s="846"/>
      <c r="AX8" s="847"/>
      <c r="AY8" s="848"/>
      <c r="AZ8" s="846"/>
      <c r="BA8" s="846"/>
      <c r="BB8" s="846"/>
      <c r="BC8" s="846"/>
      <c r="BD8" s="847"/>
      <c r="BE8" s="848"/>
      <c r="BF8" s="846"/>
      <c r="BG8" s="850"/>
      <c r="BI8" s="1195"/>
      <c r="BJ8" s="1199"/>
    </row>
    <row r="9" spans="1:64" ht="11.1" customHeight="1" thickBot="1">
      <c r="A9" s="699">
        <v>4</v>
      </c>
      <c r="B9" s="845"/>
      <c r="C9" s="846"/>
      <c r="D9" s="846"/>
      <c r="E9" s="846"/>
      <c r="F9" s="846"/>
      <c r="G9" s="847"/>
      <c r="H9" s="848"/>
      <c r="I9" s="846"/>
      <c r="J9" s="846"/>
      <c r="K9" s="846"/>
      <c r="L9" s="846"/>
      <c r="M9" s="847"/>
      <c r="N9" s="848"/>
      <c r="O9" s="846"/>
      <c r="P9" s="846"/>
      <c r="Q9" s="846"/>
      <c r="R9" s="846"/>
      <c r="S9" s="846"/>
      <c r="T9" s="846"/>
      <c r="U9" s="846"/>
      <c r="V9" s="846"/>
      <c r="W9" s="846"/>
      <c r="X9" s="847"/>
      <c r="Y9" s="848"/>
      <c r="Z9" s="846"/>
      <c r="AA9" s="846"/>
      <c r="AB9" s="846"/>
      <c r="AC9" s="846"/>
      <c r="AD9" s="847"/>
      <c r="AE9" s="848"/>
      <c r="AF9" s="852">
        <f>IF($BI$2=4,1,0)</f>
        <v>0</v>
      </c>
      <c r="AG9" s="848"/>
      <c r="AH9" s="846"/>
      <c r="AI9" s="846"/>
      <c r="AJ9" s="846"/>
      <c r="AK9" s="846"/>
      <c r="AL9" s="846"/>
      <c r="AM9" s="846"/>
      <c r="AN9" s="847"/>
      <c r="AO9" s="848"/>
      <c r="AP9" s="846"/>
      <c r="AQ9" s="846"/>
      <c r="AR9" s="846"/>
      <c r="AS9" s="846"/>
      <c r="AT9" s="846"/>
      <c r="AU9" s="846"/>
      <c r="AV9" s="846"/>
      <c r="AW9" s="846"/>
      <c r="AX9" s="847"/>
      <c r="AY9" s="848"/>
      <c r="AZ9" s="846"/>
      <c r="BA9" s="846"/>
      <c r="BB9" s="846"/>
      <c r="BC9" s="846"/>
      <c r="BD9" s="847"/>
      <c r="BE9" s="848"/>
      <c r="BF9" s="846"/>
      <c r="BG9" s="850"/>
      <c r="BI9" s="133"/>
      <c r="BJ9" s="134"/>
    </row>
    <row r="10" spans="1:64" ht="11.1" customHeight="1">
      <c r="A10" s="699">
        <v>5</v>
      </c>
      <c r="B10" s="845"/>
      <c r="C10" s="846"/>
      <c r="D10" s="846"/>
      <c r="E10" s="846"/>
      <c r="F10" s="846"/>
      <c r="G10" s="847"/>
      <c r="H10" s="848"/>
      <c r="I10" s="846"/>
      <c r="J10" s="846"/>
      <c r="K10" s="846"/>
      <c r="L10" s="846"/>
      <c r="M10" s="847"/>
      <c r="N10" s="848"/>
      <c r="O10" s="846"/>
      <c r="P10" s="846"/>
      <c r="Q10" s="846"/>
      <c r="R10" s="846"/>
      <c r="S10" s="846"/>
      <c r="T10" s="846"/>
      <c r="U10" s="846"/>
      <c r="V10" s="846"/>
      <c r="W10" s="846"/>
      <c r="X10" s="847"/>
      <c r="Y10" s="848"/>
      <c r="Z10" s="846"/>
      <c r="AA10" s="846"/>
      <c r="AB10" s="846"/>
      <c r="AC10" s="846"/>
      <c r="AD10" s="847"/>
      <c r="AE10" s="848"/>
      <c r="AF10" s="852">
        <f>IF($BI$2=5,1,0)</f>
        <v>0</v>
      </c>
      <c r="AG10" s="848"/>
      <c r="AH10" s="846"/>
      <c r="AI10" s="846"/>
      <c r="AJ10" s="846"/>
      <c r="AK10" s="846"/>
      <c r="AL10" s="846"/>
      <c r="AM10" s="846"/>
      <c r="AN10" s="847"/>
      <c r="AO10" s="848"/>
      <c r="AP10" s="846"/>
      <c r="AQ10" s="846"/>
      <c r="AR10" s="846"/>
      <c r="AS10" s="846"/>
      <c r="AT10" s="846"/>
      <c r="AU10" s="846"/>
      <c r="AV10" s="846"/>
      <c r="AW10" s="846"/>
      <c r="AX10" s="847"/>
      <c r="AY10" s="848"/>
      <c r="AZ10" s="846"/>
      <c r="BA10" s="846"/>
      <c r="BB10" s="846"/>
      <c r="BC10" s="846"/>
      <c r="BD10" s="847"/>
      <c r="BE10" s="848"/>
      <c r="BF10" s="846"/>
      <c r="BG10" s="850"/>
      <c r="BI10" s="1266" t="s">
        <v>455</v>
      </c>
      <c r="BJ10" s="1269" t="s">
        <v>456</v>
      </c>
    </row>
    <row r="11" spans="1:64" ht="11.1" customHeight="1">
      <c r="A11" s="699">
        <v>6</v>
      </c>
      <c r="B11" s="845"/>
      <c r="C11" s="846"/>
      <c r="D11" s="846"/>
      <c r="E11" s="846"/>
      <c r="F11" s="846"/>
      <c r="G11" s="847"/>
      <c r="H11" s="848"/>
      <c r="I11" s="846"/>
      <c r="J11" s="846"/>
      <c r="K11" s="846"/>
      <c r="L11" s="846"/>
      <c r="M11" s="847"/>
      <c r="N11" s="848"/>
      <c r="O11" s="846"/>
      <c r="P11" s="846"/>
      <c r="Q11" s="846"/>
      <c r="R11" s="846"/>
      <c r="S11" s="846"/>
      <c r="T11" s="846"/>
      <c r="U11" s="846"/>
      <c r="V11" s="846"/>
      <c r="W11" s="846"/>
      <c r="X11" s="847"/>
      <c r="Y11" s="848"/>
      <c r="Z11" s="846"/>
      <c r="AA11" s="846"/>
      <c r="AB11" s="846"/>
      <c r="AC11" s="846"/>
      <c r="AD11" s="847"/>
      <c r="AE11" s="848"/>
      <c r="AF11" s="852">
        <f>IF($BI$2=6,1,0)</f>
        <v>0</v>
      </c>
      <c r="AG11" s="848"/>
      <c r="AH11" s="846"/>
      <c r="AI11" s="846"/>
      <c r="AJ11" s="846"/>
      <c r="AK11" s="846"/>
      <c r="AL11" s="846"/>
      <c r="AM11" s="846"/>
      <c r="AN11" s="847"/>
      <c r="AO11" s="848"/>
      <c r="AP11" s="846"/>
      <c r="AQ11" s="846"/>
      <c r="AR11" s="846"/>
      <c r="AS11" s="846"/>
      <c r="AT11" s="846"/>
      <c r="AU11" s="846"/>
      <c r="AV11" s="846"/>
      <c r="AW11" s="846"/>
      <c r="AX11" s="847"/>
      <c r="AY11" s="848"/>
      <c r="AZ11" s="846"/>
      <c r="BA11" s="846"/>
      <c r="BB11" s="846"/>
      <c r="BC11" s="846"/>
      <c r="BD11" s="847"/>
      <c r="BE11" s="848"/>
      <c r="BF11" s="846"/>
      <c r="BG11" s="850"/>
      <c r="BI11" s="1267"/>
      <c r="BJ11" s="1270"/>
    </row>
    <row r="12" spans="1:64" ht="11.1" customHeight="1" thickBot="1">
      <c r="A12" s="699">
        <v>7</v>
      </c>
      <c r="B12" s="845"/>
      <c r="C12" s="846"/>
      <c r="D12" s="846"/>
      <c r="E12" s="846"/>
      <c r="F12" s="846"/>
      <c r="G12" s="847"/>
      <c r="H12" s="848"/>
      <c r="I12" s="846"/>
      <c r="J12" s="846"/>
      <c r="K12" s="846"/>
      <c r="L12" s="846"/>
      <c r="M12" s="847"/>
      <c r="N12" s="848"/>
      <c r="O12" s="846"/>
      <c r="P12" s="846"/>
      <c r="Q12" s="846"/>
      <c r="R12" s="846"/>
      <c r="S12" s="846"/>
      <c r="T12" s="846"/>
      <c r="U12" s="846"/>
      <c r="V12" s="846"/>
      <c r="W12" s="846"/>
      <c r="X12" s="847"/>
      <c r="Y12" s="848"/>
      <c r="Z12" s="846"/>
      <c r="AA12" s="846"/>
      <c r="AB12" s="846"/>
      <c r="AC12" s="846"/>
      <c r="AD12" s="847"/>
      <c r="AE12" s="848"/>
      <c r="AF12" s="852">
        <f>IF($BI$2=7,1,0)</f>
        <v>0</v>
      </c>
      <c r="AG12" s="848"/>
      <c r="AH12" s="846"/>
      <c r="AI12" s="846"/>
      <c r="AJ12" s="846"/>
      <c r="AK12" s="846"/>
      <c r="AL12" s="846"/>
      <c r="AM12" s="846"/>
      <c r="AN12" s="847"/>
      <c r="AO12" s="848"/>
      <c r="AP12" s="846"/>
      <c r="AQ12" s="846"/>
      <c r="AR12" s="846"/>
      <c r="AS12" s="846"/>
      <c r="AT12" s="846"/>
      <c r="AU12" s="846"/>
      <c r="AV12" s="846"/>
      <c r="AW12" s="846"/>
      <c r="AX12" s="847"/>
      <c r="AY12" s="848"/>
      <c r="AZ12" s="846"/>
      <c r="BA12" s="846"/>
      <c r="BB12" s="846"/>
      <c r="BC12" s="846"/>
      <c r="BD12" s="847"/>
      <c r="BE12" s="848"/>
      <c r="BF12" s="846"/>
      <c r="BG12" s="850"/>
      <c r="BI12" s="1268"/>
      <c r="BJ12" s="1271"/>
    </row>
    <row r="13" spans="1:64" ht="11.1" customHeight="1" thickBot="1">
      <c r="A13" s="699">
        <v>8</v>
      </c>
      <c r="B13" s="845"/>
      <c r="C13" s="846"/>
      <c r="D13" s="846"/>
      <c r="E13" s="846"/>
      <c r="F13" s="846"/>
      <c r="G13" s="847"/>
      <c r="H13" s="848"/>
      <c r="I13" s="846"/>
      <c r="J13" s="846"/>
      <c r="K13" s="846"/>
      <c r="L13" s="846"/>
      <c r="M13" s="847"/>
      <c r="N13" s="848"/>
      <c r="O13" s="846"/>
      <c r="P13" s="846"/>
      <c r="Q13" s="846"/>
      <c r="R13" s="846"/>
      <c r="S13" s="846"/>
      <c r="T13" s="846"/>
      <c r="U13" s="846"/>
      <c r="V13" s="846"/>
      <c r="W13" s="846"/>
      <c r="X13" s="847"/>
      <c r="Y13" s="848"/>
      <c r="Z13" s="846"/>
      <c r="AA13" s="846"/>
      <c r="AB13" s="846"/>
      <c r="AC13" s="846"/>
      <c r="AD13" s="847"/>
      <c r="AE13" s="848"/>
      <c r="AF13" s="852">
        <f>IF($BI$2=8,1,0)</f>
        <v>0</v>
      </c>
      <c r="AG13" s="848"/>
      <c r="AH13" s="846"/>
      <c r="AI13" s="846"/>
      <c r="AJ13" s="846"/>
      <c r="AK13" s="846"/>
      <c r="AL13" s="846"/>
      <c r="AM13" s="846"/>
      <c r="AN13" s="847"/>
      <c r="AO13" s="848"/>
      <c r="AP13" s="846"/>
      <c r="AQ13" s="846"/>
      <c r="AR13" s="846"/>
      <c r="AS13" s="846"/>
      <c r="AT13" s="846"/>
      <c r="AU13" s="846"/>
      <c r="AV13" s="846"/>
      <c r="AW13" s="846"/>
      <c r="AX13" s="847"/>
      <c r="AY13" s="848"/>
      <c r="AZ13" s="846"/>
      <c r="BA13" s="846"/>
      <c r="BB13" s="846"/>
      <c r="BC13" s="846"/>
      <c r="BD13" s="847"/>
      <c r="BE13" s="848"/>
      <c r="BF13" s="846"/>
      <c r="BG13" s="850"/>
    </row>
    <row r="14" spans="1:64" ht="11.1" customHeight="1">
      <c r="A14" s="699">
        <v>9</v>
      </c>
      <c r="B14" s="845"/>
      <c r="C14" s="846"/>
      <c r="D14" s="846"/>
      <c r="E14" s="846"/>
      <c r="F14" s="846"/>
      <c r="G14" s="847"/>
      <c r="H14" s="848"/>
      <c r="I14" s="846"/>
      <c r="J14" s="846"/>
      <c r="K14" s="846"/>
      <c r="L14" s="846"/>
      <c r="M14" s="847"/>
      <c r="N14" s="848"/>
      <c r="O14" s="846"/>
      <c r="P14" s="846"/>
      <c r="Q14" s="846"/>
      <c r="R14" s="846"/>
      <c r="S14" s="846"/>
      <c r="T14" s="846"/>
      <c r="U14" s="846"/>
      <c r="V14" s="846"/>
      <c r="W14" s="846"/>
      <c r="X14" s="847"/>
      <c r="Y14" s="848"/>
      <c r="Z14" s="846"/>
      <c r="AA14" s="846"/>
      <c r="AB14" s="846"/>
      <c r="AC14" s="846"/>
      <c r="AD14" s="847"/>
      <c r="AE14" s="848"/>
      <c r="AF14" s="852">
        <f>IF($BI$2=9,1,0)</f>
        <v>0</v>
      </c>
      <c r="AG14" s="848"/>
      <c r="AH14" s="846"/>
      <c r="AI14" s="846"/>
      <c r="AJ14" s="846"/>
      <c r="AK14" s="846"/>
      <c r="AL14" s="846"/>
      <c r="AM14" s="846"/>
      <c r="AN14" s="847"/>
      <c r="AO14" s="848"/>
      <c r="AP14" s="846"/>
      <c r="AQ14" s="846"/>
      <c r="AR14" s="846"/>
      <c r="AS14" s="846"/>
      <c r="AT14" s="846"/>
      <c r="AU14" s="846"/>
      <c r="AV14" s="846"/>
      <c r="AW14" s="846"/>
      <c r="AX14" s="847"/>
      <c r="AY14" s="848"/>
      <c r="AZ14" s="846"/>
      <c r="BA14" s="846"/>
      <c r="BB14" s="846"/>
      <c r="BC14" s="846"/>
      <c r="BD14" s="847"/>
      <c r="BE14" s="848"/>
      <c r="BF14" s="846"/>
      <c r="BG14" s="850"/>
      <c r="BI14" s="1200" t="s">
        <v>333</v>
      </c>
      <c r="BJ14" s="1203" t="s">
        <v>350</v>
      </c>
    </row>
    <row r="15" spans="1:64" ht="11.1" customHeight="1">
      <c r="A15" s="699">
        <v>10</v>
      </c>
      <c r="B15" s="845"/>
      <c r="C15" s="846"/>
      <c r="D15" s="846"/>
      <c r="E15" s="846"/>
      <c r="F15" s="846"/>
      <c r="G15" s="847"/>
      <c r="H15" s="848"/>
      <c r="I15" s="846"/>
      <c r="J15" s="846"/>
      <c r="K15" s="846"/>
      <c r="L15" s="846"/>
      <c r="M15" s="847"/>
      <c r="N15" s="848"/>
      <c r="O15" s="846"/>
      <c r="P15" s="846"/>
      <c r="Q15" s="846"/>
      <c r="R15" s="846"/>
      <c r="S15" s="846"/>
      <c r="T15" s="846"/>
      <c r="U15" s="846"/>
      <c r="V15" s="846"/>
      <c r="W15" s="846"/>
      <c r="X15" s="847"/>
      <c r="Y15" s="848"/>
      <c r="Z15" s="846"/>
      <c r="AA15" s="846"/>
      <c r="AB15" s="846"/>
      <c r="AC15" s="846"/>
      <c r="AD15" s="847"/>
      <c r="AE15" s="848"/>
      <c r="AF15" s="852">
        <f>IF($BI$2=10,1,0)</f>
        <v>0</v>
      </c>
      <c r="AG15" s="848"/>
      <c r="AH15" s="846"/>
      <c r="AI15" s="846"/>
      <c r="AJ15" s="846"/>
      <c r="AK15" s="846"/>
      <c r="AL15" s="846"/>
      <c r="AM15" s="846"/>
      <c r="AN15" s="847"/>
      <c r="AO15" s="848"/>
      <c r="AP15" s="846"/>
      <c r="AQ15" s="846"/>
      <c r="AR15" s="846"/>
      <c r="AS15" s="846"/>
      <c r="AT15" s="846"/>
      <c r="AU15" s="846"/>
      <c r="AV15" s="846"/>
      <c r="AW15" s="846"/>
      <c r="AX15" s="847"/>
      <c r="AY15" s="848"/>
      <c r="AZ15" s="846"/>
      <c r="BA15" s="846"/>
      <c r="BB15" s="846"/>
      <c r="BC15" s="846"/>
      <c r="BD15" s="847"/>
      <c r="BE15" s="848"/>
      <c r="BF15" s="846"/>
      <c r="BG15" s="850"/>
      <c r="BI15" s="1262"/>
      <c r="BJ15" s="1263"/>
    </row>
    <row r="16" spans="1:64" ht="11.1" customHeight="1" thickBot="1">
      <c r="A16" s="699">
        <v>11</v>
      </c>
      <c r="B16" s="845"/>
      <c r="C16" s="846"/>
      <c r="D16" s="846"/>
      <c r="E16" s="846"/>
      <c r="F16" s="846"/>
      <c r="G16" s="847"/>
      <c r="H16" s="848"/>
      <c r="I16" s="846"/>
      <c r="J16" s="846"/>
      <c r="K16" s="846"/>
      <c r="L16" s="846"/>
      <c r="M16" s="847"/>
      <c r="N16" s="848"/>
      <c r="O16" s="846"/>
      <c r="P16" s="846"/>
      <c r="Q16" s="846"/>
      <c r="R16" s="846"/>
      <c r="S16" s="846"/>
      <c r="T16" s="846"/>
      <c r="U16" s="846"/>
      <c r="V16" s="846"/>
      <c r="W16" s="846"/>
      <c r="X16" s="847"/>
      <c r="Y16" s="848"/>
      <c r="Z16" s="846"/>
      <c r="AA16" s="846"/>
      <c r="AB16" s="846"/>
      <c r="AC16" s="846"/>
      <c r="AD16" s="847"/>
      <c r="AE16" s="848"/>
      <c r="AF16" s="852">
        <f>IF($BI$2=11,1,0)</f>
        <v>0</v>
      </c>
      <c r="AG16" s="848"/>
      <c r="AH16" s="846"/>
      <c r="AI16" s="846"/>
      <c r="AJ16" s="846"/>
      <c r="AK16" s="846"/>
      <c r="AL16" s="846"/>
      <c r="AM16" s="846"/>
      <c r="AN16" s="847"/>
      <c r="AO16" s="848"/>
      <c r="AP16" s="846"/>
      <c r="AQ16" s="846"/>
      <c r="AR16" s="846"/>
      <c r="AS16" s="846"/>
      <c r="AT16" s="846"/>
      <c r="AU16" s="846"/>
      <c r="AV16" s="846"/>
      <c r="AW16" s="846"/>
      <c r="AX16" s="847"/>
      <c r="AY16" s="848"/>
      <c r="AZ16" s="846"/>
      <c r="BA16" s="846"/>
      <c r="BB16" s="846"/>
      <c r="BC16" s="846"/>
      <c r="BD16" s="847"/>
      <c r="BE16" s="848"/>
      <c r="BF16" s="846"/>
      <c r="BG16" s="850"/>
      <c r="BI16" s="1201"/>
      <c r="BJ16" s="1205"/>
    </row>
    <row r="17" spans="1:62" ht="11.1" customHeight="1" thickBot="1">
      <c r="A17" s="699">
        <v>12</v>
      </c>
      <c r="B17" s="845"/>
      <c r="C17" s="846"/>
      <c r="D17" s="846"/>
      <c r="E17" s="846"/>
      <c r="F17" s="846"/>
      <c r="G17" s="847"/>
      <c r="H17" s="848"/>
      <c r="I17" s="846"/>
      <c r="J17" s="846"/>
      <c r="K17" s="846"/>
      <c r="L17" s="846"/>
      <c r="M17" s="847"/>
      <c r="N17" s="848"/>
      <c r="O17" s="846"/>
      <c r="P17" s="846"/>
      <c r="Q17" s="846"/>
      <c r="R17" s="846"/>
      <c r="S17" s="846"/>
      <c r="T17" s="846"/>
      <c r="U17" s="846"/>
      <c r="V17" s="846"/>
      <c r="W17" s="846"/>
      <c r="X17" s="847"/>
      <c r="Y17" s="848"/>
      <c r="Z17" s="846"/>
      <c r="AA17" s="846"/>
      <c r="AB17" s="846"/>
      <c r="AC17" s="846"/>
      <c r="AD17" s="847"/>
      <c r="AE17" s="848"/>
      <c r="AF17" s="852"/>
      <c r="AG17" s="848"/>
      <c r="AH17" s="846"/>
      <c r="AI17" s="846"/>
      <c r="AJ17" s="846"/>
      <c r="AK17" s="846"/>
      <c r="AL17" s="846"/>
      <c r="AM17" s="846"/>
      <c r="AN17" s="847"/>
      <c r="AO17" s="848"/>
      <c r="AP17" s="846"/>
      <c r="AQ17" s="846"/>
      <c r="AR17" s="846"/>
      <c r="AS17" s="846"/>
      <c r="AT17" s="846"/>
      <c r="AU17" s="846"/>
      <c r="AV17" s="846"/>
      <c r="AW17" s="846"/>
      <c r="AX17" s="847"/>
      <c r="AY17" s="848"/>
      <c r="AZ17" s="846"/>
      <c r="BA17" s="846"/>
      <c r="BB17" s="846"/>
      <c r="BC17" s="846"/>
      <c r="BD17" s="847"/>
      <c r="BE17" s="848"/>
      <c r="BF17" s="846"/>
      <c r="BG17" s="850"/>
    </row>
    <row r="18" spans="1:62" ht="11.1" customHeight="1">
      <c r="A18" s="699">
        <v>13</v>
      </c>
      <c r="B18" s="845"/>
      <c r="C18" s="846"/>
      <c r="D18" s="846"/>
      <c r="E18" s="846"/>
      <c r="F18" s="846"/>
      <c r="G18" s="847"/>
      <c r="H18" s="848"/>
      <c r="I18" s="846"/>
      <c r="J18" s="846"/>
      <c r="K18" s="846"/>
      <c r="L18" s="846"/>
      <c r="M18" s="847"/>
      <c r="N18" s="848"/>
      <c r="O18" s="846"/>
      <c r="P18" s="846"/>
      <c r="Q18" s="846"/>
      <c r="R18" s="846"/>
      <c r="S18" s="846"/>
      <c r="T18" s="846"/>
      <c r="U18" s="846"/>
      <c r="V18" s="846"/>
      <c r="W18" s="846"/>
      <c r="X18" s="847"/>
      <c r="Y18" s="848"/>
      <c r="Z18" s="846"/>
      <c r="AA18" s="846"/>
      <c r="AB18" s="846"/>
      <c r="AC18" s="846"/>
      <c r="AD18" s="847"/>
      <c r="AE18" s="848"/>
      <c r="AF18" s="852"/>
      <c r="AG18" s="848"/>
      <c r="AH18" s="846"/>
      <c r="AI18" s="846"/>
      <c r="AJ18" s="846"/>
      <c r="AK18" s="846"/>
      <c r="AL18" s="846"/>
      <c r="AM18" s="846"/>
      <c r="AN18" s="847"/>
      <c r="AO18" s="848"/>
      <c r="AP18" s="846"/>
      <c r="AQ18" s="846"/>
      <c r="AR18" s="846"/>
      <c r="AS18" s="846"/>
      <c r="AT18" s="846"/>
      <c r="AU18" s="846"/>
      <c r="AV18" s="846"/>
      <c r="AW18" s="846"/>
      <c r="AX18" s="847"/>
      <c r="AY18" s="848"/>
      <c r="AZ18" s="846"/>
      <c r="BA18" s="846"/>
      <c r="BB18" s="846"/>
      <c r="BC18" s="846"/>
      <c r="BD18" s="847"/>
      <c r="BE18" s="848"/>
      <c r="BF18" s="846"/>
      <c r="BG18" s="850"/>
      <c r="BI18" s="1258" t="s">
        <v>412</v>
      </c>
      <c r="BJ18" s="1259"/>
    </row>
    <row r="19" spans="1:62" ht="11.1" customHeight="1">
      <c r="A19" s="699">
        <v>14</v>
      </c>
      <c r="B19" s="845"/>
      <c r="C19" s="846"/>
      <c r="D19" s="846"/>
      <c r="E19" s="846"/>
      <c r="F19" s="846"/>
      <c r="G19" s="847"/>
      <c r="H19" s="848"/>
      <c r="I19" s="846"/>
      <c r="J19" s="846"/>
      <c r="K19" s="846"/>
      <c r="L19" s="846"/>
      <c r="M19" s="847"/>
      <c r="N19" s="848"/>
      <c r="O19" s="846"/>
      <c r="P19" s="846"/>
      <c r="Q19" s="846"/>
      <c r="R19" s="846"/>
      <c r="S19" s="846"/>
      <c r="T19" s="846"/>
      <c r="U19" s="846"/>
      <c r="V19" s="846"/>
      <c r="W19" s="846"/>
      <c r="X19" s="847"/>
      <c r="Y19" s="848"/>
      <c r="Z19" s="846"/>
      <c r="AA19" s="846"/>
      <c r="AB19" s="846"/>
      <c r="AC19" s="846"/>
      <c r="AD19" s="847"/>
      <c r="AE19" s="848"/>
      <c r="AF19" s="852"/>
      <c r="AG19" s="848"/>
      <c r="AH19" s="846"/>
      <c r="AI19" s="846"/>
      <c r="AJ19" s="846"/>
      <c r="AK19" s="846"/>
      <c r="AL19" s="846"/>
      <c r="AM19" s="846"/>
      <c r="AN19" s="847"/>
      <c r="AO19" s="848"/>
      <c r="AP19" s="846"/>
      <c r="AQ19" s="846"/>
      <c r="AR19" s="846"/>
      <c r="AS19" s="846"/>
      <c r="AT19" s="846"/>
      <c r="AU19" s="846"/>
      <c r="AV19" s="846"/>
      <c r="AW19" s="846"/>
      <c r="AX19" s="847"/>
      <c r="AY19" s="848"/>
      <c r="AZ19" s="846"/>
      <c r="BA19" s="846"/>
      <c r="BB19" s="846"/>
      <c r="BC19" s="846"/>
      <c r="BD19" s="847"/>
      <c r="BE19" s="848"/>
      <c r="BF19" s="846"/>
      <c r="BG19" s="850"/>
      <c r="BI19" s="1260"/>
      <c r="BJ19" s="1261"/>
    </row>
    <row r="20" spans="1:62" ht="11.1" customHeight="1">
      <c r="A20" s="699">
        <v>15</v>
      </c>
      <c r="B20" s="845"/>
      <c r="C20" s="846"/>
      <c r="D20" s="846"/>
      <c r="E20" s="846"/>
      <c r="F20" s="846"/>
      <c r="G20" s="847"/>
      <c r="H20" s="848"/>
      <c r="I20" s="846"/>
      <c r="J20" s="846"/>
      <c r="K20" s="846"/>
      <c r="L20" s="846"/>
      <c r="M20" s="847"/>
      <c r="N20" s="848"/>
      <c r="O20" s="846"/>
      <c r="P20" s="846"/>
      <c r="Q20" s="846"/>
      <c r="R20" s="846"/>
      <c r="S20" s="846"/>
      <c r="T20" s="846"/>
      <c r="U20" s="846"/>
      <c r="V20" s="846"/>
      <c r="W20" s="846"/>
      <c r="X20" s="847"/>
      <c r="Y20" s="848"/>
      <c r="Z20" s="846"/>
      <c r="AA20" s="846"/>
      <c r="AB20" s="846"/>
      <c r="AC20" s="846"/>
      <c r="AD20" s="847"/>
      <c r="AE20" s="848"/>
      <c r="AF20" s="852"/>
      <c r="AG20" s="848"/>
      <c r="AH20" s="846"/>
      <c r="AI20" s="846"/>
      <c r="AJ20" s="846"/>
      <c r="AK20" s="846"/>
      <c r="AL20" s="846"/>
      <c r="AM20" s="846"/>
      <c r="AN20" s="847"/>
      <c r="AO20" s="848"/>
      <c r="AP20" s="846"/>
      <c r="AQ20" s="846"/>
      <c r="AR20" s="846"/>
      <c r="AS20" s="846"/>
      <c r="AT20" s="846"/>
      <c r="AU20" s="846"/>
      <c r="AV20" s="846"/>
      <c r="AW20" s="846"/>
      <c r="AX20" s="847"/>
      <c r="AY20" s="848"/>
      <c r="AZ20" s="846"/>
      <c r="BA20" s="846"/>
      <c r="BB20" s="846"/>
      <c r="BC20" s="846"/>
      <c r="BD20" s="847"/>
      <c r="BE20" s="848"/>
      <c r="BF20" s="846"/>
      <c r="BG20" s="850"/>
      <c r="BI20" s="1260"/>
      <c r="BJ20" s="1261"/>
    </row>
    <row r="21" spans="1:62" ht="11.1" customHeight="1">
      <c r="A21" s="699">
        <v>16</v>
      </c>
      <c r="B21" s="845"/>
      <c r="C21" s="846"/>
      <c r="D21" s="846"/>
      <c r="E21" s="846"/>
      <c r="F21" s="846"/>
      <c r="G21" s="847"/>
      <c r="H21" s="848"/>
      <c r="I21" s="846"/>
      <c r="J21" s="846"/>
      <c r="K21" s="846"/>
      <c r="L21" s="846"/>
      <c r="M21" s="847"/>
      <c r="N21" s="848"/>
      <c r="O21" s="846"/>
      <c r="P21" s="846"/>
      <c r="Q21" s="846"/>
      <c r="R21" s="846"/>
      <c r="S21" s="846"/>
      <c r="T21" s="846"/>
      <c r="U21" s="846"/>
      <c r="V21" s="846"/>
      <c r="W21" s="846"/>
      <c r="X21" s="847"/>
      <c r="Y21" s="848"/>
      <c r="Z21" s="846"/>
      <c r="AA21" s="846"/>
      <c r="AB21" s="846"/>
      <c r="AC21" s="846"/>
      <c r="AD21" s="847"/>
      <c r="AE21" s="848"/>
      <c r="AF21" s="852"/>
      <c r="AG21" s="848"/>
      <c r="AH21" s="846"/>
      <c r="AI21" s="846"/>
      <c r="AJ21" s="846"/>
      <c r="AK21" s="846"/>
      <c r="AL21" s="846"/>
      <c r="AM21" s="846"/>
      <c r="AN21" s="847"/>
      <c r="AO21" s="848"/>
      <c r="AP21" s="846"/>
      <c r="AQ21" s="846"/>
      <c r="AR21" s="846"/>
      <c r="AS21" s="846"/>
      <c r="AT21" s="846"/>
      <c r="AU21" s="846"/>
      <c r="AV21" s="846"/>
      <c r="AW21" s="846"/>
      <c r="AX21" s="847"/>
      <c r="AY21" s="848"/>
      <c r="AZ21" s="846"/>
      <c r="BA21" s="846"/>
      <c r="BB21" s="846"/>
      <c r="BC21" s="846"/>
      <c r="BD21" s="847"/>
      <c r="BE21" s="848"/>
      <c r="BF21" s="846"/>
      <c r="BG21" s="850"/>
      <c r="BI21" s="1260"/>
      <c r="BJ21" s="1261"/>
    </row>
    <row r="22" spans="1:62" ht="11.1" customHeight="1">
      <c r="A22" s="699">
        <v>17</v>
      </c>
      <c r="B22" s="845"/>
      <c r="C22" s="846"/>
      <c r="D22" s="846"/>
      <c r="E22" s="846"/>
      <c r="F22" s="846"/>
      <c r="G22" s="847"/>
      <c r="H22" s="848"/>
      <c r="I22" s="846"/>
      <c r="J22" s="846"/>
      <c r="K22" s="846"/>
      <c r="L22" s="846"/>
      <c r="M22" s="847"/>
      <c r="N22" s="848"/>
      <c r="O22" s="846"/>
      <c r="P22" s="846"/>
      <c r="Q22" s="846"/>
      <c r="R22" s="846"/>
      <c r="S22" s="846"/>
      <c r="T22" s="846"/>
      <c r="U22" s="846"/>
      <c r="V22" s="846"/>
      <c r="W22" s="846"/>
      <c r="X22" s="847"/>
      <c r="Y22" s="848"/>
      <c r="Z22" s="846"/>
      <c r="AA22" s="846"/>
      <c r="AB22" s="846"/>
      <c r="AC22" s="846"/>
      <c r="AD22" s="847"/>
      <c r="AE22" s="848"/>
      <c r="AF22" s="852"/>
      <c r="AG22" s="848"/>
      <c r="AH22" s="846"/>
      <c r="AI22" s="846"/>
      <c r="AJ22" s="846"/>
      <c r="AK22" s="846"/>
      <c r="AL22" s="846"/>
      <c r="AM22" s="846"/>
      <c r="AN22" s="847"/>
      <c r="AO22" s="848"/>
      <c r="AP22" s="846"/>
      <c r="AQ22" s="846"/>
      <c r="AR22" s="846"/>
      <c r="AS22" s="846"/>
      <c r="AT22" s="846"/>
      <c r="AU22" s="846"/>
      <c r="AV22" s="846"/>
      <c r="AW22" s="846"/>
      <c r="AX22" s="847"/>
      <c r="AY22" s="848"/>
      <c r="AZ22" s="846"/>
      <c r="BA22" s="846"/>
      <c r="BB22" s="846"/>
      <c r="BC22" s="846"/>
      <c r="BD22" s="847"/>
      <c r="BE22" s="848"/>
      <c r="BF22" s="846"/>
      <c r="BG22" s="850"/>
      <c r="BI22" s="1260"/>
      <c r="BJ22" s="1261"/>
    </row>
    <row r="23" spans="1:62" ht="11.1" customHeight="1">
      <c r="A23" s="699">
        <v>18</v>
      </c>
      <c r="B23" s="845"/>
      <c r="C23" s="846"/>
      <c r="D23" s="846"/>
      <c r="E23" s="846"/>
      <c r="F23" s="846"/>
      <c r="G23" s="847"/>
      <c r="H23" s="848"/>
      <c r="I23" s="846"/>
      <c r="J23" s="846"/>
      <c r="K23" s="846"/>
      <c r="L23" s="846"/>
      <c r="M23" s="847"/>
      <c r="N23" s="848"/>
      <c r="O23" s="846"/>
      <c r="P23" s="846"/>
      <c r="Q23" s="846"/>
      <c r="R23" s="846"/>
      <c r="S23" s="846"/>
      <c r="T23" s="846"/>
      <c r="U23" s="846"/>
      <c r="V23" s="846"/>
      <c r="W23" s="846"/>
      <c r="X23" s="847"/>
      <c r="Y23" s="848"/>
      <c r="Z23" s="846"/>
      <c r="AA23" s="846"/>
      <c r="AB23" s="846"/>
      <c r="AC23" s="846"/>
      <c r="AD23" s="847"/>
      <c r="AE23" s="848"/>
      <c r="AF23" s="852"/>
      <c r="AG23" s="848"/>
      <c r="AH23" s="846"/>
      <c r="AI23" s="846"/>
      <c r="AJ23" s="846"/>
      <c r="AK23" s="846"/>
      <c r="AL23" s="846"/>
      <c r="AM23" s="846"/>
      <c r="AN23" s="847"/>
      <c r="AO23" s="848"/>
      <c r="AP23" s="846"/>
      <c r="AQ23" s="846"/>
      <c r="AR23" s="846"/>
      <c r="AS23" s="846"/>
      <c r="AT23" s="846"/>
      <c r="AU23" s="846"/>
      <c r="AV23" s="846"/>
      <c r="AW23" s="846"/>
      <c r="AX23" s="847"/>
      <c r="AY23" s="848"/>
      <c r="AZ23" s="846"/>
      <c r="BA23" s="846"/>
      <c r="BB23" s="846"/>
      <c r="BC23" s="846"/>
      <c r="BD23" s="847"/>
      <c r="BE23" s="848"/>
      <c r="BF23" s="846"/>
      <c r="BG23" s="850"/>
      <c r="BI23" s="1260"/>
      <c r="BJ23" s="1261"/>
    </row>
    <row r="24" spans="1:62" ht="11.1" customHeight="1">
      <c r="A24" s="699">
        <v>19</v>
      </c>
      <c r="B24" s="845"/>
      <c r="C24" s="846"/>
      <c r="D24" s="846"/>
      <c r="E24" s="846"/>
      <c r="F24" s="846"/>
      <c r="G24" s="847"/>
      <c r="H24" s="848"/>
      <c r="I24" s="846"/>
      <c r="J24" s="846"/>
      <c r="K24" s="846"/>
      <c r="L24" s="846"/>
      <c r="M24" s="847"/>
      <c r="N24" s="848"/>
      <c r="O24" s="846"/>
      <c r="P24" s="846"/>
      <c r="Q24" s="846"/>
      <c r="R24" s="846"/>
      <c r="S24" s="846"/>
      <c r="T24" s="846"/>
      <c r="U24" s="846"/>
      <c r="V24" s="846"/>
      <c r="W24" s="846"/>
      <c r="X24" s="847"/>
      <c r="Y24" s="848"/>
      <c r="Z24" s="846"/>
      <c r="AA24" s="846"/>
      <c r="AB24" s="846"/>
      <c r="AC24" s="846"/>
      <c r="AD24" s="847"/>
      <c r="AE24" s="848"/>
      <c r="AF24" s="852"/>
      <c r="AG24" s="848"/>
      <c r="AH24" s="846"/>
      <c r="AI24" s="846"/>
      <c r="AJ24" s="846"/>
      <c r="AK24" s="846"/>
      <c r="AL24" s="846"/>
      <c r="AM24" s="846"/>
      <c r="AN24" s="847"/>
      <c r="AO24" s="848"/>
      <c r="AP24" s="846"/>
      <c r="AQ24" s="846"/>
      <c r="AR24" s="846"/>
      <c r="AS24" s="846"/>
      <c r="AT24" s="846"/>
      <c r="AU24" s="846"/>
      <c r="AV24" s="846"/>
      <c r="AW24" s="846"/>
      <c r="AX24" s="847"/>
      <c r="AY24" s="848"/>
      <c r="AZ24" s="846"/>
      <c r="BA24" s="846"/>
      <c r="BB24" s="846"/>
      <c r="BC24" s="846"/>
      <c r="BD24" s="847"/>
      <c r="BE24" s="848"/>
      <c r="BF24" s="846"/>
      <c r="BG24" s="850"/>
      <c r="BI24" s="1260"/>
      <c r="BJ24" s="1261"/>
    </row>
    <row r="25" spans="1:62" ht="11.1" customHeight="1">
      <c r="A25" s="699">
        <v>20</v>
      </c>
      <c r="B25" s="845"/>
      <c r="C25" s="846"/>
      <c r="D25" s="846"/>
      <c r="E25" s="846"/>
      <c r="F25" s="846"/>
      <c r="G25" s="847"/>
      <c r="H25" s="848"/>
      <c r="I25" s="846"/>
      <c r="J25" s="846"/>
      <c r="K25" s="846"/>
      <c r="L25" s="846"/>
      <c r="M25" s="847"/>
      <c r="N25" s="848"/>
      <c r="O25" s="846"/>
      <c r="P25" s="846"/>
      <c r="Q25" s="846"/>
      <c r="R25" s="846"/>
      <c r="S25" s="846"/>
      <c r="T25" s="846"/>
      <c r="U25" s="846"/>
      <c r="V25" s="846"/>
      <c r="W25" s="846"/>
      <c r="X25" s="847"/>
      <c r="Y25" s="848"/>
      <c r="Z25" s="846"/>
      <c r="AA25" s="846"/>
      <c r="AB25" s="846"/>
      <c r="AC25" s="846"/>
      <c r="AD25" s="847"/>
      <c r="AE25" s="848"/>
      <c r="AF25" s="852"/>
      <c r="AG25" s="848"/>
      <c r="AH25" s="846"/>
      <c r="AI25" s="846"/>
      <c r="AJ25" s="846"/>
      <c r="AK25" s="846"/>
      <c r="AL25" s="846"/>
      <c r="AM25" s="846"/>
      <c r="AN25" s="847"/>
      <c r="AO25" s="848"/>
      <c r="AP25" s="846"/>
      <c r="AQ25" s="846"/>
      <c r="AR25" s="846"/>
      <c r="AS25" s="846"/>
      <c r="AT25" s="846"/>
      <c r="AU25" s="846"/>
      <c r="AV25" s="846"/>
      <c r="AW25" s="846"/>
      <c r="AX25" s="847"/>
      <c r="AY25" s="848"/>
      <c r="AZ25" s="846"/>
      <c r="BA25" s="846"/>
      <c r="BB25" s="846"/>
      <c r="BC25" s="846"/>
      <c r="BD25" s="847"/>
      <c r="BE25" s="848"/>
      <c r="BF25" s="846"/>
      <c r="BG25" s="850"/>
      <c r="BI25" s="1260"/>
      <c r="BJ25" s="1261"/>
    </row>
    <row r="26" spans="1:62" ht="11.1" customHeight="1">
      <c r="A26" s="699">
        <v>21</v>
      </c>
      <c r="B26" s="845"/>
      <c r="C26" s="846"/>
      <c r="D26" s="846"/>
      <c r="E26" s="846"/>
      <c r="F26" s="846"/>
      <c r="G26" s="847"/>
      <c r="H26" s="848"/>
      <c r="I26" s="846"/>
      <c r="J26" s="846"/>
      <c r="K26" s="846"/>
      <c r="L26" s="846"/>
      <c r="M26" s="847"/>
      <c r="N26" s="848"/>
      <c r="O26" s="846"/>
      <c r="P26" s="846"/>
      <c r="Q26" s="846"/>
      <c r="R26" s="846"/>
      <c r="S26" s="846"/>
      <c r="T26" s="846"/>
      <c r="U26" s="846"/>
      <c r="V26" s="846"/>
      <c r="W26" s="846"/>
      <c r="X26" s="847"/>
      <c r="Y26" s="848"/>
      <c r="Z26" s="846"/>
      <c r="AA26" s="846"/>
      <c r="AB26" s="846"/>
      <c r="AC26" s="846"/>
      <c r="AD26" s="847"/>
      <c r="AE26" s="848"/>
      <c r="AF26" s="852"/>
      <c r="AG26" s="848"/>
      <c r="AH26" s="846"/>
      <c r="AI26" s="846"/>
      <c r="AJ26" s="846"/>
      <c r="AK26" s="846"/>
      <c r="AL26" s="846"/>
      <c r="AM26" s="846"/>
      <c r="AN26" s="847"/>
      <c r="AO26" s="848"/>
      <c r="AP26" s="846"/>
      <c r="AQ26" s="846"/>
      <c r="AR26" s="846"/>
      <c r="AS26" s="846"/>
      <c r="AT26" s="846"/>
      <c r="AU26" s="846"/>
      <c r="AV26" s="846"/>
      <c r="AW26" s="846"/>
      <c r="AX26" s="847"/>
      <c r="AY26" s="848"/>
      <c r="AZ26" s="846"/>
      <c r="BA26" s="846"/>
      <c r="BB26" s="846"/>
      <c r="BC26" s="846"/>
      <c r="BD26" s="847"/>
      <c r="BE26" s="848"/>
      <c r="BF26" s="846"/>
      <c r="BG26" s="850"/>
      <c r="BI26" s="1329" t="s">
        <v>353</v>
      </c>
      <c r="BJ26" s="1330"/>
    </row>
    <row r="27" spans="1:62" ht="11.1" customHeight="1">
      <c r="A27" s="699">
        <v>22</v>
      </c>
      <c r="B27" s="845"/>
      <c r="C27" s="846"/>
      <c r="D27" s="846"/>
      <c r="E27" s="846"/>
      <c r="F27" s="846"/>
      <c r="G27" s="847"/>
      <c r="H27" s="848"/>
      <c r="I27" s="846"/>
      <c r="J27" s="846"/>
      <c r="K27" s="846"/>
      <c r="L27" s="846"/>
      <c r="M27" s="847"/>
      <c r="N27" s="848"/>
      <c r="O27" s="846"/>
      <c r="P27" s="846"/>
      <c r="Q27" s="846"/>
      <c r="R27" s="846"/>
      <c r="S27" s="846"/>
      <c r="T27" s="846"/>
      <c r="U27" s="846"/>
      <c r="V27" s="846"/>
      <c r="W27" s="846"/>
      <c r="X27" s="847"/>
      <c r="Y27" s="848"/>
      <c r="Z27" s="846"/>
      <c r="AA27" s="846"/>
      <c r="AB27" s="846"/>
      <c r="AC27" s="846"/>
      <c r="AD27" s="847"/>
      <c r="AE27" s="848"/>
      <c r="AF27" s="852"/>
      <c r="AG27" s="848"/>
      <c r="AH27" s="846"/>
      <c r="AI27" s="846"/>
      <c r="AJ27" s="846"/>
      <c r="AK27" s="846"/>
      <c r="AL27" s="846"/>
      <c r="AM27" s="846"/>
      <c r="AN27" s="847"/>
      <c r="AO27" s="848"/>
      <c r="AP27" s="846"/>
      <c r="AQ27" s="846"/>
      <c r="AR27" s="846"/>
      <c r="AS27" s="846"/>
      <c r="AT27" s="846"/>
      <c r="AU27" s="846"/>
      <c r="AV27" s="846"/>
      <c r="AW27" s="846"/>
      <c r="AX27" s="847"/>
      <c r="AY27" s="848"/>
      <c r="AZ27" s="846"/>
      <c r="BA27" s="846"/>
      <c r="BB27" s="846"/>
      <c r="BC27" s="846"/>
      <c r="BD27" s="847"/>
      <c r="BE27" s="848"/>
      <c r="BF27" s="846"/>
      <c r="BG27" s="850"/>
      <c r="BI27" s="1329"/>
      <c r="BJ27" s="1330"/>
    </row>
    <row r="28" spans="1:62" ht="11.1" customHeight="1">
      <c r="A28" s="699">
        <v>23</v>
      </c>
      <c r="B28" s="845"/>
      <c r="C28" s="846"/>
      <c r="D28" s="846"/>
      <c r="E28" s="846"/>
      <c r="F28" s="846"/>
      <c r="G28" s="847"/>
      <c r="H28" s="848"/>
      <c r="I28" s="846"/>
      <c r="J28" s="846"/>
      <c r="K28" s="846"/>
      <c r="L28" s="846"/>
      <c r="M28" s="847"/>
      <c r="N28" s="848"/>
      <c r="O28" s="846"/>
      <c r="P28" s="846"/>
      <c r="Q28" s="846"/>
      <c r="R28" s="846"/>
      <c r="S28" s="846"/>
      <c r="T28" s="846"/>
      <c r="U28" s="846"/>
      <c r="V28" s="846"/>
      <c r="W28" s="846"/>
      <c r="X28" s="847"/>
      <c r="Y28" s="848"/>
      <c r="Z28" s="846"/>
      <c r="AA28" s="846"/>
      <c r="AB28" s="846"/>
      <c r="AC28" s="846"/>
      <c r="AD28" s="847"/>
      <c r="AE28" s="848"/>
      <c r="AF28" s="852"/>
      <c r="AG28" s="848"/>
      <c r="AH28" s="846"/>
      <c r="AI28" s="846"/>
      <c r="AJ28" s="846"/>
      <c r="AK28" s="846"/>
      <c r="AL28" s="846"/>
      <c r="AM28" s="846"/>
      <c r="AN28" s="847"/>
      <c r="AO28" s="848"/>
      <c r="AP28" s="846"/>
      <c r="AQ28" s="846"/>
      <c r="AR28" s="846"/>
      <c r="AS28" s="846"/>
      <c r="AT28" s="846"/>
      <c r="AU28" s="846"/>
      <c r="AV28" s="846"/>
      <c r="AW28" s="846"/>
      <c r="AX28" s="847"/>
      <c r="AY28" s="848"/>
      <c r="AZ28" s="846"/>
      <c r="BA28" s="846"/>
      <c r="BB28" s="846"/>
      <c r="BC28" s="846"/>
      <c r="BD28" s="847"/>
      <c r="BE28" s="848"/>
      <c r="BF28" s="846"/>
      <c r="BG28" s="850"/>
      <c r="BI28" s="1329"/>
      <c r="BJ28" s="1330"/>
    </row>
    <row r="29" spans="1:62" ht="11.1" customHeight="1">
      <c r="A29" s="699">
        <v>24</v>
      </c>
      <c r="B29" s="845"/>
      <c r="C29" s="846"/>
      <c r="D29" s="846"/>
      <c r="E29" s="846"/>
      <c r="F29" s="846"/>
      <c r="G29" s="847"/>
      <c r="H29" s="848"/>
      <c r="I29" s="846"/>
      <c r="J29" s="846"/>
      <c r="K29" s="846"/>
      <c r="L29" s="846"/>
      <c r="M29" s="847"/>
      <c r="N29" s="848"/>
      <c r="O29" s="846"/>
      <c r="P29" s="846"/>
      <c r="Q29" s="846"/>
      <c r="R29" s="846"/>
      <c r="S29" s="846"/>
      <c r="T29" s="846"/>
      <c r="U29" s="846"/>
      <c r="V29" s="846"/>
      <c r="W29" s="846"/>
      <c r="X29" s="847"/>
      <c r="Y29" s="848"/>
      <c r="Z29" s="846"/>
      <c r="AA29" s="846"/>
      <c r="AB29" s="846"/>
      <c r="AC29" s="846"/>
      <c r="AD29" s="847"/>
      <c r="AE29" s="848"/>
      <c r="AF29" s="852"/>
      <c r="AG29" s="848"/>
      <c r="AH29" s="846"/>
      <c r="AI29" s="846"/>
      <c r="AJ29" s="846"/>
      <c r="AK29" s="846"/>
      <c r="AL29" s="846"/>
      <c r="AM29" s="846"/>
      <c r="AN29" s="847"/>
      <c r="AO29" s="848"/>
      <c r="AP29" s="846"/>
      <c r="AQ29" s="846"/>
      <c r="AR29" s="846"/>
      <c r="AS29" s="846"/>
      <c r="AT29" s="846"/>
      <c r="AU29" s="846"/>
      <c r="AV29" s="846"/>
      <c r="AW29" s="846"/>
      <c r="AX29" s="847"/>
      <c r="AY29" s="848"/>
      <c r="AZ29" s="846"/>
      <c r="BA29" s="846"/>
      <c r="BB29" s="846"/>
      <c r="BC29" s="846"/>
      <c r="BD29" s="847"/>
      <c r="BE29" s="848"/>
      <c r="BF29" s="846"/>
      <c r="BG29" s="850"/>
      <c r="BI29" s="1329"/>
      <c r="BJ29" s="1330"/>
    </row>
    <row r="30" spans="1:62" ht="11.1" customHeight="1">
      <c r="A30" s="699">
        <v>25</v>
      </c>
      <c r="B30" s="845"/>
      <c r="C30" s="846"/>
      <c r="D30" s="846"/>
      <c r="E30" s="846"/>
      <c r="F30" s="846"/>
      <c r="G30" s="847"/>
      <c r="H30" s="848"/>
      <c r="I30" s="846"/>
      <c r="J30" s="846"/>
      <c r="K30" s="846"/>
      <c r="L30" s="846"/>
      <c r="M30" s="847"/>
      <c r="N30" s="848"/>
      <c r="O30" s="846"/>
      <c r="P30" s="846"/>
      <c r="Q30" s="846"/>
      <c r="R30" s="846"/>
      <c r="S30" s="846"/>
      <c r="T30" s="846"/>
      <c r="U30" s="846"/>
      <c r="V30" s="846"/>
      <c r="W30" s="846"/>
      <c r="X30" s="847"/>
      <c r="Y30" s="848"/>
      <c r="Z30" s="846"/>
      <c r="AA30" s="846"/>
      <c r="AB30" s="846"/>
      <c r="AC30" s="846"/>
      <c r="AD30" s="847"/>
      <c r="AE30" s="848"/>
      <c r="AF30" s="852"/>
      <c r="AG30" s="848"/>
      <c r="AH30" s="846"/>
      <c r="AI30" s="846"/>
      <c r="AJ30" s="846"/>
      <c r="AK30" s="846"/>
      <c r="AL30" s="846"/>
      <c r="AM30" s="846"/>
      <c r="AN30" s="847"/>
      <c r="AO30" s="848"/>
      <c r="AP30" s="846"/>
      <c r="AQ30" s="846"/>
      <c r="AR30" s="846"/>
      <c r="AS30" s="846"/>
      <c r="AT30" s="846"/>
      <c r="AU30" s="846"/>
      <c r="AV30" s="846"/>
      <c r="AW30" s="846"/>
      <c r="AX30" s="847"/>
      <c r="AY30" s="848"/>
      <c r="AZ30" s="846"/>
      <c r="BA30" s="846"/>
      <c r="BB30" s="846"/>
      <c r="BC30" s="846"/>
      <c r="BD30" s="847"/>
      <c r="BE30" s="848"/>
      <c r="BF30" s="846"/>
      <c r="BG30" s="850"/>
      <c r="BI30" s="1329"/>
      <c r="BJ30" s="1330"/>
    </row>
    <row r="31" spans="1:62" ht="11.1" customHeight="1">
      <c r="A31" s="699">
        <v>26</v>
      </c>
      <c r="B31" s="845"/>
      <c r="C31" s="846"/>
      <c r="D31" s="846"/>
      <c r="E31" s="846"/>
      <c r="F31" s="846"/>
      <c r="G31" s="847"/>
      <c r="H31" s="848"/>
      <c r="I31" s="846"/>
      <c r="J31" s="846"/>
      <c r="K31" s="846"/>
      <c r="L31" s="846"/>
      <c r="M31" s="847"/>
      <c r="N31" s="848"/>
      <c r="O31" s="846"/>
      <c r="P31" s="846"/>
      <c r="Q31" s="846"/>
      <c r="R31" s="846"/>
      <c r="S31" s="846"/>
      <c r="T31" s="846"/>
      <c r="U31" s="846"/>
      <c r="V31" s="846"/>
      <c r="W31" s="846"/>
      <c r="X31" s="847"/>
      <c r="Y31" s="848"/>
      <c r="Z31" s="846"/>
      <c r="AA31" s="846"/>
      <c r="AB31" s="846"/>
      <c r="AC31" s="846"/>
      <c r="AD31" s="847"/>
      <c r="AE31" s="848"/>
      <c r="AF31" s="852"/>
      <c r="AG31" s="848"/>
      <c r="AH31" s="846"/>
      <c r="AI31" s="846"/>
      <c r="AJ31" s="846"/>
      <c r="AK31" s="846"/>
      <c r="AL31" s="846"/>
      <c r="AM31" s="846"/>
      <c r="AN31" s="847"/>
      <c r="AO31" s="848"/>
      <c r="AP31" s="846"/>
      <c r="AQ31" s="846"/>
      <c r="AR31" s="846"/>
      <c r="AS31" s="846"/>
      <c r="AT31" s="846"/>
      <c r="AU31" s="846"/>
      <c r="AV31" s="846"/>
      <c r="AW31" s="846"/>
      <c r="AX31" s="847"/>
      <c r="AY31" s="848"/>
      <c r="AZ31" s="846"/>
      <c r="BA31" s="846"/>
      <c r="BB31" s="846"/>
      <c r="BC31" s="846"/>
      <c r="BD31" s="847"/>
      <c r="BE31" s="848"/>
      <c r="BF31" s="846"/>
      <c r="BG31" s="850"/>
      <c r="BI31" s="1329"/>
      <c r="BJ31" s="1330"/>
    </row>
    <row r="32" spans="1:62" ht="11.1" customHeight="1">
      <c r="A32" s="699">
        <v>27</v>
      </c>
      <c r="B32" s="845"/>
      <c r="C32" s="846"/>
      <c r="D32" s="846"/>
      <c r="E32" s="846"/>
      <c r="F32" s="846"/>
      <c r="G32" s="847"/>
      <c r="H32" s="848"/>
      <c r="I32" s="846"/>
      <c r="J32" s="846"/>
      <c r="K32" s="846"/>
      <c r="L32" s="846"/>
      <c r="M32" s="847"/>
      <c r="N32" s="848"/>
      <c r="O32" s="846"/>
      <c r="P32" s="846"/>
      <c r="Q32" s="846"/>
      <c r="R32" s="846"/>
      <c r="S32" s="846"/>
      <c r="T32" s="846"/>
      <c r="U32" s="846"/>
      <c r="V32" s="846"/>
      <c r="W32" s="846"/>
      <c r="X32" s="847"/>
      <c r="Y32" s="848"/>
      <c r="Z32" s="846"/>
      <c r="AA32" s="846"/>
      <c r="AB32" s="846"/>
      <c r="AC32" s="846"/>
      <c r="AD32" s="847"/>
      <c r="AE32" s="848"/>
      <c r="AF32" s="852"/>
      <c r="AG32" s="848"/>
      <c r="AH32" s="846"/>
      <c r="AI32" s="846"/>
      <c r="AJ32" s="846"/>
      <c r="AK32" s="846"/>
      <c r="AL32" s="846"/>
      <c r="AM32" s="846"/>
      <c r="AN32" s="847"/>
      <c r="AO32" s="848"/>
      <c r="AP32" s="846"/>
      <c r="AQ32" s="846"/>
      <c r="AR32" s="846"/>
      <c r="AS32" s="846"/>
      <c r="AT32" s="846"/>
      <c r="AU32" s="846"/>
      <c r="AV32" s="846"/>
      <c r="AW32" s="846"/>
      <c r="AX32" s="847"/>
      <c r="AY32" s="848"/>
      <c r="AZ32" s="846"/>
      <c r="BA32" s="846"/>
      <c r="BB32" s="846"/>
      <c r="BC32" s="846"/>
      <c r="BD32" s="847"/>
      <c r="BE32" s="848"/>
      <c r="BF32" s="846"/>
      <c r="BG32" s="850"/>
      <c r="BI32" s="1329"/>
      <c r="BJ32" s="1330"/>
    </row>
    <row r="33" spans="1:63" ht="11.1" customHeight="1">
      <c r="A33" s="699">
        <v>28</v>
      </c>
      <c r="B33" s="845"/>
      <c r="C33" s="846"/>
      <c r="D33" s="846"/>
      <c r="E33" s="846"/>
      <c r="F33" s="846"/>
      <c r="G33" s="847"/>
      <c r="H33" s="848"/>
      <c r="I33" s="846"/>
      <c r="J33" s="846"/>
      <c r="K33" s="846"/>
      <c r="L33" s="846"/>
      <c r="M33" s="847"/>
      <c r="N33" s="848"/>
      <c r="O33" s="846"/>
      <c r="P33" s="846"/>
      <c r="Q33" s="846"/>
      <c r="R33" s="846"/>
      <c r="S33" s="846"/>
      <c r="T33" s="846"/>
      <c r="U33" s="846"/>
      <c r="V33" s="846"/>
      <c r="W33" s="846"/>
      <c r="X33" s="847"/>
      <c r="Y33" s="848"/>
      <c r="Z33" s="846"/>
      <c r="AA33" s="846"/>
      <c r="AB33" s="846"/>
      <c r="AC33" s="846"/>
      <c r="AD33" s="847"/>
      <c r="AE33" s="848"/>
      <c r="AF33" s="852"/>
      <c r="AG33" s="848"/>
      <c r="AH33" s="846"/>
      <c r="AI33" s="846"/>
      <c r="AJ33" s="846"/>
      <c r="AK33" s="846"/>
      <c r="AL33" s="846"/>
      <c r="AM33" s="846"/>
      <c r="AN33" s="847"/>
      <c r="AO33" s="848"/>
      <c r="AP33" s="846"/>
      <c r="AQ33" s="846"/>
      <c r="AR33" s="846"/>
      <c r="AS33" s="846"/>
      <c r="AT33" s="846"/>
      <c r="AU33" s="846"/>
      <c r="AV33" s="846"/>
      <c r="AW33" s="846"/>
      <c r="AX33" s="847"/>
      <c r="AY33" s="848"/>
      <c r="AZ33" s="846"/>
      <c r="BA33" s="846"/>
      <c r="BB33" s="846"/>
      <c r="BC33" s="846"/>
      <c r="BD33" s="847"/>
      <c r="BE33" s="848"/>
      <c r="BF33" s="846"/>
      <c r="BG33" s="850"/>
      <c r="BI33" s="1329"/>
      <c r="BJ33" s="1330"/>
    </row>
    <row r="34" spans="1:63" ht="11.1" customHeight="1" thickBot="1">
      <c r="A34" s="699">
        <v>29</v>
      </c>
      <c r="B34" s="845"/>
      <c r="C34" s="846"/>
      <c r="D34" s="846"/>
      <c r="E34" s="846"/>
      <c r="F34" s="846"/>
      <c r="G34" s="847"/>
      <c r="H34" s="848"/>
      <c r="I34" s="846"/>
      <c r="J34" s="846"/>
      <c r="K34" s="846"/>
      <c r="L34" s="846"/>
      <c r="M34" s="847"/>
      <c r="N34" s="848"/>
      <c r="O34" s="846"/>
      <c r="P34" s="846"/>
      <c r="Q34" s="846"/>
      <c r="R34" s="846"/>
      <c r="S34" s="846"/>
      <c r="T34" s="846"/>
      <c r="U34" s="846"/>
      <c r="V34" s="846"/>
      <c r="W34" s="846"/>
      <c r="X34" s="847"/>
      <c r="Y34" s="848"/>
      <c r="Z34" s="846"/>
      <c r="AA34" s="846"/>
      <c r="AB34" s="846"/>
      <c r="AC34" s="846"/>
      <c r="AD34" s="847"/>
      <c r="AE34" s="848"/>
      <c r="AF34" s="852"/>
      <c r="AG34" s="848"/>
      <c r="AH34" s="846"/>
      <c r="AI34" s="846"/>
      <c r="AJ34" s="846"/>
      <c r="AK34" s="846"/>
      <c r="AL34" s="846"/>
      <c r="AM34" s="846"/>
      <c r="AN34" s="847"/>
      <c r="AO34" s="848"/>
      <c r="AP34" s="846"/>
      <c r="AQ34" s="846"/>
      <c r="AR34" s="846"/>
      <c r="AS34" s="846"/>
      <c r="AT34" s="846"/>
      <c r="AU34" s="846"/>
      <c r="AV34" s="846"/>
      <c r="AW34" s="846"/>
      <c r="AX34" s="847"/>
      <c r="AY34" s="848"/>
      <c r="AZ34" s="846"/>
      <c r="BA34" s="846"/>
      <c r="BB34" s="846"/>
      <c r="BC34" s="846"/>
      <c r="BD34" s="847"/>
      <c r="BE34" s="848"/>
      <c r="BF34" s="846"/>
      <c r="BG34" s="850"/>
      <c r="BI34" s="1331"/>
      <c r="BJ34" s="1332"/>
    </row>
    <row r="35" spans="1:63" ht="11.1" customHeight="1">
      <c r="A35" s="699">
        <v>30</v>
      </c>
      <c r="B35" s="845"/>
      <c r="C35" s="846"/>
      <c r="D35" s="846"/>
      <c r="E35" s="846"/>
      <c r="F35" s="846"/>
      <c r="G35" s="847"/>
      <c r="H35" s="848"/>
      <c r="I35" s="846"/>
      <c r="J35" s="846"/>
      <c r="K35" s="846"/>
      <c r="L35" s="846"/>
      <c r="M35" s="847"/>
      <c r="N35" s="848"/>
      <c r="O35" s="846"/>
      <c r="P35" s="846"/>
      <c r="Q35" s="846"/>
      <c r="R35" s="846"/>
      <c r="S35" s="846"/>
      <c r="T35" s="846"/>
      <c r="U35" s="846"/>
      <c r="V35" s="846"/>
      <c r="W35" s="846"/>
      <c r="X35" s="847"/>
      <c r="Y35" s="848"/>
      <c r="Z35" s="846"/>
      <c r="AA35" s="846"/>
      <c r="AB35" s="846"/>
      <c r="AC35" s="846"/>
      <c r="AD35" s="847"/>
      <c r="AE35" s="848"/>
      <c r="AF35" s="852"/>
      <c r="AG35" s="848"/>
      <c r="AH35" s="846"/>
      <c r="AI35" s="846"/>
      <c r="AJ35" s="846"/>
      <c r="AK35" s="846"/>
      <c r="AL35" s="846"/>
      <c r="AM35" s="846"/>
      <c r="AN35" s="847"/>
      <c r="AO35" s="848"/>
      <c r="AP35" s="846"/>
      <c r="AQ35" s="846"/>
      <c r="AR35" s="846"/>
      <c r="AS35" s="846"/>
      <c r="AT35" s="846"/>
      <c r="AU35" s="846"/>
      <c r="AV35" s="846"/>
      <c r="AW35" s="846"/>
      <c r="AX35" s="847"/>
      <c r="AY35" s="848"/>
      <c r="AZ35" s="846"/>
      <c r="BA35" s="846"/>
      <c r="BB35" s="846"/>
      <c r="BC35" s="846"/>
      <c r="BD35" s="847"/>
      <c r="BE35" s="848"/>
      <c r="BF35" s="846"/>
      <c r="BG35" s="850"/>
    </row>
    <row r="36" spans="1:63" ht="11.1" customHeight="1">
      <c r="A36" s="699">
        <v>31</v>
      </c>
      <c r="B36" s="845"/>
      <c r="C36" s="846"/>
      <c r="D36" s="846"/>
      <c r="E36" s="846"/>
      <c r="F36" s="846"/>
      <c r="G36" s="847"/>
      <c r="H36" s="848"/>
      <c r="I36" s="846"/>
      <c r="J36" s="846"/>
      <c r="K36" s="846"/>
      <c r="L36" s="846"/>
      <c r="M36" s="847"/>
      <c r="N36" s="848"/>
      <c r="O36" s="846"/>
      <c r="P36" s="846"/>
      <c r="Q36" s="846"/>
      <c r="R36" s="846"/>
      <c r="S36" s="846"/>
      <c r="T36" s="846"/>
      <c r="U36" s="846"/>
      <c r="V36" s="846"/>
      <c r="W36" s="846"/>
      <c r="X36" s="847"/>
      <c r="Y36" s="848"/>
      <c r="Z36" s="846"/>
      <c r="AA36" s="846"/>
      <c r="AB36" s="846"/>
      <c r="AC36" s="846"/>
      <c r="AD36" s="847"/>
      <c r="AE36" s="848"/>
      <c r="AF36" s="852"/>
      <c r="AG36" s="848"/>
      <c r="AH36" s="846"/>
      <c r="AI36" s="846"/>
      <c r="AJ36" s="846"/>
      <c r="AK36" s="846"/>
      <c r="AL36" s="846"/>
      <c r="AM36" s="846"/>
      <c r="AN36" s="847"/>
      <c r="AO36" s="848"/>
      <c r="AP36" s="846"/>
      <c r="AQ36" s="846"/>
      <c r="AR36" s="846"/>
      <c r="AS36" s="846"/>
      <c r="AT36" s="846"/>
      <c r="AU36" s="846"/>
      <c r="AV36" s="846"/>
      <c r="AW36" s="846"/>
      <c r="AX36" s="847"/>
      <c r="AY36" s="848"/>
      <c r="AZ36" s="846"/>
      <c r="BA36" s="846"/>
      <c r="BB36" s="846"/>
      <c r="BC36" s="846"/>
      <c r="BD36" s="847"/>
      <c r="BE36" s="848"/>
      <c r="BF36" s="846"/>
      <c r="BG36" s="850"/>
    </row>
    <row r="37" spans="1:63" ht="11.1" customHeight="1">
      <c r="A37" s="699">
        <v>32</v>
      </c>
      <c r="B37" s="845"/>
      <c r="C37" s="846"/>
      <c r="D37" s="846"/>
      <c r="E37" s="846"/>
      <c r="F37" s="846"/>
      <c r="G37" s="847"/>
      <c r="H37" s="848"/>
      <c r="I37" s="846"/>
      <c r="J37" s="846"/>
      <c r="K37" s="846"/>
      <c r="L37" s="846"/>
      <c r="M37" s="847"/>
      <c r="N37" s="848"/>
      <c r="O37" s="846"/>
      <c r="P37" s="846"/>
      <c r="Q37" s="846"/>
      <c r="R37" s="846"/>
      <c r="S37" s="846"/>
      <c r="T37" s="846"/>
      <c r="U37" s="846"/>
      <c r="V37" s="846"/>
      <c r="W37" s="846"/>
      <c r="X37" s="847"/>
      <c r="Y37" s="848"/>
      <c r="Z37" s="846"/>
      <c r="AA37" s="846"/>
      <c r="AB37" s="846"/>
      <c r="AC37" s="846"/>
      <c r="AD37" s="847"/>
      <c r="AE37" s="848"/>
      <c r="AF37" s="852"/>
      <c r="AG37" s="848"/>
      <c r="AH37" s="846"/>
      <c r="AI37" s="846"/>
      <c r="AJ37" s="846"/>
      <c r="AK37" s="846"/>
      <c r="AL37" s="846"/>
      <c r="AM37" s="846"/>
      <c r="AN37" s="847"/>
      <c r="AO37" s="848"/>
      <c r="AP37" s="846"/>
      <c r="AQ37" s="846"/>
      <c r="AR37" s="846"/>
      <c r="AS37" s="846"/>
      <c r="AT37" s="846"/>
      <c r="AU37" s="846"/>
      <c r="AV37" s="846"/>
      <c r="AW37" s="846"/>
      <c r="AX37" s="847"/>
      <c r="AY37" s="848"/>
      <c r="AZ37" s="846"/>
      <c r="BA37" s="846"/>
      <c r="BB37" s="846"/>
      <c r="BC37" s="846"/>
      <c r="BD37" s="847"/>
      <c r="BE37" s="848"/>
      <c r="BF37" s="846"/>
      <c r="BG37" s="850"/>
    </row>
    <row r="38" spans="1:63" ht="11.1" customHeight="1">
      <c r="A38" s="699">
        <v>33</v>
      </c>
      <c r="B38" s="845"/>
      <c r="C38" s="846"/>
      <c r="D38" s="846"/>
      <c r="E38" s="846"/>
      <c r="F38" s="846"/>
      <c r="G38" s="847"/>
      <c r="H38" s="848"/>
      <c r="I38" s="846"/>
      <c r="J38" s="846"/>
      <c r="K38" s="846"/>
      <c r="L38" s="846"/>
      <c r="M38" s="847"/>
      <c r="N38" s="848"/>
      <c r="O38" s="846"/>
      <c r="P38" s="846"/>
      <c r="Q38" s="846"/>
      <c r="R38" s="846"/>
      <c r="S38" s="846"/>
      <c r="T38" s="846"/>
      <c r="U38" s="846"/>
      <c r="V38" s="846"/>
      <c r="W38" s="846"/>
      <c r="X38" s="847"/>
      <c r="Y38" s="848"/>
      <c r="Z38" s="846"/>
      <c r="AA38" s="846"/>
      <c r="AB38" s="846"/>
      <c r="AC38" s="846"/>
      <c r="AD38" s="847"/>
      <c r="AE38" s="848"/>
      <c r="AF38" s="852"/>
      <c r="AG38" s="848"/>
      <c r="AH38" s="846"/>
      <c r="AI38" s="846"/>
      <c r="AJ38" s="846"/>
      <c r="AK38" s="846"/>
      <c r="AL38" s="846"/>
      <c r="AM38" s="846"/>
      <c r="AN38" s="847"/>
      <c r="AO38" s="848"/>
      <c r="AP38" s="846"/>
      <c r="AQ38" s="846"/>
      <c r="AR38" s="846"/>
      <c r="AS38" s="846"/>
      <c r="AT38" s="846"/>
      <c r="AU38" s="846"/>
      <c r="AV38" s="846"/>
      <c r="AW38" s="846"/>
      <c r="AX38" s="847"/>
      <c r="AY38" s="848"/>
      <c r="AZ38" s="846"/>
      <c r="BA38" s="846"/>
      <c r="BB38" s="846"/>
      <c r="BC38" s="846"/>
      <c r="BD38" s="847"/>
      <c r="BE38" s="848"/>
      <c r="BF38" s="846"/>
      <c r="BG38" s="850"/>
    </row>
    <row r="39" spans="1:63" ht="11.1" customHeight="1">
      <c r="A39" s="699">
        <v>34</v>
      </c>
      <c r="B39" s="845"/>
      <c r="C39" s="846"/>
      <c r="D39" s="846"/>
      <c r="E39" s="846"/>
      <c r="F39" s="846"/>
      <c r="G39" s="847"/>
      <c r="H39" s="848"/>
      <c r="I39" s="846"/>
      <c r="J39" s="846"/>
      <c r="K39" s="846"/>
      <c r="L39" s="846"/>
      <c r="M39" s="847"/>
      <c r="N39" s="848"/>
      <c r="O39" s="846"/>
      <c r="P39" s="846"/>
      <c r="Q39" s="846"/>
      <c r="R39" s="846"/>
      <c r="S39" s="846"/>
      <c r="T39" s="846"/>
      <c r="U39" s="846"/>
      <c r="V39" s="846"/>
      <c r="W39" s="846"/>
      <c r="X39" s="847"/>
      <c r="Y39" s="848"/>
      <c r="Z39" s="846"/>
      <c r="AA39" s="846"/>
      <c r="AB39" s="846"/>
      <c r="AC39" s="846"/>
      <c r="AD39" s="847"/>
      <c r="AE39" s="848"/>
      <c r="AF39" s="852"/>
      <c r="AG39" s="848"/>
      <c r="AH39" s="846"/>
      <c r="AI39" s="846"/>
      <c r="AJ39" s="846"/>
      <c r="AK39" s="846"/>
      <c r="AL39" s="846"/>
      <c r="AM39" s="846"/>
      <c r="AN39" s="847"/>
      <c r="AO39" s="848"/>
      <c r="AP39" s="846"/>
      <c r="AQ39" s="846"/>
      <c r="AR39" s="846"/>
      <c r="AS39" s="846"/>
      <c r="AT39" s="846"/>
      <c r="AU39" s="846"/>
      <c r="AV39" s="846"/>
      <c r="AW39" s="846"/>
      <c r="AX39" s="847"/>
      <c r="AY39" s="848"/>
      <c r="AZ39" s="846"/>
      <c r="BA39" s="846"/>
      <c r="BB39" s="846"/>
      <c r="BC39" s="846"/>
      <c r="BD39" s="847"/>
      <c r="BE39" s="848"/>
      <c r="BF39" s="846"/>
      <c r="BG39" s="850"/>
    </row>
    <row r="40" spans="1:63" ht="11.1" customHeight="1">
      <c r="A40" s="699">
        <v>35</v>
      </c>
      <c r="B40" s="845"/>
      <c r="C40" s="846"/>
      <c r="D40" s="846"/>
      <c r="E40" s="846"/>
      <c r="F40" s="846"/>
      <c r="G40" s="847"/>
      <c r="H40" s="848"/>
      <c r="I40" s="846"/>
      <c r="J40" s="846"/>
      <c r="K40" s="846"/>
      <c r="L40" s="846"/>
      <c r="M40" s="847"/>
      <c r="N40" s="848"/>
      <c r="O40" s="846"/>
      <c r="P40" s="846"/>
      <c r="Q40" s="846"/>
      <c r="R40" s="846"/>
      <c r="S40" s="846"/>
      <c r="T40" s="846"/>
      <c r="U40" s="846"/>
      <c r="V40" s="846"/>
      <c r="W40" s="846"/>
      <c r="X40" s="847"/>
      <c r="Y40" s="848"/>
      <c r="Z40" s="846"/>
      <c r="AA40" s="846"/>
      <c r="AB40" s="846"/>
      <c r="AC40" s="846"/>
      <c r="AD40" s="847"/>
      <c r="AE40" s="848"/>
      <c r="AF40" s="852"/>
      <c r="AG40" s="848"/>
      <c r="AH40" s="846"/>
      <c r="AI40" s="846"/>
      <c r="AJ40" s="846"/>
      <c r="AK40" s="846"/>
      <c r="AL40" s="846"/>
      <c r="AM40" s="846"/>
      <c r="AN40" s="847"/>
      <c r="AO40" s="848"/>
      <c r="AP40" s="846"/>
      <c r="AQ40" s="846"/>
      <c r="AR40" s="846"/>
      <c r="AS40" s="846"/>
      <c r="AT40" s="846"/>
      <c r="AU40" s="846"/>
      <c r="AV40" s="846"/>
      <c r="AW40" s="846"/>
      <c r="AX40" s="847"/>
      <c r="AY40" s="848"/>
      <c r="AZ40" s="846"/>
      <c r="BA40" s="846"/>
      <c r="BB40" s="846"/>
      <c r="BC40" s="846"/>
      <c r="BD40" s="847"/>
      <c r="BE40" s="848"/>
      <c r="BF40" s="846"/>
      <c r="BG40" s="850"/>
    </row>
    <row r="41" spans="1:63" ht="11.1" customHeight="1">
      <c r="A41" s="699">
        <v>36</v>
      </c>
      <c r="B41" s="845"/>
      <c r="C41" s="846"/>
      <c r="D41" s="846"/>
      <c r="E41" s="846"/>
      <c r="F41" s="846"/>
      <c r="G41" s="847"/>
      <c r="H41" s="848"/>
      <c r="I41" s="846"/>
      <c r="J41" s="846"/>
      <c r="K41" s="846"/>
      <c r="L41" s="846"/>
      <c r="M41" s="847"/>
      <c r="N41" s="848"/>
      <c r="O41" s="846"/>
      <c r="P41" s="846"/>
      <c r="Q41" s="846"/>
      <c r="R41" s="846"/>
      <c r="S41" s="846"/>
      <c r="T41" s="846"/>
      <c r="U41" s="846"/>
      <c r="V41" s="846"/>
      <c r="W41" s="846"/>
      <c r="X41" s="847"/>
      <c r="Y41" s="848"/>
      <c r="Z41" s="846"/>
      <c r="AA41" s="846"/>
      <c r="AB41" s="846"/>
      <c r="AC41" s="846"/>
      <c r="AD41" s="847"/>
      <c r="AE41" s="848"/>
      <c r="AF41" s="852"/>
      <c r="AG41" s="848"/>
      <c r="AH41" s="846"/>
      <c r="AI41" s="846"/>
      <c r="AJ41" s="846"/>
      <c r="AK41" s="846"/>
      <c r="AL41" s="846"/>
      <c r="AM41" s="846"/>
      <c r="AN41" s="847"/>
      <c r="AO41" s="848"/>
      <c r="AP41" s="846"/>
      <c r="AQ41" s="846"/>
      <c r="AR41" s="846"/>
      <c r="AS41" s="846"/>
      <c r="AT41" s="846"/>
      <c r="AU41" s="846"/>
      <c r="AV41" s="846"/>
      <c r="AW41" s="846"/>
      <c r="AX41" s="847"/>
      <c r="AY41" s="848"/>
      <c r="AZ41" s="846"/>
      <c r="BA41" s="846"/>
      <c r="BB41" s="846"/>
      <c r="BC41" s="846"/>
      <c r="BD41" s="847"/>
      <c r="BE41" s="848"/>
      <c r="BF41" s="846"/>
      <c r="BG41" s="850"/>
    </row>
    <row r="42" spans="1:63" ht="11.1" customHeight="1">
      <c r="A42" s="699">
        <v>37</v>
      </c>
      <c r="B42" s="845"/>
      <c r="C42" s="846"/>
      <c r="D42" s="846"/>
      <c r="E42" s="846"/>
      <c r="F42" s="846"/>
      <c r="G42" s="847"/>
      <c r="H42" s="848"/>
      <c r="I42" s="846"/>
      <c r="J42" s="846"/>
      <c r="K42" s="846"/>
      <c r="L42" s="846"/>
      <c r="M42" s="847"/>
      <c r="N42" s="848"/>
      <c r="O42" s="846"/>
      <c r="P42" s="846"/>
      <c r="Q42" s="846"/>
      <c r="R42" s="846"/>
      <c r="S42" s="846"/>
      <c r="T42" s="846"/>
      <c r="U42" s="846"/>
      <c r="V42" s="846"/>
      <c r="W42" s="846"/>
      <c r="X42" s="847"/>
      <c r="Y42" s="848"/>
      <c r="Z42" s="846"/>
      <c r="AA42" s="846"/>
      <c r="AB42" s="846"/>
      <c r="AC42" s="846"/>
      <c r="AD42" s="847"/>
      <c r="AE42" s="848"/>
      <c r="AF42" s="852"/>
      <c r="AG42" s="848"/>
      <c r="AH42" s="846"/>
      <c r="AI42" s="846"/>
      <c r="AJ42" s="846"/>
      <c r="AK42" s="846"/>
      <c r="AL42" s="846"/>
      <c r="AM42" s="846"/>
      <c r="AN42" s="847"/>
      <c r="AO42" s="848"/>
      <c r="AP42" s="846"/>
      <c r="AQ42" s="846"/>
      <c r="AR42" s="846"/>
      <c r="AS42" s="846"/>
      <c r="AT42" s="846"/>
      <c r="AU42" s="846"/>
      <c r="AV42" s="846"/>
      <c r="AW42" s="846"/>
      <c r="AX42" s="847"/>
      <c r="AY42" s="848"/>
      <c r="AZ42" s="846"/>
      <c r="BA42" s="846"/>
      <c r="BB42" s="846"/>
      <c r="BC42" s="846"/>
      <c r="BD42" s="847"/>
      <c r="BE42" s="848"/>
      <c r="BF42" s="846"/>
      <c r="BG42" s="850"/>
    </row>
    <row r="43" spans="1:63" ht="11.1" customHeight="1">
      <c r="A43" s="699">
        <v>38</v>
      </c>
      <c r="B43" s="845"/>
      <c r="C43" s="846"/>
      <c r="D43" s="846"/>
      <c r="E43" s="846"/>
      <c r="F43" s="846"/>
      <c r="G43" s="847"/>
      <c r="H43" s="848"/>
      <c r="I43" s="846"/>
      <c r="J43" s="846"/>
      <c r="K43" s="846"/>
      <c r="L43" s="846"/>
      <c r="M43" s="847"/>
      <c r="N43" s="848"/>
      <c r="O43" s="846"/>
      <c r="P43" s="846"/>
      <c r="Q43" s="846"/>
      <c r="R43" s="846"/>
      <c r="S43" s="846"/>
      <c r="T43" s="846"/>
      <c r="U43" s="846"/>
      <c r="V43" s="846"/>
      <c r="W43" s="846"/>
      <c r="X43" s="847"/>
      <c r="Y43" s="848"/>
      <c r="Z43" s="846"/>
      <c r="AA43" s="846"/>
      <c r="AB43" s="846"/>
      <c r="AC43" s="846"/>
      <c r="AD43" s="847"/>
      <c r="AE43" s="848"/>
      <c r="AF43" s="852"/>
      <c r="AG43" s="848"/>
      <c r="AH43" s="846"/>
      <c r="AI43" s="846"/>
      <c r="AJ43" s="846"/>
      <c r="AK43" s="846"/>
      <c r="AL43" s="846"/>
      <c r="AM43" s="846"/>
      <c r="AN43" s="847"/>
      <c r="AO43" s="848"/>
      <c r="AP43" s="846"/>
      <c r="AQ43" s="846"/>
      <c r="AR43" s="846"/>
      <c r="AS43" s="846"/>
      <c r="AT43" s="846"/>
      <c r="AU43" s="846"/>
      <c r="AV43" s="846"/>
      <c r="AW43" s="846"/>
      <c r="AX43" s="847"/>
      <c r="AY43" s="848"/>
      <c r="AZ43" s="846"/>
      <c r="BA43" s="846"/>
      <c r="BB43" s="846"/>
      <c r="BC43" s="846"/>
      <c r="BD43" s="847"/>
      <c r="BE43" s="848"/>
      <c r="BF43" s="846"/>
      <c r="BG43" s="850"/>
    </row>
    <row r="44" spans="1:63" ht="11.1" customHeight="1">
      <c r="A44" s="699">
        <v>39</v>
      </c>
      <c r="B44" s="845"/>
      <c r="C44" s="846"/>
      <c r="D44" s="846"/>
      <c r="E44" s="846"/>
      <c r="F44" s="846"/>
      <c r="G44" s="847"/>
      <c r="H44" s="848"/>
      <c r="I44" s="846"/>
      <c r="J44" s="846"/>
      <c r="K44" s="846"/>
      <c r="L44" s="846"/>
      <c r="M44" s="847"/>
      <c r="N44" s="848"/>
      <c r="O44" s="846"/>
      <c r="P44" s="846"/>
      <c r="Q44" s="846"/>
      <c r="R44" s="846"/>
      <c r="S44" s="846"/>
      <c r="T44" s="846"/>
      <c r="U44" s="846"/>
      <c r="V44" s="846"/>
      <c r="W44" s="846"/>
      <c r="X44" s="847"/>
      <c r="Y44" s="848"/>
      <c r="Z44" s="846"/>
      <c r="AA44" s="846"/>
      <c r="AB44" s="846"/>
      <c r="AC44" s="846"/>
      <c r="AD44" s="847"/>
      <c r="AE44" s="848"/>
      <c r="AF44" s="852"/>
      <c r="AG44" s="848"/>
      <c r="AH44" s="846"/>
      <c r="AI44" s="846"/>
      <c r="AJ44" s="846"/>
      <c r="AK44" s="846"/>
      <c r="AL44" s="846"/>
      <c r="AM44" s="846"/>
      <c r="AN44" s="847"/>
      <c r="AO44" s="848"/>
      <c r="AP44" s="846"/>
      <c r="AQ44" s="846"/>
      <c r="AR44" s="846"/>
      <c r="AS44" s="846"/>
      <c r="AT44" s="846"/>
      <c r="AU44" s="846"/>
      <c r="AV44" s="846"/>
      <c r="AW44" s="846"/>
      <c r="AX44" s="847"/>
      <c r="AY44" s="848"/>
      <c r="AZ44" s="846"/>
      <c r="BA44" s="846"/>
      <c r="BB44" s="846"/>
      <c r="BC44" s="846"/>
      <c r="BD44" s="847"/>
      <c r="BE44" s="848"/>
      <c r="BF44" s="846"/>
      <c r="BG44" s="850"/>
    </row>
    <row r="45" spans="1:63" ht="11.1" customHeight="1" thickBot="1">
      <c r="A45" s="700">
        <v>40</v>
      </c>
      <c r="B45" s="853"/>
      <c r="C45" s="854"/>
      <c r="D45" s="854"/>
      <c r="E45" s="854"/>
      <c r="F45" s="854"/>
      <c r="G45" s="855"/>
      <c r="H45" s="856"/>
      <c r="I45" s="854"/>
      <c r="J45" s="854"/>
      <c r="K45" s="854"/>
      <c r="L45" s="854"/>
      <c r="M45" s="855"/>
      <c r="N45" s="856"/>
      <c r="O45" s="854"/>
      <c r="P45" s="854"/>
      <c r="Q45" s="854"/>
      <c r="R45" s="854"/>
      <c r="S45" s="854"/>
      <c r="T45" s="854"/>
      <c r="U45" s="854"/>
      <c r="V45" s="854"/>
      <c r="W45" s="854"/>
      <c r="X45" s="855"/>
      <c r="Y45" s="856"/>
      <c r="Z45" s="854"/>
      <c r="AA45" s="854"/>
      <c r="AB45" s="854"/>
      <c r="AC45" s="854"/>
      <c r="AD45" s="855"/>
      <c r="AE45" s="856"/>
      <c r="AF45" s="857"/>
      <c r="AG45" s="856"/>
      <c r="AH45" s="854"/>
      <c r="AI45" s="854"/>
      <c r="AJ45" s="854"/>
      <c r="AK45" s="854"/>
      <c r="AL45" s="854"/>
      <c r="AM45" s="854"/>
      <c r="AN45" s="855"/>
      <c r="AO45" s="856"/>
      <c r="AP45" s="854"/>
      <c r="AQ45" s="854"/>
      <c r="AR45" s="854"/>
      <c r="AS45" s="854"/>
      <c r="AT45" s="854"/>
      <c r="AU45" s="854"/>
      <c r="AV45" s="854"/>
      <c r="AW45" s="854"/>
      <c r="AX45" s="855"/>
      <c r="AY45" s="856"/>
      <c r="AZ45" s="854"/>
      <c r="BA45" s="854"/>
      <c r="BB45" s="854"/>
      <c r="BC45" s="854"/>
      <c r="BD45" s="855"/>
      <c r="BE45" s="856"/>
      <c r="BF45" s="854"/>
      <c r="BG45" s="858"/>
    </row>
    <row r="46" spans="1:63" ht="15" customHeight="1" thickBot="1">
      <c r="A46" s="692" t="s">
        <v>101</v>
      </c>
      <c r="B46" s="701">
        <f t="shared" ref="B46:AE46" si="4">SUM(B6:B45)</f>
        <v>0</v>
      </c>
      <c r="C46" s="702">
        <f t="shared" si="4"/>
        <v>0</v>
      </c>
      <c r="D46" s="702">
        <f t="shared" si="4"/>
        <v>0</v>
      </c>
      <c r="E46" s="702">
        <f t="shared" si="4"/>
        <v>0</v>
      </c>
      <c r="F46" s="702">
        <f t="shared" si="4"/>
        <v>0</v>
      </c>
      <c r="G46" s="703">
        <f t="shared" si="4"/>
        <v>0</v>
      </c>
      <c r="H46" s="701">
        <f t="shared" si="4"/>
        <v>0</v>
      </c>
      <c r="I46" s="702">
        <f t="shared" si="4"/>
        <v>0</v>
      </c>
      <c r="J46" s="702">
        <f t="shared" si="4"/>
        <v>0</v>
      </c>
      <c r="K46" s="702">
        <f t="shared" si="4"/>
        <v>0</v>
      </c>
      <c r="L46" s="702">
        <f t="shared" si="4"/>
        <v>0</v>
      </c>
      <c r="M46" s="702">
        <f t="shared" si="4"/>
        <v>0</v>
      </c>
      <c r="N46" s="701">
        <f t="shared" si="4"/>
        <v>0</v>
      </c>
      <c r="O46" s="702">
        <f t="shared" si="4"/>
        <v>0</v>
      </c>
      <c r="P46" s="702">
        <f t="shared" si="4"/>
        <v>0</v>
      </c>
      <c r="Q46" s="702">
        <f t="shared" si="4"/>
        <v>0</v>
      </c>
      <c r="R46" s="702">
        <f t="shared" si="4"/>
        <v>0</v>
      </c>
      <c r="S46" s="702">
        <f t="shared" si="4"/>
        <v>0</v>
      </c>
      <c r="T46" s="702">
        <f t="shared" ref="T46" si="5">SUM(T6:T45)</f>
        <v>0</v>
      </c>
      <c r="U46" s="702">
        <f t="shared" si="4"/>
        <v>0</v>
      </c>
      <c r="V46" s="702">
        <f t="shared" si="4"/>
        <v>0</v>
      </c>
      <c r="W46" s="702">
        <f t="shared" ref="W46:X46" si="6">SUM(W6:W45)</f>
        <v>0</v>
      </c>
      <c r="X46" s="703">
        <f t="shared" si="6"/>
        <v>0</v>
      </c>
      <c r="Y46" s="701">
        <f t="shared" si="4"/>
        <v>0</v>
      </c>
      <c r="Z46" s="702">
        <f t="shared" si="4"/>
        <v>0</v>
      </c>
      <c r="AA46" s="702">
        <f t="shared" si="4"/>
        <v>0</v>
      </c>
      <c r="AB46" s="702">
        <f t="shared" si="4"/>
        <v>0</v>
      </c>
      <c r="AC46" s="702">
        <f t="shared" si="4"/>
        <v>0</v>
      </c>
      <c r="AD46" s="703">
        <f t="shared" si="4"/>
        <v>0</v>
      </c>
      <c r="AE46" s="701">
        <f t="shared" si="4"/>
        <v>0</v>
      </c>
      <c r="AF46" s="703">
        <f>SUM(AF6:AF45)</f>
        <v>1</v>
      </c>
      <c r="AG46" s="701">
        <f t="shared" ref="AG46:BC46" si="7">SUM(AG6:AG45)</f>
        <v>0</v>
      </c>
      <c r="AH46" s="702">
        <f t="shared" si="7"/>
        <v>0</v>
      </c>
      <c r="AI46" s="702">
        <f t="shared" si="7"/>
        <v>0</v>
      </c>
      <c r="AJ46" s="702">
        <f t="shared" si="7"/>
        <v>0</v>
      </c>
      <c r="AK46" s="702">
        <f>SUM(AK6:AK45)</f>
        <v>0</v>
      </c>
      <c r="AL46" s="702">
        <f t="shared" si="7"/>
        <v>0</v>
      </c>
      <c r="AM46" s="702">
        <f t="shared" si="7"/>
        <v>0</v>
      </c>
      <c r="AN46" s="703">
        <f t="shared" si="7"/>
        <v>0</v>
      </c>
      <c r="AO46" s="701">
        <f t="shared" si="7"/>
        <v>0</v>
      </c>
      <c r="AP46" s="702">
        <f t="shared" si="7"/>
        <v>0</v>
      </c>
      <c r="AQ46" s="702">
        <f t="shared" si="7"/>
        <v>0</v>
      </c>
      <c r="AR46" s="702">
        <f t="shared" si="7"/>
        <v>0</v>
      </c>
      <c r="AS46" s="702">
        <f t="shared" si="7"/>
        <v>0</v>
      </c>
      <c r="AT46" s="702">
        <f t="shared" si="7"/>
        <v>0</v>
      </c>
      <c r="AU46" s="702">
        <f t="shared" si="7"/>
        <v>0</v>
      </c>
      <c r="AV46" s="702">
        <f t="shared" si="7"/>
        <v>0</v>
      </c>
      <c r="AW46" s="702">
        <f t="shared" si="7"/>
        <v>0</v>
      </c>
      <c r="AX46" s="703">
        <f t="shared" si="7"/>
        <v>0</v>
      </c>
      <c r="AY46" s="701">
        <f t="shared" si="7"/>
        <v>0</v>
      </c>
      <c r="AZ46" s="702">
        <f t="shared" si="7"/>
        <v>0</v>
      </c>
      <c r="BA46" s="702">
        <f t="shared" si="7"/>
        <v>0</v>
      </c>
      <c r="BB46" s="702">
        <f t="shared" si="7"/>
        <v>0</v>
      </c>
      <c r="BC46" s="702">
        <f t="shared" si="7"/>
        <v>0</v>
      </c>
      <c r="BD46" s="703">
        <f>SUM(BD6:BD45)</f>
        <v>0</v>
      </c>
      <c r="BE46" s="701">
        <f>SUM(BE6:BE45)</f>
        <v>0</v>
      </c>
      <c r="BF46" s="702">
        <f t="shared" ref="BF46:BG46" si="8">SUM(BF6:BF45)</f>
        <v>0</v>
      </c>
      <c r="BG46" s="703">
        <f t="shared" si="8"/>
        <v>0</v>
      </c>
    </row>
    <row r="47" spans="1:63" s="136" customFormat="1" ht="11.1" customHeight="1">
      <c r="A47" s="963"/>
      <c r="B47" s="963"/>
      <c r="C47" s="963"/>
      <c r="D47" s="963"/>
      <c r="E47" s="963"/>
      <c r="F47" s="963"/>
      <c r="G47" s="963"/>
      <c r="H47" s="963">
        <f t="array" ref="H47">MAX(IF(ISBLANK(Paramètres!$H$6:$H$45),0,ROW(Paramètres!$H$6:$H$45)))-5</f>
        <v>-5</v>
      </c>
      <c r="I47" s="963">
        <f t="array" ref="I47">MAX(IF(ISBLANK(Paramètres!$I$6:$I$45),0,ROW(Paramètres!$I$6:$I$45)))-5</f>
        <v>-5</v>
      </c>
      <c r="J47" s="963"/>
      <c r="K47" s="963"/>
      <c r="L47" s="963">
        <f t="array" ref="L47">MAX(IF(ISBLANK(Paramètres!$L$6:$L$45),0,ROW(Paramètres!$L$6:$L$45)))-5</f>
        <v>-5</v>
      </c>
      <c r="M47" s="963">
        <f t="array" ref="M47">MAX(IF(ISBLANK(Paramètres!$M$6:$M$45),0,ROW(Paramètres!$M$6:$M$45)))-5</f>
        <v>-5</v>
      </c>
      <c r="N47" s="963"/>
      <c r="O47" s="963"/>
      <c r="P47" s="963"/>
      <c r="Q47" s="963"/>
      <c r="R47" s="963"/>
      <c r="S47" s="963"/>
      <c r="T47" s="963"/>
      <c r="U47" s="963"/>
      <c r="V47" s="963"/>
      <c r="W47" s="963"/>
      <c r="X47" s="963"/>
      <c r="Y47" s="963"/>
      <c r="Z47" s="963"/>
      <c r="AA47" s="963"/>
      <c r="AB47" s="963"/>
      <c r="AC47" s="963"/>
      <c r="AD47" s="963"/>
      <c r="AE47" s="963"/>
      <c r="AF47" s="963"/>
      <c r="AG47" s="963"/>
      <c r="AH47" s="963"/>
      <c r="AI47" s="963"/>
      <c r="AJ47" s="963"/>
      <c r="AK47" s="963"/>
      <c r="AL47" s="963"/>
      <c r="AM47" s="963"/>
      <c r="AN47" s="963"/>
      <c r="AO47" s="963"/>
      <c r="AP47" s="963"/>
      <c r="AQ47" s="963"/>
      <c r="AR47" s="963"/>
      <c r="AS47" s="963"/>
      <c r="AT47" s="963"/>
      <c r="AU47" s="963"/>
      <c r="AV47" s="963"/>
      <c r="AW47" s="963"/>
      <c r="AX47" s="963"/>
      <c r="AY47" s="963"/>
      <c r="AZ47" s="963"/>
      <c r="BA47" s="963"/>
      <c r="BB47" s="963"/>
      <c r="BC47" s="963"/>
      <c r="BD47" s="963"/>
      <c r="BE47" s="963"/>
      <c r="BF47" s="963"/>
      <c r="BG47" s="963"/>
      <c r="BI47" s="654"/>
      <c r="BK47" s="1333"/>
    </row>
    <row r="48" spans="1:63" s="132" customFormat="1" ht="11.1" hidden="1" customHeight="1" thickBot="1">
      <c r="A48" s="232" t="s">
        <v>30</v>
      </c>
      <c r="B48" s="496" t="s">
        <v>463</v>
      </c>
      <c r="C48" s="496" t="s">
        <v>463</v>
      </c>
      <c r="D48" s="496" t="s">
        <v>463</v>
      </c>
      <c r="E48" s="496" t="s">
        <v>463</v>
      </c>
      <c r="F48" s="496" t="s">
        <v>463</v>
      </c>
      <c r="G48" s="496" t="s">
        <v>463</v>
      </c>
      <c r="H48" s="496" t="s">
        <v>463</v>
      </c>
      <c r="I48" s="496" t="s">
        <v>463</v>
      </c>
      <c r="J48" s="496" t="s">
        <v>463</v>
      </c>
      <c r="K48" s="496" t="s">
        <v>463</v>
      </c>
      <c r="L48" s="496" t="s">
        <v>463</v>
      </c>
      <c r="M48" s="496" t="s">
        <v>463</v>
      </c>
      <c r="N48" s="496" t="s">
        <v>463</v>
      </c>
      <c r="O48" s="496" t="s">
        <v>463</v>
      </c>
      <c r="P48" s="496" t="s">
        <v>463</v>
      </c>
      <c r="Q48" s="496" t="s">
        <v>463</v>
      </c>
      <c r="R48" s="496" t="s">
        <v>463</v>
      </c>
      <c r="S48" s="496" t="s">
        <v>463</v>
      </c>
      <c r="T48" s="496" t="s">
        <v>463</v>
      </c>
      <c r="U48" s="496" t="s">
        <v>463</v>
      </c>
      <c r="V48" s="496" t="s">
        <v>463</v>
      </c>
      <c r="W48" s="496" t="s">
        <v>463</v>
      </c>
      <c r="X48" s="496" t="s">
        <v>463</v>
      </c>
      <c r="Y48" s="496" t="s">
        <v>463</v>
      </c>
      <c r="Z48" s="496" t="s">
        <v>463</v>
      </c>
      <c r="AA48" s="496" t="s">
        <v>463</v>
      </c>
      <c r="AB48" s="496" t="s">
        <v>463</v>
      </c>
      <c r="AC48" s="496" t="s">
        <v>463</v>
      </c>
      <c r="AD48" s="496" t="s">
        <v>463</v>
      </c>
      <c r="AE48" s="496" t="s">
        <v>463</v>
      </c>
      <c r="AF48" s="496" t="s">
        <v>463</v>
      </c>
      <c r="AG48" s="496" t="s">
        <v>463</v>
      </c>
      <c r="AH48" s="496" t="s">
        <v>463</v>
      </c>
      <c r="AI48" s="496" t="s">
        <v>463</v>
      </c>
      <c r="AJ48" s="496" t="s">
        <v>463</v>
      </c>
      <c r="AK48" s="496" t="s">
        <v>463</v>
      </c>
      <c r="AL48" s="496" t="s">
        <v>463</v>
      </c>
      <c r="AM48" s="496" t="s">
        <v>463</v>
      </c>
      <c r="AN48" s="496" t="s">
        <v>463</v>
      </c>
      <c r="AO48" s="496" t="s">
        <v>463</v>
      </c>
      <c r="AP48" s="496" t="s">
        <v>463</v>
      </c>
      <c r="AQ48" s="496" t="s">
        <v>463</v>
      </c>
      <c r="AR48" s="496" t="s">
        <v>463</v>
      </c>
      <c r="AS48" s="496" t="s">
        <v>463</v>
      </c>
      <c r="AT48" s="496" t="s">
        <v>463</v>
      </c>
      <c r="AU48" s="496" t="s">
        <v>463</v>
      </c>
      <c r="AV48" s="496" t="s">
        <v>463</v>
      </c>
      <c r="AW48" s="496" t="s">
        <v>463</v>
      </c>
      <c r="AX48" s="496" t="s">
        <v>463</v>
      </c>
      <c r="AY48" s="496" t="s">
        <v>463</v>
      </c>
      <c r="AZ48" s="496" t="s">
        <v>463</v>
      </c>
      <c r="BA48" s="496" t="s">
        <v>463</v>
      </c>
      <c r="BB48" s="496" t="s">
        <v>463</v>
      </c>
      <c r="BC48" s="496" t="s">
        <v>463</v>
      </c>
      <c r="BD48" s="496" t="s">
        <v>463</v>
      </c>
      <c r="BE48" s="496" t="s">
        <v>463</v>
      </c>
      <c r="BF48" s="496" t="s">
        <v>463</v>
      </c>
      <c r="BG48" s="496" t="s">
        <v>463</v>
      </c>
      <c r="BK48" s="1328"/>
    </row>
    <row r="49" spans="1:59" ht="11.1" hidden="1" customHeight="1">
      <c r="A49" s="495">
        <v>1</v>
      </c>
      <c r="B49" s="473">
        <f t="shared" ref="B49:AI49" si="9">IF($A6-1&lt;B$5,IF(B4&gt;0,B4,IF(B6&gt;0,0,B$4+B6)),0)</f>
        <v>2</v>
      </c>
      <c r="C49" s="474">
        <f t="shared" si="9"/>
        <v>2</v>
      </c>
      <c r="D49" s="474">
        <f t="shared" si="9"/>
        <v>0</v>
      </c>
      <c r="E49" s="474">
        <f t="shared" si="9"/>
        <v>1</v>
      </c>
      <c r="F49" s="474">
        <f t="shared" si="9"/>
        <v>1</v>
      </c>
      <c r="G49" s="475">
        <f t="shared" si="9"/>
        <v>0</v>
      </c>
      <c r="H49" s="473">
        <f t="shared" si="9"/>
        <v>2</v>
      </c>
      <c r="I49" s="474">
        <f t="shared" si="9"/>
        <v>0</v>
      </c>
      <c r="J49" s="474">
        <f t="shared" si="9"/>
        <v>1</v>
      </c>
      <c r="K49" s="474">
        <f>IF($A6-1&lt;K$5,IF(K4&gt;0,K4,IF(K6&gt;0,0,K$4+K6)),0)</f>
        <v>0</v>
      </c>
      <c r="L49" s="475">
        <f>IF($A6-1&lt;L$5,IF(L4&gt;0,L4,IF(L6&gt;0,0,L$4+L6)),0)</f>
        <v>0</v>
      </c>
      <c r="M49" s="475">
        <f>IF($A6-1&lt;M$5,IF(M4&gt;0,M4,IF(M6&gt;0,0,M$4+M6)),0)</f>
        <v>0</v>
      </c>
      <c r="N49" s="473">
        <f t="shared" si="9"/>
        <v>25</v>
      </c>
      <c r="O49" s="474">
        <f t="shared" si="9"/>
        <v>2</v>
      </c>
      <c r="P49" s="474">
        <f t="shared" si="9"/>
        <v>1</v>
      </c>
      <c r="Q49" s="474">
        <f t="shared" si="9"/>
        <v>0</v>
      </c>
      <c r="R49" s="474">
        <f t="shared" si="9"/>
        <v>0</v>
      </c>
      <c r="S49" s="474">
        <f t="shared" si="9"/>
        <v>0</v>
      </c>
      <c r="T49" s="474">
        <f t="shared" ref="T49" si="10">IF($A6-1&lt;T$5,IF(T4&gt;0,T4,IF(T6&gt;0,0,T$4+T6)),0)</f>
        <v>0</v>
      </c>
      <c r="U49" s="474">
        <f t="shared" si="9"/>
        <v>0</v>
      </c>
      <c r="V49" s="474">
        <f t="shared" si="9"/>
        <v>0</v>
      </c>
      <c r="W49" s="474">
        <f t="shared" ref="W49" si="11">IF($A6-1&lt;W$5,IF(W4&gt;0,W4,IF(W6&gt;0,0,W$4+W6)),0)</f>
        <v>0</v>
      </c>
      <c r="X49" s="475">
        <f t="shared" si="9"/>
        <v>0</v>
      </c>
      <c r="Y49" s="474">
        <f t="shared" si="9"/>
        <v>0</v>
      </c>
      <c r="Z49" s="474">
        <f t="shared" si="9"/>
        <v>0</v>
      </c>
      <c r="AA49" s="474">
        <f t="shared" si="9"/>
        <v>0</v>
      </c>
      <c r="AB49" s="474">
        <f t="shared" si="9"/>
        <v>0</v>
      </c>
      <c r="AC49" s="474">
        <f t="shared" si="9"/>
        <v>0</v>
      </c>
      <c r="AD49" s="474">
        <f t="shared" si="9"/>
        <v>0</v>
      </c>
      <c r="AE49" s="473">
        <f t="shared" si="9"/>
        <v>0</v>
      </c>
      <c r="AF49" s="475">
        <f>IF($A6-1&lt;AF$5,IF(AF4&gt;0,AF4,IF(AF6&gt;0,0,AF$4+AF6)),0)</f>
        <v>0</v>
      </c>
      <c r="AG49" s="473">
        <f t="shared" si="9"/>
        <v>0</v>
      </c>
      <c r="AH49" s="474">
        <f t="shared" si="9"/>
        <v>0</v>
      </c>
      <c r="AI49" s="474">
        <f t="shared" si="9"/>
        <v>0</v>
      </c>
      <c r="AJ49" s="474">
        <f t="shared" ref="AJ49:BG49" si="12">IF($A6-1&lt;AJ$5,IF(AJ4&gt;0,AJ4,IF(AJ6&gt;0,0,AJ$4+AJ6)),0)</f>
        <v>0</v>
      </c>
      <c r="AK49" s="475">
        <f t="shared" si="12"/>
        <v>0</v>
      </c>
      <c r="AL49" s="475">
        <f t="shared" si="12"/>
        <v>0</v>
      </c>
      <c r="AM49" s="475">
        <f t="shared" si="12"/>
        <v>0</v>
      </c>
      <c r="AN49" s="475">
        <f t="shared" si="12"/>
        <v>0</v>
      </c>
      <c r="AO49" s="473">
        <f t="shared" si="12"/>
        <v>0</v>
      </c>
      <c r="AP49" s="474">
        <f t="shared" si="12"/>
        <v>0</v>
      </c>
      <c r="AQ49" s="474">
        <f t="shared" si="12"/>
        <v>0</v>
      </c>
      <c r="AR49" s="474">
        <f t="shared" si="12"/>
        <v>0</v>
      </c>
      <c r="AS49" s="474">
        <f t="shared" si="12"/>
        <v>0</v>
      </c>
      <c r="AT49" s="474">
        <f t="shared" si="12"/>
        <v>0</v>
      </c>
      <c r="AU49" s="474">
        <f t="shared" si="12"/>
        <v>0</v>
      </c>
      <c r="AV49" s="474">
        <f t="shared" si="12"/>
        <v>0</v>
      </c>
      <c r="AW49" s="474">
        <f t="shared" si="12"/>
        <v>0</v>
      </c>
      <c r="AX49" s="475">
        <f t="shared" si="12"/>
        <v>0</v>
      </c>
      <c r="AY49" s="473">
        <f t="shared" si="12"/>
        <v>0</v>
      </c>
      <c r="AZ49" s="474">
        <f t="shared" si="12"/>
        <v>0</v>
      </c>
      <c r="BA49" s="473">
        <f t="shared" si="12"/>
        <v>0</v>
      </c>
      <c r="BB49" s="474">
        <f t="shared" si="12"/>
        <v>0</v>
      </c>
      <c r="BC49" s="475">
        <f t="shared" si="12"/>
        <v>0</v>
      </c>
      <c r="BD49" s="474">
        <f>IF($A6-1&lt;BD$5,IF(BD4&gt;0,BD4,IF(BD6&gt;0,0,BD$4+BD6)),0)</f>
        <v>0</v>
      </c>
      <c r="BE49" s="473">
        <f t="shared" si="12"/>
        <v>0</v>
      </c>
      <c r="BF49" s="474">
        <f t="shared" ref="BF49" si="13">IF($A6-1&lt;BF$5,IF(BF4&gt;0,BF4,IF(BF6&gt;0,0,BF$4+BF6)),0)</f>
        <v>0</v>
      </c>
      <c r="BG49" s="475">
        <f t="shared" si="12"/>
        <v>0</v>
      </c>
    </row>
    <row r="50" spans="1:59" ht="11.1" hidden="1" customHeight="1">
      <c r="A50" s="885">
        <v>2</v>
      </c>
      <c r="B50" s="91">
        <f t="shared" ref="B50:B65" si="14">IF($A6&lt;B$5,IF(B49&lt;&gt;0,B49+B6,B6),0)</f>
        <v>2</v>
      </c>
      <c r="C50" s="289">
        <f t="shared" ref="C50:C65" si="15">IF($A6&lt;C$5,IF(C49&lt;&gt;0,C49+C6,C6),0)</f>
        <v>2</v>
      </c>
      <c r="D50" s="289">
        <f t="shared" ref="D50:D65" si="16">IF($A6&lt;D$5,IF(D49&lt;&gt;0,D49+D6,D6),0)</f>
        <v>0</v>
      </c>
      <c r="E50" s="289">
        <f t="shared" ref="E50:E65" si="17">IF($A6&lt;E$5,IF(E49&lt;&gt;0,E49+E6,E6),0)</f>
        <v>1</v>
      </c>
      <c r="F50" s="289">
        <f t="shared" ref="F50:F65" si="18">IF($A6&lt;F$5,IF(F49&lt;&gt;0,F49+F6,F6),0)</f>
        <v>1</v>
      </c>
      <c r="G50" s="411">
        <f t="shared" ref="G50:G65" si="19">IF($A6&lt;G$5,IF(G49&lt;&gt;0,G49+G6,G6),0)</f>
        <v>0</v>
      </c>
      <c r="H50" s="91">
        <f t="shared" ref="H50:H65" si="20">IF($A6&lt;H$5,IF(H49&lt;&gt;0,H49+H6,H6),0)</f>
        <v>2</v>
      </c>
      <c r="I50" s="289">
        <f t="shared" ref="I50:I65" si="21">IF($A6&lt;I$5,IF(I49&lt;&gt;0,I49+I6,I6),0)</f>
        <v>0</v>
      </c>
      <c r="J50" s="289">
        <f t="shared" ref="J50:J65" si="22">IF($A6&lt;J$5,IF(J49&lt;&gt;0,J49+J6,J6),0)</f>
        <v>1</v>
      </c>
      <c r="K50" s="289">
        <f>IF($A6&lt;K$5,IF(K49&lt;&gt;0,K49+K6,K6),0)</f>
        <v>0</v>
      </c>
      <c r="L50" s="411">
        <f>IF($A6&lt;L$5,IF(L49&lt;&gt;0,L49+L6,L6),0)</f>
        <v>0</v>
      </c>
      <c r="M50" s="411">
        <f>IF($A6&lt;M$5,IF(M49&lt;&gt;0,M49+M6,M6),0)</f>
        <v>0</v>
      </c>
      <c r="N50" s="91">
        <f t="shared" ref="N50:N65" si="23">IF($A6&lt;N$5,IF(N49&lt;&gt;0,N49+N6,N6),0)</f>
        <v>25</v>
      </c>
      <c r="O50" s="289">
        <f t="shared" ref="O50:O65" si="24">IF($A6&lt;O$5,IF(O49&lt;&gt;0,O49+O6,O6),0)</f>
        <v>2</v>
      </c>
      <c r="P50" s="289">
        <f t="shared" ref="P50:P65" si="25">IF($A6&lt;P$5,IF(P49&lt;&gt;0,P49+P6,P6),0)</f>
        <v>1</v>
      </c>
      <c r="Q50" s="289">
        <f t="shared" ref="Q50:Q65" si="26">IF($A6&lt;Q$5,IF(Q49&lt;&gt;0,Q49+Q6,Q6),0)</f>
        <v>0</v>
      </c>
      <c r="R50" s="289">
        <f t="shared" ref="R50:R65" si="27">IF($A6&lt;R$5,IF(R49&lt;&gt;0,R49+R6,R6),0)</f>
        <v>0</v>
      </c>
      <c r="S50" s="289">
        <f t="shared" ref="S50:S65" si="28">IF($A6&lt;S$5,IF(S49&lt;&gt;0,S49+S6,S6),0)</f>
        <v>0</v>
      </c>
      <c r="T50" s="289">
        <f t="shared" ref="T50:U65" si="29">IF($A6&lt;T$5,IF(T49&lt;&gt;0,T49+T6,T6),0)</f>
        <v>0</v>
      </c>
      <c r="U50" s="289">
        <f t="shared" si="29"/>
        <v>0</v>
      </c>
      <c r="V50" s="289">
        <f t="shared" ref="V50:V65" si="30">IF($A6&lt;V$5,IF(V49&lt;&gt;0,V49+V6,V6),0)</f>
        <v>0</v>
      </c>
      <c r="W50" s="289">
        <f t="shared" ref="W50:X65" si="31">IF($A6&lt;W$5,IF(W49&lt;&gt;0,W49+W6,W6),0)</f>
        <v>0</v>
      </c>
      <c r="X50" s="411">
        <f t="shared" si="31"/>
        <v>0</v>
      </c>
      <c r="Y50" s="289">
        <f t="shared" ref="Y50:Y65" si="32">IF($A6&lt;Y$5,IF(Y49&lt;&gt;0,Y49+Y6,Y6),0)</f>
        <v>0</v>
      </c>
      <c r="Z50" s="289">
        <f t="shared" ref="Z50:Z65" si="33">IF($A6&lt;Z$5,IF(Z49&lt;&gt;0,Z49+Z6,Z6),0)</f>
        <v>0</v>
      </c>
      <c r="AA50" s="289">
        <f t="shared" ref="AA50:AA65" si="34">IF($A6&lt;AA$5,IF(AA49&lt;&gt;0,AA49+AA6,AA6),0)</f>
        <v>0</v>
      </c>
      <c r="AB50" s="289">
        <f t="shared" ref="AB50:AB65" si="35">IF($A6&lt;AB$5,IF(AB49&lt;&gt;0,AB49+AB6,AB6),0)</f>
        <v>0</v>
      </c>
      <c r="AC50" s="289">
        <f t="shared" ref="AC50:AC65" si="36">IF($A6&lt;AC$5,IF(AC49&lt;&gt;0,AC49+AC6,AC6),0)</f>
        <v>0</v>
      </c>
      <c r="AD50" s="289">
        <f t="shared" ref="AD50:AD65" si="37">IF($A6&lt;AD$5,IF(AD49&lt;&gt;0,AD49+AD6,AD6),0)</f>
        <v>0</v>
      </c>
      <c r="AE50" s="91">
        <f t="shared" ref="AE50:AE65" si="38">IF($A6&lt;AE$5,IF(AE49&lt;&gt;0,AE49+AE6,AE6),0)</f>
        <v>0</v>
      </c>
      <c r="AF50" s="411">
        <f t="shared" ref="AF50:AF65" si="39">IF($A6&lt;AF$5,IF(AF49&lt;&gt;0,AF49+AF6,AF6),0)</f>
        <v>0</v>
      </c>
      <c r="AG50" s="91">
        <f t="shared" ref="AG50:AG65" si="40">IF($A6&lt;AG$5,IF(AG49&lt;&gt;0,AG49+AG6,AG6),0)</f>
        <v>0</v>
      </c>
      <c r="AH50" s="289">
        <f t="shared" ref="AH50:AH65" si="41">IF($A6&lt;AH$5,IF(AH49&lt;&gt;0,AH49+AH6,AH6),0)</f>
        <v>0</v>
      </c>
      <c r="AI50" s="289">
        <f t="shared" ref="AI50:AI65" si="42">IF($A6&lt;AI$5,IF(AI49&lt;&gt;0,AI49+AI6,AI6),0)</f>
        <v>0</v>
      </c>
      <c r="AJ50" s="289">
        <f t="shared" ref="AJ50:AJ65" si="43">IF($A6&lt;AJ$5,IF(AJ49&lt;&gt;0,AJ49+AJ6,AJ6),0)</f>
        <v>0</v>
      </c>
      <c r="AK50" s="411">
        <f t="shared" ref="AK50:AN65" si="44">IF($A6&lt;AK$5,IF(AK49&lt;&gt;0,AK49+AK6,AK6),0)</f>
        <v>0</v>
      </c>
      <c r="AL50" s="411">
        <f t="shared" si="44"/>
        <v>0</v>
      </c>
      <c r="AM50" s="411">
        <f t="shared" si="44"/>
        <v>0</v>
      </c>
      <c r="AN50" s="411">
        <f t="shared" si="44"/>
        <v>0</v>
      </c>
      <c r="AO50" s="91">
        <f t="shared" ref="AO50:AO65" si="45">IF($A6&lt;AO$5,IF(AO49&lt;&gt;0,AO49+AO6,AO6),0)</f>
        <v>0</v>
      </c>
      <c r="AP50" s="289">
        <f t="shared" ref="AP50:AP65" si="46">IF($A6&lt;AP$5,IF(AP49&lt;&gt;0,AP49+AP6,AP6),0)</f>
        <v>0</v>
      </c>
      <c r="AQ50" s="289">
        <f t="shared" ref="AQ50:AQ65" si="47">IF($A6&lt;AQ$5,IF(AQ49&lt;&gt;0,AQ49+AQ6,AQ6),0)</f>
        <v>0</v>
      </c>
      <c r="AR50" s="289">
        <f t="shared" ref="AR50:AR65" si="48">IF($A6&lt;AR$5,IF(AR49&lt;&gt;0,AR49+AR6,AR6),0)</f>
        <v>0</v>
      </c>
      <c r="AS50" s="289">
        <f t="shared" ref="AS50:AS65" si="49">IF($A6&lt;AS$5,IF(AS49&lt;&gt;0,AS49+AS6,AS6),0)</f>
        <v>0</v>
      </c>
      <c r="AT50" s="289">
        <f t="shared" ref="AT50:AT65" si="50">IF($A6&lt;AT$5,IF(AT49&lt;&gt;0,AT49+AT6,AT6),0)</f>
        <v>0</v>
      </c>
      <c r="AU50" s="289">
        <f t="shared" ref="AU50:AU65" si="51">IF($A6&lt;AU$5,IF(AU49&lt;&gt;0,AU49+AU6,AU6),0)</f>
        <v>0</v>
      </c>
      <c r="AV50" s="289">
        <f t="shared" ref="AV50:AV65" si="52">IF($A6&lt;AV$5,IF(AV49&lt;&gt;0,AV49+AV6,AV6),0)</f>
        <v>0</v>
      </c>
      <c r="AW50" s="289">
        <f t="shared" ref="AW50:AW65" si="53">IF($A6&lt;AW$5,IF(AW49&lt;&gt;0,AW49+AW6,AW6),0)</f>
        <v>0</v>
      </c>
      <c r="AX50" s="411">
        <f t="shared" ref="AX50:AX65" si="54">IF($A6&lt;AX$5,IF(AX49&lt;&gt;0,AX49+AX6,AX6),0)</f>
        <v>0</v>
      </c>
      <c r="AY50" s="91">
        <f t="shared" ref="AY50:AY65" si="55">IF($A6&lt;AY$5,IF(AY49&lt;&gt;0,AY49+AY6,AY6),0)</f>
        <v>0</v>
      </c>
      <c r="AZ50" s="289">
        <f t="shared" ref="AZ50:AZ65" si="56">IF($A6&lt;AZ$5,IF(AZ49&lt;&gt;0,AZ49+AZ6,AZ6),0)</f>
        <v>0</v>
      </c>
      <c r="BA50" s="91">
        <f t="shared" ref="BA50:BA65" si="57">IF($A6&lt;BA$5,IF(BA49&lt;&gt;0,BA49+BA6,BA6),0)</f>
        <v>0</v>
      </c>
      <c r="BB50" s="289">
        <f t="shared" ref="BB50:BB65" si="58">IF($A6&lt;BB$5,IF(BB49&lt;&gt;0,BB49+BB6,BB6),0)</f>
        <v>0</v>
      </c>
      <c r="BC50" s="411">
        <f t="shared" ref="BC50:BC65" si="59">IF($A6&lt;BC$5,IF(BC49&lt;&gt;0,BC49+BC6,BC6),0)</f>
        <v>0</v>
      </c>
      <c r="BD50" s="289">
        <f t="shared" ref="BD50:BD69" si="60">IF($A6&lt;BD$5,IF(BD49&lt;&gt;0,BD49+BD6,BD6),0)</f>
        <v>0</v>
      </c>
      <c r="BE50" s="91">
        <f t="shared" ref="BE50:BE65" si="61">IF($A6&lt;BE$5,IF(BE49&lt;&gt;0,BE49+BE6,BE6),0)</f>
        <v>0</v>
      </c>
      <c r="BF50" s="289">
        <f t="shared" ref="BF50:BG65" si="62">IF($A6&lt;BF$5,IF(BF49&lt;&gt;0,BF49+BF6,BF6),0)</f>
        <v>0</v>
      </c>
      <c r="BG50" s="411">
        <f t="shared" si="62"/>
        <v>0</v>
      </c>
    </row>
    <row r="51" spans="1:59" ht="11.1" hidden="1" customHeight="1">
      <c r="A51" s="885">
        <v>3</v>
      </c>
      <c r="B51" s="91">
        <f t="shared" si="14"/>
        <v>2</v>
      </c>
      <c r="C51" s="289">
        <f t="shared" si="15"/>
        <v>2</v>
      </c>
      <c r="D51" s="289">
        <f t="shared" si="16"/>
        <v>0</v>
      </c>
      <c r="E51" s="289">
        <f t="shared" si="17"/>
        <v>1</v>
      </c>
      <c r="F51" s="289">
        <f t="shared" si="18"/>
        <v>1</v>
      </c>
      <c r="G51" s="411">
        <f t="shared" si="19"/>
        <v>0</v>
      </c>
      <c r="H51" s="91">
        <f t="shared" si="20"/>
        <v>2</v>
      </c>
      <c r="I51" s="289">
        <f t="shared" si="21"/>
        <v>0</v>
      </c>
      <c r="J51" s="289">
        <f t="shared" si="22"/>
        <v>0</v>
      </c>
      <c r="K51" s="289">
        <f t="shared" ref="K51:K65" si="63">IF($A7&lt;K$5,IF(K50&lt;&gt;0,K50+K7,K7),0)</f>
        <v>0</v>
      </c>
      <c r="L51" s="411">
        <f>IF($A7&lt;L$5,IF(L50&lt;&gt;0,L50+L7,L7),0)</f>
        <v>0</v>
      </c>
      <c r="M51" s="411">
        <f t="shared" ref="M51:M88" si="64">IF($A7&lt;M$5,IF(M50&lt;&gt;0,M50+M7,M7),0)</f>
        <v>0</v>
      </c>
      <c r="N51" s="91">
        <f t="shared" si="23"/>
        <v>0</v>
      </c>
      <c r="O51" s="289">
        <f t="shared" si="24"/>
        <v>2</v>
      </c>
      <c r="P51" s="289">
        <f t="shared" si="25"/>
        <v>0</v>
      </c>
      <c r="Q51" s="289">
        <f t="shared" si="26"/>
        <v>0</v>
      </c>
      <c r="R51" s="289">
        <f t="shared" si="27"/>
        <v>0</v>
      </c>
      <c r="S51" s="289">
        <f t="shared" si="28"/>
        <v>0</v>
      </c>
      <c r="T51" s="289">
        <f t="shared" si="29"/>
        <v>0</v>
      </c>
      <c r="U51" s="289">
        <f t="shared" si="29"/>
        <v>0</v>
      </c>
      <c r="V51" s="289">
        <f t="shared" si="30"/>
        <v>0</v>
      </c>
      <c r="W51" s="289">
        <f t="shared" si="31"/>
        <v>0</v>
      </c>
      <c r="X51" s="411">
        <f t="shared" si="31"/>
        <v>0</v>
      </c>
      <c r="Y51" s="289">
        <f t="shared" si="32"/>
        <v>0</v>
      </c>
      <c r="Z51" s="289">
        <f t="shared" si="33"/>
        <v>0</v>
      </c>
      <c r="AA51" s="289">
        <f t="shared" si="34"/>
        <v>0</v>
      </c>
      <c r="AB51" s="289">
        <f t="shared" si="35"/>
        <v>0</v>
      </c>
      <c r="AC51" s="289">
        <f t="shared" si="36"/>
        <v>0</v>
      </c>
      <c r="AD51" s="289">
        <f t="shared" si="37"/>
        <v>0</v>
      </c>
      <c r="AE51" s="91">
        <f t="shared" si="38"/>
        <v>0</v>
      </c>
      <c r="AF51" s="411">
        <f t="shared" si="39"/>
        <v>1</v>
      </c>
      <c r="AG51" s="91">
        <f t="shared" si="40"/>
        <v>0</v>
      </c>
      <c r="AH51" s="289">
        <f t="shared" si="41"/>
        <v>0</v>
      </c>
      <c r="AI51" s="289">
        <f t="shared" si="42"/>
        <v>0</v>
      </c>
      <c r="AJ51" s="289">
        <f t="shared" si="43"/>
        <v>0</v>
      </c>
      <c r="AK51" s="411">
        <f t="shared" si="44"/>
        <v>0</v>
      </c>
      <c r="AL51" s="411">
        <f t="shared" ref="AL51:AN51" si="65">IF($A7&lt;AL$5,IF(AL50&lt;&gt;0,AL50+AL7,AL7),0)</f>
        <v>0</v>
      </c>
      <c r="AM51" s="411">
        <f t="shared" si="65"/>
        <v>0</v>
      </c>
      <c r="AN51" s="411">
        <f t="shared" si="65"/>
        <v>0</v>
      </c>
      <c r="AO51" s="91">
        <f t="shared" si="45"/>
        <v>0</v>
      </c>
      <c r="AP51" s="289">
        <f t="shared" si="46"/>
        <v>0</v>
      </c>
      <c r="AQ51" s="289">
        <f t="shared" si="47"/>
        <v>0</v>
      </c>
      <c r="AR51" s="289">
        <f t="shared" si="48"/>
        <v>0</v>
      </c>
      <c r="AS51" s="289">
        <f t="shared" si="49"/>
        <v>0</v>
      </c>
      <c r="AT51" s="289">
        <f t="shared" si="50"/>
        <v>0</v>
      </c>
      <c r="AU51" s="289">
        <f t="shared" si="51"/>
        <v>0</v>
      </c>
      <c r="AV51" s="289">
        <f t="shared" si="52"/>
        <v>0</v>
      </c>
      <c r="AW51" s="289">
        <f t="shared" si="53"/>
        <v>0</v>
      </c>
      <c r="AX51" s="411">
        <f t="shared" si="54"/>
        <v>0</v>
      </c>
      <c r="AY51" s="91">
        <f t="shared" si="55"/>
        <v>0</v>
      </c>
      <c r="AZ51" s="289">
        <f t="shared" si="56"/>
        <v>0</v>
      </c>
      <c r="BA51" s="91">
        <f t="shared" si="57"/>
        <v>0</v>
      </c>
      <c r="BB51" s="289">
        <f t="shared" si="58"/>
        <v>0</v>
      </c>
      <c r="BC51" s="411">
        <f t="shared" si="59"/>
        <v>0</v>
      </c>
      <c r="BD51" s="289">
        <f t="shared" si="60"/>
        <v>0</v>
      </c>
      <c r="BE51" s="91">
        <f t="shared" si="61"/>
        <v>0</v>
      </c>
      <c r="BF51" s="289">
        <f t="shared" si="62"/>
        <v>0</v>
      </c>
      <c r="BG51" s="411">
        <f t="shared" si="62"/>
        <v>0</v>
      </c>
    </row>
    <row r="52" spans="1:59" ht="11.1" hidden="1" customHeight="1">
      <c r="A52" s="885">
        <v>4</v>
      </c>
      <c r="B52" s="91">
        <f t="shared" si="14"/>
        <v>2</v>
      </c>
      <c r="C52" s="289">
        <f t="shared" si="15"/>
        <v>2</v>
      </c>
      <c r="D52" s="289">
        <f t="shared" si="16"/>
        <v>0</v>
      </c>
      <c r="E52" s="289">
        <f t="shared" si="17"/>
        <v>0</v>
      </c>
      <c r="F52" s="289">
        <f t="shared" si="18"/>
        <v>0</v>
      </c>
      <c r="G52" s="411">
        <f t="shared" si="19"/>
        <v>0</v>
      </c>
      <c r="H52" s="91">
        <f t="shared" si="20"/>
        <v>2</v>
      </c>
      <c r="I52" s="289">
        <f t="shared" si="21"/>
        <v>0</v>
      </c>
      <c r="J52" s="289">
        <f t="shared" si="22"/>
        <v>0</v>
      </c>
      <c r="K52" s="289">
        <f t="shared" si="63"/>
        <v>0</v>
      </c>
      <c r="L52" s="411">
        <f>IF($A8&lt;L$5,IF(L51&lt;&gt;0,L51+L8,L8),0)</f>
        <v>0</v>
      </c>
      <c r="M52" s="411">
        <f t="shared" si="64"/>
        <v>0</v>
      </c>
      <c r="N52" s="91">
        <f t="shared" si="23"/>
        <v>0</v>
      </c>
      <c r="O52" s="289">
        <f t="shared" si="24"/>
        <v>0</v>
      </c>
      <c r="P52" s="289">
        <f t="shared" si="25"/>
        <v>0</v>
      </c>
      <c r="Q52" s="289">
        <f t="shared" si="26"/>
        <v>0</v>
      </c>
      <c r="R52" s="289">
        <f t="shared" si="27"/>
        <v>0</v>
      </c>
      <c r="S52" s="289">
        <f t="shared" si="28"/>
        <v>0</v>
      </c>
      <c r="T52" s="289">
        <f t="shared" si="29"/>
        <v>0</v>
      </c>
      <c r="U52" s="289">
        <f t="shared" si="29"/>
        <v>0</v>
      </c>
      <c r="V52" s="289">
        <f t="shared" si="30"/>
        <v>0</v>
      </c>
      <c r="W52" s="289">
        <f t="shared" si="31"/>
        <v>0</v>
      </c>
      <c r="X52" s="411">
        <f t="shared" si="31"/>
        <v>0</v>
      </c>
      <c r="Y52" s="289">
        <f t="shared" si="32"/>
        <v>0</v>
      </c>
      <c r="Z52" s="289">
        <f t="shared" si="33"/>
        <v>0</v>
      </c>
      <c r="AA52" s="289">
        <f t="shared" si="34"/>
        <v>0</v>
      </c>
      <c r="AB52" s="289">
        <f t="shared" si="35"/>
        <v>0</v>
      </c>
      <c r="AC52" s="289">
        <f t="shared" si="36"/>
        <v>0</v>
      </c>
      <c r="AD52" s="289">
        <f t="shared" si="37"/>
        <v>0</v>
      </c>
      <c r="AE52" s="91">
        <f t="shared" si="38"/>
        <v>0</v>
      </c>
      <c r="AF52" s="411">
        <f t="shared" si="39"/>
        <v>0</v>
      </c>
      <c r="AG52" s="91">
        <f t="shared" si="40"/>
        <v>0</v>
      </c>
      <c r="AH52" s="289">
        <f t="shared" si="41"/>
        <v>0</v>
      </c>
      <c r="AI52" s="289">
        <f t="shared" si="42"/>
        <v>0</v>
      </c>
      <c r="AJ52" s="289">
        <f t="shared" si="43"/>
        <v>0</v>
      </c>
      <c r="AK52" s="411">
        <f t="shared" si="44"/>
        <v>0</v>
      </c>
      <c r="AL52" s="411">
        <f t="shared" ref="AL52:AN52" si="66">IF($A8&lt;AL$5,IF(AL51&lt;&gt;0,AL51+AL8,AL8),0)</f>
        <v>0</v>
      </c>
      <c r="AM52" s="411">
        <f t="shared" si="66"/>
        <v>0</v>
      </c>
      <c r="AN52" s="411">
        <f t="shared" si="66"/>
        <v>0</v>
      </c>
      <c r="AO52" s="91">
        <f t="shared" si="45"/>
        <v>0</v>
      </c>
      <c r="AP52" s="289">
        <f t="shared" si="46"/>
        <v>0</v>
      </c>
      <c r="AQ52" s="289">
        <f t="shared" si="47"/>
        <v>0</v>
      </c>
      <c r="AR52" s="289">
        <f t="shared" si="48"/>
        <v>0</v>
      </c>
      <c r="AS52" s="289">
        <f t="shared" si="49"/>
        <v>0</v>
      </c>
      <c r="AT52" s="289">
        <f t="shared" si="50"/>
        <v>0</v>
      </c>
      <c r="AU52" s="289">
        <f t="shared" si="51"/>
        <v>0</v>
      </c>
      <c r="AV52" s="289">
        <f t="shared" si="52"/>
        <v>0</v>
      </c>
      <c r="AW52" s="289">
        <f t="shared" si="53"/>
        <v>0</v>
      </c>
      <c r="AX52" s="411">
        <f t="shared" si="54"/>
        <v>0</v>
      </c>
      <c r="AY52" s="91">
        <f t="shared" si="55"/>
        <v>0</v>
      </c>
      <c r="AZ52" s="289">
        <f t="shared" si="56"/>
        <v>0</v>
      </c>
      <c r="BA52" s="91">
        <f t="shared" si="57"/>
        <v>0</v>
      </c>
      <c r="BB52" s="289">
        <f t="shared" si="58"/>
        <v>0</v>
      </c>
      <c r="BC52" s="411">
        <f t="shared" si="59"/>
        <v>0</v>
      </c>
      <c r="BD52" s="289">
        <f t="shared" si="60"/>
        <v>0</v>
      </c>
      <c r="BE52" s="91">
        <f t="shared" si="61"/>
        <v>0</v>
      </c>
      <c r="BF52" s="289">
        <f t="shared" si="62"/>
        <v>0</v>
      </c>
      <c r="BG52" s="411">
        <f t="shared" si="62"/>
        <v>0</v>
      </c>
    </row>
    <row r="53" spans="1:59" ht="11.1" hidden="1" customHeight="1">
      <c r="A53" s="885">
        <v>5</v>
      </c>
      <c r="B53" s="91">
        <f t="shared" si="14"/>
        <v>0</v>
      </c>
      <c r="C53" s="289">
        <f t="shared" si="15"/>
        <v>0</v>
      </c>
      <c r="D53" s="289">
        <f t="shared" si="16"/>
        <v>0</v>
      </c>
      <c r="E53" s="289">
        <f t="shared" si="17"/>
        <v>0</v>
      </c>
      <c r="F53" s="289">
        <f t="shared" si="18"/>
        <v>0</v>
      </c>
      <c r="G53" s="411">
        <f t="shared" si="19"/>
        <v>0</v>
      </c>
      <c r="H53" s="91">
        <f t="shared" si="20"/>
        <v>0</v>
      </c>
      <c r="I53" s="289">
        <f t="shared" si="21"/>
        <v>0</v>
      </c>
      <c r="J53" s="289">
        <f t="shared" si="22"/>
        <v>0</v>
      </c>
      <c r="K53" s="289">
        <f t="shared" si="63"/>
        <v>0</v>
      </c>
      <c r="L53" s="411">
        <f t="shared" ref="L53:L65" si="67">IF($A9&lt;L$5,IF(L52&lt;&gt;0,L52+L9,L9),0)</f>
        <v>0</v>
      </c>
      <c r="M53" s="411">
        <f t="shared" si="64"/>
        <v>0</v>
      </c>
      <c r="N53" s="91">
        <f t="shared" si="23"/>
        <v>0</v>
      </c>
      <c r="O53" s="289">
        <f t="shared" si="24"/>
        <v>0</v>
      </c>
      <c r="P53" s="289">
        <f t="shared" si="25"/>
        <v>0</v>
      </c>
      <c r="Q53" s="289">
        <f t="shared" si="26"/>
        <v>0</v>
      </c>
      <c r="R53" s="289">
        <f t="shared" si="27"/>
        <v>0</v>
      </c>
      <c r="S53" s="289">
        <f t="shared" si="28"/>
        <v>0</v>
      </c>
      <c r="T53" s="289">
        <f t="shared" si="29"/>
        <v>0</v>
      </c>
      <c r="U53" s="289">
        <f t="shared" si="29"/>
        <v>0</v>
      </c>
      <c r="V53" s="289">
        <f t="shared" si="30"/>
        <v>0</v>
      </c>
      <c r="W53" s="289">
        <f t="shared" si="31"/>
        <v>0</v>
      </c>
      <c r="X53" s="411">
        <f t="shared" si="31"/>
        <v>0</v>
      </c>
      <c r="Y53" s="289">
        <f t="shared" si="32"/>
        <v>0</v>
      </c>
      <c r="Z53" s="289">
        <f t="shared" si="33"/>
        <v>0</v>
      </c>
      <c r="AA53" s="289">
        <f t="shared" si="34"/>
        <v>0</v>
      </c>
      <c r="AB53" s="289">
        <f t="shared" si="35"/>
        <v>0</v>
      </c>
      <c r="AC53" s="289">
        <f t="shared" si="36"/>
        <v>0</v>
      </c>
      <c r="AD53" s="289">
        <f t="shared" si="37"/>
        <v>0</v>
      </c>
      <c r="AE53" s="91">
        <f t="shared" si="38"/>
        <v>0</v>
      </c>
      <c r="AF53" s="411">
        <f t="shared" si="39"/>
        <v>0</v>
      </c>
      <c r="AG53" s="91">
        <f t="shared" si="40"/>
        <v>0</v>
      </c>
      <c r="AH53" s="289">
        <f t="shared" si="41"/>
        <v>0</v>
      </c>
      <c r="AI53" s="289">
        <f t="shared" si="42"/>
        <v>0</v>
      </c>
      <c r="AJ53" s="289">
        <f t="shared" si="43"/>
        <v>0</v>
      </c>
      <c r="AK53" s="411">
        <f t="shared" si="44"/>
        <v>0</v>
      </c>
      <c r="AL53" s="411">
        <f t="shared" ref="AL53:AN53" si="68">IF($A9&lt;AL$5,IF(AL52&lt;&gt;0,AL52+AL9,AL9),0)</f>
        <v>0</v>
      </c>
      <c r="AM53" s="411">
        <f t="shared" si="68"/>
        <v>0</v>
      </c>
      <c r="AN53" s="411">
        <f t="shared" si="68"/>
        <v>0</v>
      </c>
      <c r="AO53" s="91">
        <f t="shared" si="45"/>
        <v>0</v>
      </c>
      <c r="AP53" s="289">
        <f t="shared" si="46"/>
        <v>0</v>
      </c>
      <c r="AQ53" s="289">
        <f t="shared" si="47"/>
        <v>0</v>
      </c>
      <c r="AR53" s="289">
        <f t="shared" si="48"/>
        <v>0</v>
      </c>
      <c r="AS53" s="289">
        <f t="shared" si="49"/>
        <v>0</v>
      </c>
      <c r="AT53" s="289">
        <f t="shared" si="50"/>
        <v>0</v>
      </c>
      <c r="AU53" s="289">
        <f t="shared" si="51"/>
        <v>0</v>
      </c>
      <c r="AV53" s="289">
        <f t="shared" si="52"/>
        <v>0</v>
      </c>
      <c r="AW53" s="289">
        <f t="shared" si="53"/>
        <v>0</v>
      </c>
      <c r="AX53" s="411">
        <f t="shared" si="54"/>
        <v>0</v>
      </c>
      <c r="AY53" s="91">
        <f t="shared" si="55"/>
        <v>0</v>
      </c>
      <c r="AZ53" s="289">
        <f t="shared" si="56"/>
        <v>0</v>
      </c>
      <c r="BA53" s="91">
        <f t="shared" si="57"/>
        <v>0</v>
      </c>
      <c r="BB53" s="289">
        <f t="shared" si="58"/>
        <v>0</v>
      </c>
      <c r="BC53" s="411">
        <f t="shared" si="59"/>
        <v>0</v>
      </c>
      <c r="BD53" s="289">
        <f t="shared" si="60"/>
        <v>0</v>
      </c>
      <c r="BE53" s="91">
        <f t="shared" si="61"/>
        <v>0</v>
      </c>
      <c r="BF53" s="289">
        <f t="shared" si="62"/>
        <v>0</v>
      </c>
      <c r="BG53" s="411">
        <f t="shared" si="62"/>
        <v>0</v>
      </c>
    </row>
    <row r="54" spans="1:59" ht="11.1" hidden="1" customHeight="1">
      <c r="A54" s="885">
        <v>6</v>
      </c>
      <c r="B54" s="91">
        <f t="shared" si="14"/>
        <v>0</v>
      </c>
      <c r="C54" s="289">
        <f t="shared" si="15"/>
        <v>0</v>
      </c>
      <c r="D54" s="289">
        <f t="shared" si="16"/>
        <v>0</v>
      </c>
      <c r="E54" s="289">
        <f t="shared" si="17"/>
        <v>0</v>
      </c>
      <c r="F54" s="289">
        <f t="shared" si="18"/>
        <v>0</v>
      </c>
      <c r="G54" s="411">
        <f t="shared" si="19"/>
        <v>0</v>
      </c>
      <c r="H54" s="91">
        <f t="shared" si="20"/>
        <v>0</v>
      </c>
      <c r="I54" s="289">
        <f t="shared" si="21"/>
        <v>0</v>
      </c>
      <c r="J54" s="289">
        <f t="shared" si="22"/>
        <v>0</v>
      </c>
      <c r="K54" s="289">
        <f t="shared" si="63"/>
        <v>0</v>
      </c>
      <c r="L54" s="411">
        <f t="shared" si="67"/>
        <v>0</v>
      </c>
      <c r="M54" s="411">
        <f t="shared" si="64"/>
        <v>0</v>
      </c>
      <c r="N54" s="91">
        <f t="shared" si="23"/>
        <v>0</v>
      </c>
      <c r="O54" s="289">
        <f t="shared" si="24"/>
        <v>0</v>
      </c>
      <c r="P54" s="289">
        <f t="shared" si="25"/>
        <v>0</v>
      </c>
      <c r="Q54" s="289">
        <f t="shared" si="26"/>
        <v>0</v>
      </c>
      <c r="R54" s="289">
        <f t="shared" si="27"/>
        <v>0</v>
      </c>
      <c r="S54" s="289">
        <f t="shared" si="28"/>
        <v>0</v>
      </c>
      <c r="T54" s="289">
        <f t="shared" si="29"/>
        <v>0</v>
      </c>
      <c r="U54" s="289">
        <f t="shared" si="29"/>
        <v>0</v>
      </c>
      <c r="V54" s="289">
        <f t="shared" si="30"/>
        <v>0</v>
      </c>
      <c r="W54" s="289">
        <f t="shared" si="31"/>
        <v>0</v>
      </c>
      <c r="X54" s="411">
        <f t="shared" si="31"/>
        <v>0</v>
      </c>
      <c r="Y54" s="289">
        <f t="shared" si="32"/>
        <v>0</v>
      </c>
      <c r="Z54" s="289">
        <f t="shared" si="33"/>
        <v>0</v>
      </c>
      <c r="AA54" s="289">
        <f t="shared" si="34"/>
        <v>0</v>
      </c>
      <c r="AB54" s="289">
        <f t="shared" si="35"/>
        <v>0</v>
      </c>
      <c r="AC54" s="289">
        <f t="shared" si="36"/>
        <v>0</v>
      </c>
      <c r="AD54" s="289">
        <f t="shared" si="37"/>
        <v>0</v>
      </c>
      <c r="AE54" s="91">
        <f t="shared" si="38"/>
        <v>0</v>
      </c>
      <c r="AF54" s="411">
        <f t="shared" si="39"/>
        <v>0</v>
      </c>
      <c r="AG54" s="91">
        <f t="shared" si="40"/>
        <v>0</v>
      </c>
      <c r="AH54" s="289">
        <f t="shared" si="41"/>
        <v>0</v>
      </c>
      <c r="AI54" s="289">
        <f t="shared" si="42"/>
        <v>0</v>
      </c>
      <c r="AJ54" s="289">
        <f t="shared" si="43"/>
        <v>0</v>
      </c>
      <c r="AK54" s="411">
        <f t="shared" si="44"/>
        <v>0</v>
      </c>
      <c r="AL54" s="411">
        <f t="shared" ref="AL54:AN54" si="69">IF($A10&lt;AL$5,IF(AL53&lt;&gt;0,AL53+AL10,AL10),0)</f>
        <v>0</v>
      </c>
      <c r="AM54" s="411">
        <f t="shared" si="69"/>
        <v>0</v>
      </c>
      <c r="AN54" s="411">
        <f t="shared" si="69"/>
        <v>0</v>
      </c>
      <c r="AO54" s="91">
        <f t="shared" si="45"/>
        <v>0</v>
      </c>
      <c r="AP54" s="289">
        <f t="shared" si="46"/>
        <v>0</v>
      </c>
      <c r="AQ54" s="289">
        <f t="shared" si="47"/>
        <v>0</v>
      </c>
      <c r="AR54" s="289">
        <f t="shared" si="48"/>
        <v>0</v>
      </c>
      <c r="AS54" s="289">
        <f t="shared" si="49"/>
        <v>0</v>
      </c>
      <c r="AT54" s="289">
        <f t="shared" si="50"/>
        <v>0</v>
      </c>
      <c r="AU54" s="289">
        <f t="shared" si="51"/>
        <v>0</v>
      </c>
      <c r="AV54" s="289">
        <f t="shared" si="52"/>
        <v>0</v>
      </c>
      <c r="AW54" s="289">
        <f t="shared" si="53"/>
        <v>0</v>
      </c>
      <c r="AX54" s="411">
        <f t="shared" si="54"/>
        <v>0</v>
      </c>
      <c r="AY54" s="91">
        <f t="shared" si="55"/>
        <v>0</v>
      </c>
      <c r="AZ54" s="289">
        <f t="shared" si="56"/>
        <v>0</v>
      </c>
      <c r="BA54" s="91">
        <f t="shared" si="57"/>
        <v>0</v>
      </c>
      <c r="BB54" s="289">
        <f t="shared" si="58"/>
        <v>0</v>
      </c>
      <c r="BC54" s="411">
        <f t="shared" si="59"/>
        <v>0</v>
      </c>
      <c r="BD54" s="289">
        <f t="shared" si="60"/>
        <v>0</v>
      </c>
      <c r="BE54" s="91">
        <f t="shared" si="61"/>
        <v>0</v>
      </c>
      <c r="BF54" s="289">
        <f t="shared" si="62"/>
        <v>0</v>
      </c>
      <c r="BG54" s="411">
        <f t="shared" si="62"/>
        <v>0</v>
      </c>
    </row>
    <row r="55" spans="1:59" ht="11.1" hidden="1" customHeight="1">
      <c r="A55" s="885">
        <v>7</v>
      </c>
      <c r="B55" s="91">
        <f t="shared" si="14"/>
        <v>0</v>
      </c>
      <c r="C55" s="289">
        <f t="shared" si="15"/>
        <v>0</v>
      </c>
      <c r="D55" s="289">
        <f t="shared" si="16"/>
        <v>0</v>
      </c>
      <c r="E55" s="289">
        <f t="shared" si="17"/>
        <v>0</v>
      </c>
      <c r="F55" s="289">
        <f t="shared" si="18"/>
        <v>0</v>
      </c>
      <c r="G55" s="411">
        <f t="shared" si="19"/>
        <v>0</v>
      </c>
      <c r="H55" s="91">
        <f t="shared" si="20"/>
        <v>0</v>
      </c>
      <c r="I55" s="289">
        <f t="shared" si="21"/>
        <v>0</v>
      </c>
      <c r="J55" s="289">
        <f t="shared" si="22"/>
        <v>0</v>
      </c>
      <c r="K55" s="289">
        <f t="shared" si="63"/>
        <v>0</v>
      </c>
      <c r="L55" s="411">
        <f t="shared" si="67"/>
        <v>0</v>
      </c>
      <c r="M55" s="411">
        <f t="shared" si="64"/>
        <v>0</v>
      </c>
      <c r="N55" s="91">
        <f t="shared" si="23"/>
        <v>0</v>
      </c>
      <c r="O55" s="289">
        <f t="shared" si="24"/>
        <v>0</v>
      </c>
      <c r="P55" s="289">
        <f t="shared" si="25"/>
        <v>0</v>
      </c>
      <c r="Q55" s="289">
        <f t="shared" si="26"/>
        <v>0</v>
      </c>
      <c r="R55" s="289">
        <f t="shared" si="27"/>
        <v>0</v>
      </c>
      <c r="S55" s="289">
        <f t="shared" si="28"/>
        <v>0</v>
      </c>
      <c r="T55" s="289">
        <f t="shared" si="29"/>
        <v>0</v>
      </c>
      <c r="U55" s="289">
        <f t="shared" si="29"/>
        <v>0</v>
      </c>
      <c r="V55" s="289">
        <f t="shared" si="30"/>
        <v>0</v>
      </c>
      <c r="W55" s="289">
        <f t="shared" si="31"/>
        <v>0</v>
      </c>
      <c r="X55" s="411">
        <f t="shared" si="31"/>
        <v>0</v>
      </c>
      <c r="Y55" s="289">
        <f t="shared" si="32"/>
        <v>0</v>
      </c>
      <c r="Z55" s="289">
        <f t="shared" si="33"/>
        <v>0</v>
      </c>
      <c r="AA55" s="289">
        <f t="shared" si="34"/>
        <v>0</v>
      </c>
      <c r="AB55" s="289">
        <f t="shared" si="35"/>
        <v>0</v>
      </c>
      <c r="AC55" s="289">
        <f t="shared" si="36"/>
        <v>0</v>
      </c>
      <c r="AD55" s="289">
        <f t="shared" si="37"/>
        <v>0</v>
      </c>
      <c r="AE55" s="91">
        <f t="shared" si="38"/>
        <v>0</v>
      </c>
      <c r="AF55" s="411">
        <f t="shared" si="39"/>
        <v>0</v>
      </c>
      <c r="AG55" s="91">
        <f t="shared" si="40"/>
        <v>0</v>
      </c>
      <c r="AH55" s="289">
        <f t="shared" si="41"/>
        <v>0</v>
      </c>
      <c r="AI55" s="289">
        <f t="shared" si="42"/>
        <v>0</v>
      </c>
      <c r="AJ55" s="289">
        <f t="shared" si="43"/>
        <v>0</v>
      </c>
      <c r="AK55" s="411">
        <f t="shared" si="44"/>
        <v>0</v>
      </c>
      <c r="AL55" s="411">
        <f t="shared" ref="AL55:AN55" si="70">IF($A11&lt;AL$5,IF(AL54&lt;&gt;0,AL54+AL11,AL11),0)</f>
        <v>0</v>
      </c>
      <c r="AM55" s="411">
        <f t="shared" si="70"/>
        <v>0</v>
      </c>
      <c r="AN55" s="411">
        <f t="shared" si="70"/>
        <v>0</v>
      </c>
      <c r="AO55" s="91">
        <f t="shared" si="45"/>
        <v>0</v>
      </c>
      <c r="AP55" s="289">
        <f t="shared" si="46"/>
        <v>0</v>
      </c>
      <c r="AQ55" s="289">
        <f t="shared" si="47"/>
        <v>0</v>
      </c>
      <c r="AR55" s="289">
        <f t="shared" si="48"/>
        <v>0</v>
      </c>
      <c r="AS55" s="289">
        <f t="shared" si="49"/>
        <v>0</v>
      </c>
      <c r="AT55" s="289">
        <f t="shared" si="50"/>
        <v>0</v>
      </c>
      <c r="AU55" s="289">
        <f t="shared" si="51"/>
        <v>0</v>
      </c>
      <c r="AV55" s="289">
        <f t="shared" si="52"/>
        <v>0</v>
      </c>
      <c r="AW55" s="289">
        <f t="shared" si="53"/>
        <v>0</v>
      </c>
      <c r="AX55" s="411">
        <f t="shared" si="54"/>
        <v>0</v>
      </c>
      <c r="AY55" s="91">
        <f t="shared" si="55"/>
        <v>0</v>
      </c>
      <c r="AZ55" s="289">
        <f t="shared" si="56"/>
        <v>0</v>
      </c>
      <c r="BA55" s="91">
        <f t="shared" si="57"/>
        <v>0</v>
      </c>
      <c r="BB55" s="289">
        <f t="shared" si="58"/>
        <v>0</v>
      </c>
      <c r="BC55" s="411">
        <f t="shared" si="59"/>
        <v>0</v>
      </c>
      <c r="BD55" s="289">
        <f t="shared" si="60"/>
        <v>0</v>
      </c>
      <c r="BE55" s="91">
        <f t="shared" si="61"/>
        <v>0</v>
      </c>
      <c r="BF55" s="289">
        <f t="shared" si="62"/>
        <v>0</v>
      </c>
      <c r="BG55" s="411">
        <f t="shared" si="62"/>
        <v>0</v>
      </c>
    </row>
    <row r="56" spans="1:59" ht="11.1" hidden="1" customHeight="1">
      <c r="A56" s="885">
        <v>8</v>
      </c>
      <c r="B56" s="91">
        <f t="shared" si="14"/>
        <v>0</v>
      </c>
      <c r="C56" s="289">
        <f t="shared" si="15"/>
        <v>0</v>
      </c>
      <c r="D56" s="289">
        <f t="shared" si="16"/>
        <v>0</v>
      </c>
      <c r="E56" s="289">
        <f t="shared" si="17"/>
        <v>0</v>
      </c>
      <c r="F56" s="289">
        <f t="shared" si="18"/>
        <v>0</v>
      </c>
      <c r="G56" s="411">
        <f t="shared" si="19"/>
        <v>0</v>
      </c>
      <c r="H56" s="91">
        <f t="shared" si="20"/>
        <v>0</v>
      </c>
      <c r="I56" s="289">
        <f t="shared" si="21"/>
        <v>0</v>
      </c>
      <c r="J56" s="289">
        <f t="shared" si="22"/>
        <v>0</v>
      </c>
      <c r="K56" s="289">
        <f t="shared" si="63"/>
        <v>0</v>
      </c>
      <c r="L56" s="411">
        <f t="shared" si="67"/>
        <v>0</v>
      </c>
      <c r="M56" s="411">
        <f t="shared" si="64"/>
        <v>0</v>
      </c>
      <c r="N56" s="91">
        <f t="shared" si="23"/>
        <v>0</v>
      </c>
      <c r="O56" s="289">
        <f t="shared" si="24"/>
        <v>0</v>
      </c>
      <c r="P56" s="289">
        <f t="shared" si="25"/>
        <v>0</v>
      </c>
      <c r="Q56" s="289">
        <f t="shared" si="26"/>
        <v>0</v>
      </c>
      <c r="R56" s="289">
        <f t="shared" si="27"/>
        <v>0</v>
      </c>
      <c r="S56" s="289">
        <f t="shared" si="28"/>
        <v>0</v>
      </c>
      <c r="T56" s="289">
        <f t="shared" si="29"/>
        <v>0</v>
      </c>
      <c r="U56" s="289">
        <f t="shared" si="29"/>
        <v>0</v>
      </c>
      <c r="V56" s="289">
        <f t="shared" si="30"/>
        <v>0</v>
      </c>
      <c r="W56" s="289">
        <f t="shared" si="31"/>
        <v>0</v>
      </c>
      <c r="X56" s="411">
        <f t="shared" si="31"/>
        <v>0</v>
      </c>
      <c r="Y56" s="289">
        <f t="shared" si="32"/>
        <v>0</v>
      </c>
      <c r="Z56" s="289">
        <f t="shared" si="33"/>
        <v>0</v>
      </c>
      <c r="AA56" s="289">
        <f t="shared" si="34"/>
        <v>0</v>
      </c>
      <c r="AB56" s="289">
        <f t="shared" si="35"/>
        <v>0</v>
      </c>
      <c r="AC56" s="289">
        <f t="shared" si="36"/>
        <v>0</v>
      </c>
      <c r="AD56" s="289">
        <f t="shared" si="37"/>
        <v>0</v>
      </c>
      <c r="AE56" s="91">
        <f t="shared" si="38"/>
        <v>0</v>
      </c>
      <c r="AF56" s="411">
        <f t="shared" si="39"/>
        <v>0</v>
      </c>
      <c r="AG56" s="91">
        <f t="shared" si="40"/>
        <v>0</v>
      </c>
      <c r="AH56" s="289">
        <f t="shared" si="41"/>
        <v>0</v>
      </c>
      <c r="AI56" s="289">
        <f t="shared" si="42"/>
        <v>0</v>
      </c>
      <c r="AJ56" s="289">
        <f t="shared" si="43"/>
        <v>0</v>
      </c>
      <c r="AK56" s="411">
        <f t="shared" si="44"/>
        <v>0</v>
      </c>
      <c r="AL56" s="411">
        <f t="shared" ref="AL56:AN56" si="71">IF($A12&lt;AL$5,IF(AL55&lt;&gt;0,AL55+AL12,AL12),0)</f>
        <v>0</v>
      </c>
      <c r="AM56" s="411">
        <f t="shared" si="71"/>
        <v>0</v>
      </c>
      <c r="AN56" s="411">
        <f t="shared" si="71"/>
        <v>0</v>
      </c>
      <c r="AO56" s="91">
        <f t="shared" si="45"/>
        <v>0</v>
      </c>
      <c r="AP56" s="289">
        <f t="shared" si="46"/>
        <v>0</v>
      </c>
      <c r="AQ56" s="289">
        <f t="shared" si="47"/>
        <v>0</v>
      </c>
      <c r="AR56" s="289">
        <f t="shared" si="48"/>
        <v>0</v>
      </c>
      <c r="AS56" s="289">
        <f t="shared" si="49"/>
        <v>0</v>
      </c>
      <c r="AT56" s="289">
        <f t="shared" si="50"/>
        <v>0</v>
      </c>
      <c r="AU56" s="289">
        <f t="shared" si="51"/>
        <v>0</v>
      </c>
      <c r="AV56" s="289">
        <f t="shared" si="52"/>
        <v>0</v>
      </c>
      <c r="AW56" s="289">
        <f t="shared" si="53"/>
        <v>0</v>
      </c>
      <c r="AX56" s="411">
        <f t="shared" si="54"/>
        <v>0</v>
      </c>
      <c r="AY56" s="91">
        <f t="shared" si="55"/>
        <v>0</v>
      </c>
      <c r="AZ56" s="289">
        <f t="shared" si="56"/>
        <v>0</v>
      </c>
      <c r="BA56" s="91">
        <f t="shared" si="57"/>
        <v>0</v>
      </c>
      <c r="BB56" s="289">
        <f t="shared" si="58"/>
        <v>0</v>
      </c>
      <c r="BC56" s="411">
        <f t="shared" si="59"/>
        <v>0</v>
      </c>
      <c r="BD56" s="289">
        <f t="shared" si="60"/>
        <v>0</v>
      </c>
      <c r="BE56" s="91">
        <f t="shared" si="61"/>
        <v>0</v>
      </c>
      <c r="BF56" s="289">
        <f t="shared" si="62"/>
        <v>0</v>
      </c>
      <c r="BG56" s="411">
        <f t="shared" si="62"/>
        <v>0</v>
      </c>
    </row>
    <row r="57" spans="1:59" ht="11.1" hidden="1" customHeight="1">
      <c r="A57" s="885">
        <v>9</v>
      </c>
      <c r="B57" s="91">
        <f t="shared" si="14"/>
        <v>0</v>
      </c>
      <c r="C57" s="289">
        <f t="shared" si="15"/>
        <v>0</v>
      </c>
      <c r="D57" s="289">
        <f t="shared" si="16"/>
        <v>0</v>
      </c>
      <c r="E57" s="289">
        <f t="shared" si="17"/>
        <v>0</v>
      </c>
      <c r="F57" s="289">
        <f t="shared" si="18"/>
        <v>0</v>
      </c>
      <c r="G57" s="411">
        <f t="shared" si="19"/>
        <v>0</v>
      </c>
      <c r="H57" s="91">
        <f t="shared" si="20"/>
        <v>0</v>
      </c>
      <c r="I57" s="289">
        <f t="shared" si="21"/>
        <v>0</v>
      </c>
      <c r="J57" s="289">
        <f t="shared" si="22"/>
        <v>0</v>
      </c>
      <c r="K57" s="289">
        <f t="shared" si="63"/>
        <v>0</v>
      </c>
      <c r="L57" s="411">
        <f t="shared" si="67"/>
        <v>0</v>
      </c>
      <c r="M57" s="411">
        <f t="shared" si="64"/>
        <v>0</v>
      </c>
      <c r="N57" s="91">
        <f t="shared" si="23"/>
        <v>0</v>
      </c>
      <c r="O57" s="289">
        <f t="shared" si="24"/>
        <v>0</v>
      </c>
      <c r="P57" s="289">
        <f t="shared" si="25"/>
        <v>0</v>
      </c>
      <c r="Q57" s="289">
        <f t="shared" si="26"/>
        <v>0</v>
      </c>
      <c r="R57" s="289">
        <f t="shared" si="27"/>
        <v>0</v>
      </c>
      <c r="S57" s="289">
        <f t="shared" si="28"/>
        <v>0</v>
      </c>
      <c r="T57" s="289">
        <f t="shared" si="29"/>
        <v>0</v>
      </c>
      <c r="U57" s="289">
        <f t="shared" si="29"/>
        <v>0</v>
      </c>
      <c r="V57" s="289">
        <f t="shared" si="30"/>
        <v>0</v>
      </c>
      <c r="W57" s="289">
        <f t="shared" si="31"/>
        <v>0</v>
      </c>
      <c r="X57" s="411">
        <f t="shared" si="31"/>
        <v>0</v>
      </c>
      <c r="Y57" s="289">
        <f t="shared" si="32"/>
        <v>0</v>
      </c>
      <c r="Z57" s="289">
        <f t="shared" si="33"/>
        <v>0</v>
      </c>
      <c r="AA57" s="289">
        <f t="shared" si="34"/>
        <v>0</v>
      </c>
      <c r="AB57" s="289">
        <f t="shared" si="35"/>
        <v>0</v>
      </c>
      <c r="AC57" s="289">
        <f t="shared" si="36"/>
        <v>0</v>
      </c>
      <c r="AD57" s="289">
        <f t="shared" si="37"/>
        <v>0</v>
      </c>
      <c r="AE57" s="91">
        <f t="shared" si="38"/>
        <v>0</v>
      </c>
      <c r="AF57" s="411">
        <f t="shared" si="39"/>
        <v>0</v>
      </c>
      <c r="AG57" s="91">
        <f t="shared" si="40"/>
        <v>0</v>
      </c>
      <c r="AH57" s="289">
        <f t="shared" si="41"/>
        <v>0</v>
      </c>
      <c r="AI57" s="289">
        <f t="shared" si="42"/>
        <v>0</v>
      </c>
      <c r="AJ57" s="289">
        <f t="shared" si="43"/>
        <v>0</v>
      </c>
      <c r="AK57" s="411">
        <f t="shared" si="44"/>
        <v>0</v>
      </c>
      <c r="AL57" s="411">
        <f t="shared" ref="AL57:AN57" si="72">IF($A13&lt;AL$5,IF(AL56&lt;&gt;0,AL56+AL13,AL13),0)</f>
        <v>0</v>
      </c>
      <c r="AM57" s="411">
        <f t="shared" si="72"/>
        <v>0</v>
      </c>
      <c r="AN57" s="411">
        <f t="shared" si="72"/>
        <v>0</v>
      </c>
      <c r="AO57" s="91">
        <f t="shared" si="45"/>
        <v>0</v>
      </c>
      <c r="AP57" s="289">
        <f t="shared" si="46"/>
        <v>0</v>
      </c>
      <c r="AQ57" s="289">
        <f t="shared" si="47"/>
        <v>0</v>
      </c>
      <c r="AR57" s="289">
        <f t="shared" si="48"/>
        <v>0</v>
      </c>
      <c r="AS57" s="289">
        <f t="shared" si="49"/>
        <v>0</v>
      </c>
      <c r="AT57" s="289">
        <f t="shared" si="50"/>
        <v>0</v>
      </c>
      <c r="AU57" s="289">
        <f t="shared" si="51"/>
        <v>0</v>
      </c>
      <c r="AV57" s="289">
        <f t="shared" si="52"/>
        <v>0</v>
      </c>
      <c r="AW57" s="289">
        <f t="shared" si="53"/>
        <v>0</v>
      </c>
      <c r="AX57" s="411">
        <f t="shared" si="54"/>
        <v>0</v>
      </c>
      <c r="AY57" s="91">
        <f t="shared" si="55"/>
        <v>0</v>
      </c>
      <c r="AZ57" s="289">
        <f t="shared" si="56"/>
        <v>0</v>
      </c>
      <c r="BA57" s="91">
        <f t="shared" si="57"/>
        <v>0</v>
      </c>
      <c r="BB57" s="289">
        <f t="shared" si="58"/>
        <v>0</v>
      </c>
      <c r="BC57" s="411">
        <f t="shared" si="59"/>
        <v>0</v>
      </c>
      <c r="BD57" s="289">
        <f t="shared" si="60"/>
        <v>0</v>
      </c>
      <c r="BE57" s="91">
        <f t="shared" si="61"/>
        <v>0</v>
      </c>
      <c r="BF57" s="289">
        <f t="shared" si="62"/>
        <v>0</v>
      </c>
      <c r="BG57" s="411">
        <f t="shared" si="62"/>
        <v>0</v>
      </c>
    </row>
    <row r="58" spans="1:59" ht="11.1" hidden="1" customHeight="1">
      <c r="A58" s="885">
        <v>10</v>
      </c>
      <c r="B58" s="91">
        <f t="shared" si="14"/>
        <v>0</v>
      </c>
      <c r="C58" s="289">
        <f t="shared" si="15"/>
        <v>0</v>
      </c>
      <c r="D58" s="289">
        <f t="shared" si="16"/>
        <v>0</v>
      </c>
      <c r="E58" s="289">
        <f t="shared" si="17"/>
        <v>0</v>
      </c>
      <c r="F58" s="289">
        <f t="shared" si="18"/>
        <v>0</v>
      </c>
      <c r="G58" s="411">
        <f t="shared" si="19"/>
        <v>0</v>
      </c>
      <c r="H58" s="91">
        <f t="shared" si="20"/>
        <v>0</v>
      </c>
      <c r="I58" s="289">
        <f t="shared" si="21"/>
        <v>0</v>
      </c>
      <c r="J58" s="289">
        <f t="shared" si="22"/>
        <v>0</v>
      </c>
      <c r="K58" s="289">
        <f t="shared" si="63"/>
        <v>0</v>
      </c>
      <c r="L58" s="411">
        <f t="shared" si="67"/>
        <v>0</v>
      </c>
      <c r="M58" s="411">
        <f t="shared" si="64"/>
        <v>0</v>
      </c>
      <c r="N58" s="91">
        <f t="shared" si="23"/>
        <v>0</v>
      </c>
      <c r="O58" s="289">
        <f t="shared" si="24"/>
        <v>0</v>
      </c>
      <c r="P58" s="289">
        <f t="shared" si="25"/>
        <v>0</v>
      </c>
      <c r="Q58" s="289">
        <f t="shared" si="26"/>
        <v>0</v>
      </c>
      <c r="R58" s="289">
        <f t="shared" si="27"/>
        <v>0</v>
      </c>
      <c r="S58" s="289">
        <f t="shared" si="28"/>
        <v>0</v>
      </c>
      <c r="T58" s="289">
        <f t="shared" si="29"/>
        <v>0</v>
      </c>
      <c r="U58" s="289">
        <f t="shared" si="29"/>
        <v>0</v>
      </c>
      <c r="V58" s="289">
        <f t="shared" si="30"/>
        <v>0</v>
      </c>
      <c r="W58" s="289">
        <f t="shared" si="31"/>
        <v>0</v>
      </c>
      <c r="X58" s="411">
        <f t="shared" si="31"/>
        <v>0</v>
      </c>
      <c r="Y58" s="289">
        <f t="shared" si="32"/>
        <v>0</v>
      </c>
      <c r="Z58" s="289">
        <f t="shared" si="33"/>
        <v>0</v>
      </c>
      <c r="AA58" s="289">
        <f t="shared" si="34"/>
        <v>0</v>
      </c>
      <c r="AB58" s="289">
        <f t="shared" si="35"/>
        <v>0</v>
      </c>
      <c r="AC58" s="289">
        <f t="shared" si="36"/>
        <v>0</v>
      </c>
      <c r="AD58" s="289">
        <f t="shared" si="37"/>
        <v>0</v>
      </c>
      <c r="AE58" s="91">
        <f t="shared" si="38"/>
        <v>0</v>
      </c>
      <c r="AF58" s="411">
        <f t="shared" si="39"/>
        <v>0</v>
      </c>
      <c r="AG58" s="91">
        <f t="shared" si="40"/>
        <v>0</v>
      </c>
      <c r="AH58" s="289">
        <f t="shared" si="41"/>
        <v>0</v>
      </c>
      <c r="AI58" s="289">
        <f t="shared" si="42"/>
        <v>0</v>
      </c>
      <c r="AJ58" s="289">
        <f t="shared" si="43"/>
        <v>0</v>
      </c>
      <c r="AK58" s="411">
        <f t="shared" si="44"/>
        <v>0</v>
      </c>
      <c r="AL58" s="411">
        <f t="shared" ref="AL58:AN58" si="73">IF($A14&lt;AL$5,IF(AL57&lt;&gt;0,AL57+AL14,AL14),0)</f>
        <v>0</v>
      </c>
      <c r="AM58" s="411">
        <f t="shared" si="73"/>
        <v>0</v>
      </c>
      <c r="AN58" s="411">
        <f t="shared" si="73"/>
        <v>0</v>
      </c>
      <c r="AO58" s="91">
        <f t="shared" si="45"/>
        <v>0</v>
      </c>
      <c r="AP58" s="289">
        <f t="shared" si="46"/>
        <v>0</v>
      </c>
      <c r="AQ58" s="289">
        <f t="shared" si="47"/>
        <v>0</v>
      </c>
      <c r="AR58" s="289">
        <f t="shared" si="48"/>
        <v>0</v>
      </c>
      <c r="AS58" s="289">
        <f t="shared" si="49"/>
        <v>0</v>
      </c>
      <c r="AT58" s="289">
        <f t="shared" si="50"/>
        <v>0</v>
      </c>
      <c r="AU58" s="289">
        <f t="shared" si="51"/>
        <v>0</v>
      </c>
      <c r="AV58" s="289">
        <f t="shared" si="52"/>
        <v>0</v>
      </c>
      <c r="AW58" s="289">
        <f t="shared" si="53"/>
        <v>0</v>
      </c>
      <c r="AX58" s="411">
        <f t="shared" si="54"/>
        <v>0</v>
      </c>
      <c r="AY58" s="91">
        <f t="shared" si="55"/>
        <v>0</v>
      </c>
      <c r="AZ58" s="289">
        <f t="shared" si="56"/>
        <v>0</v>
      </c>
      <c r="BA58" s="91">
        <f t="shared" si="57"/>
        <v>0</v>
      </c>
      <c r="BB58" s="289">
        <f t="shared" si="58"/>
        <v>0</v>
      </c>
      <c r="BC58" s="411">
        <f t="shared" si="59"/>
        <v>0</v>
      </c>
      <c r="BD58" s="289">
        <f t="shared" si="60"/>
        <v>0</v>
      </c>
      <c r="BE58" s="91">
        <f t="shared" si="61"/>
        <v>0</v>
      </c>
      <c r="BF58" s="289">
        <f t="shared" si="62"/>
        <v>0</v>
      </c>
      <c r="BG58" s="411">
        <f t="shared" si="62"/>
        <v>0</v>
      </c>
    </row>
    <row r="59" spans="1:59" ht="11.1" hidden="1" customHeight="1">
      <c r="A59" s="885">
        <v>11</v>
      </c>
      <c r="B59" s="91">
        <f t="shared" si="14"/>
        <v>0</v>
      </c>
      <c r="C59" s="289">
        <f t="shared" si="15"/>
        <v>0</v>
      </c>
      <c r="D59" s="289">
        <f t="shared" si="16"/>
        <v>0</v>
      </c>
      <c r="E59" s="289">
        <f t="shared" si="17"/>
        <v>0</v>
      </c>
      <c r="F59" s="289">
        <f t="shared" si="18"/>
        <v>0</v>
      </c>
      <c r="G59" s="411">
        <f t="shared" si="19"/>
        <v>0</v>
      </c>
      <c r="H59" s="91">
        <f t="shared" si="20"/>
        <v>0</v>
      </c>
      <c r="I59" s="289">
        <f t="shared" si="21"/>
        <v>0</v>
      </c>
      <c r="J59" s="289">
        <f t="shared" si="22"/>
        <v>0</v>
      </c>
      <c r="K59" s="289">
        <f t="shared" si="63"/>
        <v>0</v>
      </c>
      <c r="L59" s="411">
        <f t="shared" si="67"/>
        <v>0</v>
      </c>
      <c r="M59" s="411">
        <f t="shared" si="64"/>
        <v>0</v>
      </c>
      <c r="N59" s="91">
        <f t="shared" si="23"/>
        <v>0</v>
      </c>
      <c r="O59" s="289">
        <f t="shared" si="24"/>
        <v>0</v>
      </c>
      <c r="P59" s="289">
        <f t="shared" si="25"/>
        <v>0</v>
      </c>
      <c r="Q59" s="289">
        <f t="shared" si="26"/>
        <v>0</v>
      </c>
      <c r="R59" s="289">
        <f t="shared" si="27"/>
        <v>0</v>
      </c>
      <c r="S59" s="289">
        <f t="shared" si="28"/>
        <v>0</v>
      </c>
      <c r="T59" s="289">
        <f t="shared" si="29"/>
        <v>0</v>
      </c>
      <c r="U59" s="289">
        <f t="shared" si="29"/>
        <v>0</v>
      </c>
      <c r="V59" s="289">
        <f t="shared" si="30"/>
        <v>0</v>
      </c>
      <c r="W59" s="289">
        <f t="shared" si="31"/>
        <v>0</v>
      </c>
      <c r="X59" s="411">
        <f t="shared" si="31"/>
        <v>0</v>
      </c>
      <c r="Y59" s="289">
        <f t="shared" si="32"/>
        <v>0</v>
      </c>
      <c r="Z59" s="289">
        <f t="shared" si="33"/>
        <v>0</v>
      </c>
      <c r="AA59" s="289">
        <f t="shared" si="34"/>
        <v>0</v>
      </c>
      <c r="AB59" s="289">
        <f t="shared" si="35"/>
        <v>0</v>
      </c>
      <c r="AC59" s="289">
        <f t="shared" si="36"/>
        <v>0</v>
      </c>
      <c r="AD59" s="289">
        <f t="shared" si="37"/>
        <v>0</v>
      </c>
      <c r="AE59" s="91">
        <f t="shared" si="38"/>
        <v>0</v>
      </c>
      <c r="AF59" s="411">
        <f t="shared" si="39"/>
        <v>0</v>
      </c>
      <c r="AG59" s="91">
        <f t="shared" si="40"/>
        <v>0</v>
      </c>
      <c r="AH59" s="289">
        <f t="shared" si="41"/>
        <v>0</v>
      </c>
      <c r="AI59" s="289">
        <f t="shared" si="42"/>
        <v>0</v>
      </c>
      <c r="AJ59" s="289">
        <f t="shared" si="43"/>
        <v>0</v>
      </c>
      <c r="AK59" s="411">
        <f t="shared" si="44"/>
        <v>0</v>
      </c>
      <c r="AL59" s="411">
        <f t="shared" ref="AL59:AN59" si="74">IF($A15&lt;AL$5,IF(AL58&lt;&gt;0,AL58+AL15,AL15),0)</f>
        <v>0</v>
      </c>
      <c r="AM59" s="411">
        <f t="shared" si="74"/>
        <v>0</v>
      </c>
      <c r="AN59" s="411">
        <f t="shared" si="74"/>
        <v>0</v>
      </c>
      <c r="AO59" s="91">
        <f t="shared" si="45"/>
        <v>0</v>
      </c>
      <c r="AP59" s="289">
        <f t="shared" si="46"/>
        <v>0</v>
      </c>
      <c r="AQ59" s="289">
        <f t="shared" si="47"/>
        <v>0</v>
      </c>
      <c r="AR59" s="289">
        <f t="shared" si="48"/>
        <v>0</v>
      </c>
      <c r="AS59" s="289">
        <f t="shared" si="49"/>
        <v>0</v>
      </c>
      <c r="AT59" s="289">
        <f t="shared" si="50"/>
        <v>0</v>
      </c>
      <c r="AU59" s="289">
        <f t="shared" si="51"/>
        <v>0</v>
      </c>
      <c r="AV59" s="289">
        <f t="shared" si="52"/>
        <v>0</v>
      </c>
      <c r="AW59" s="289">
        <f t="shared" si="53"/>
        <v>0</v>
      </c>
      <c r="AX59" s="411">
        <f t="shared" si="54"/>
        <v>0</v>
      </c>
      <c r="AY59" s="91">
        <f t="shared" si="55"/>
        <v>0</v>
      </c>
      <c r="AZ59" s="289">
        <f t="shared" si="56"/>
        <v>0</v>
      </c>
      <c r="BA59" s="91">
        <f t="shared" si="57"/>
        <v>0</v>
      </c>
      <c r="BB59" s="289">
        <f t="shared" si="58"/>
        <v>0</v>
      </c>
      <c r="BC59" s="411">
        <f t="shared" si="59"/>
        <v>0</v>
      </c>
      <c r="BD59" s="289">
        <f t="shared" si="60"/>
        <v>0</v>
      </c>
      <c r="BE59" s="91">
        <f t="shared" si="61"/>
        <v>0</v>
      </c>
      <c r="BF59" s="289">
        <f t="shared" si="62"/>
        <v>0</v>
      </c>
      <c r="BG59" s="411">
        <f t="shared" si="62"/>
        <v>0</v>
      </c>
    </row>
    <row r="60" spans="1:59" ht="11.1" hidden="1" customHeight="1">
      <c r="A60" s="885">
        <v>12</v>
      </c>
      <c r="B60" s="91">
        <f t="shared" si="14"/>
        <v>0</v>
      </c>
      <c r="C60" s="289">
        <f t="shared" si="15"/>
        <v>0</v>
      </c>
      <c r="D60" s="289">
        <f t="shared" si="16"/>
        <v>0</v>
      </c>
      <c r="E60" s="289">
        <f t="shared" si="17"/>
        <v>0</v>
      </c>
      <c r="F60" s="289">
        <f t="shared" si="18"/>
        <v>0</v>
      </c>
      <c r="G60" s="411">
        <f t="shared" si="19"/>
        <v>0</v>
      </c>
      <c r="H60" s="91">
        <f t="shared" si="20"/>
        <v>0</v>
      </c>
      <c r="I60" s="289">
        <f t="shared" si="21"/>
        <v>0</v>
      </c>
      <c r="J60" s="289">
        <f t="shared" si="22"/>
        <v>0</v>
      </c>
      <c r="K60" s="289">
        <f t="shared" si="63"/>
        <v>0</v>
      </c>
      <c r="L60" s="411">
        <f t="shared" si="67"/>
        <v>0</v>
      </c>
      <c r="M60" s="411">
        <f t="shared" si="64"/>
        <v>0</v>
      </c>
      <c r="N60" s="91">
        <f t="shared" si="23"/>
        <v>0</v>
      </c>
      <c r="O60" s="289">
        <f t="shared" si="24"/>
        <v>0</v>
      </c>
      <c r="P60" s="289">
        <f t="shared" si="25"/>
        <v>0</v>
      </c>
      <c r="Q60" s="289">
        <f t="shared" si="26"/>
        <v>0</v>
      </c>
      <c r="R60" s="289">
        <f t="shared" si="27"/>
        <v>0</v>
      </c>
      <c r="S60" s="289">
        <f t="shared" si="28"/>
        <v>0</v>
      </c>
      <c r="T60" s="289">
        <f t="shared" si="29"/>
        <v>0</v>
      </c>
      <c r="U60" s="289">
        <f t="shared" si="29"/>
        <v>0</v>
      </c>
      <c r="V60" s="289">
        <f t="shared" si="30"/>
        <v>0</v>
      </c>
      <c r="W60" s="289">
        <f t="shared" si="31"/>
        <v>0</v>
      </c>
      <c r="X60" s="411">
        <f t="shared" si="31"/>
        <v>0</v>
      </c>
      <c r="Y60" s="289">
        <f t="shared" si="32"/>
        <v>0</v>
      </c>
      <c r="Z60" s="289">
        <f t="shared" si="33"/>
        <v>0</v>
      </c>
      <c r="AA60" s="289">
        <f t="shared" si="34"/>
        <v>0</v>
      </c>
      <c r="AB60" s="289">
        <f t="shared" si="35"/>
        <v>0</v>
      </c>
      <c r="AC60" s="289">
        <f t="shared" si="36"/>
        <v>0</v>
      </c>
      <c r="AD60" s="289">
        <f t="shared" si="37"/>
        <v>0</v>
      </c>
      <c r="AE60" s="91">
        <f t="shared" si="38"/>
        <v>0</v>
      </c>
      <c r="AF60" s="411">
        <f>IF($A16&lt;AF$5,IF(AF59&lt;&gt;0,AF59+AF16,AF16),0)</f>
        <v>0</v>
      </c>
      <c r="AG60" s="91">
        <f t="shared" si="40"/>
        <v>0</v>
      </c>
      <c r="AH60" s="289">
        <f t="shared" si="41"/>
        <v>0</v>
      </c>
      <c r="AI60" s="289">
        <f t="shared" si="42"/>
        <v>0</v>
      </c>
      <c r="AJ60" s="289">
        <f t="shared" si="43"/>
        <v>0</v>
      </c>
      <c r="AK60" s="411">
        <f t="shared" si="44"/>
        <v>0</v>
      </c>
      <c r="AL60" s="411">
        <f t="shared" ref="AL60:AN60" si="75">IF($A16&lt;AL$5,IF(AL59&lt;&gt;0,AL59+AL16,AL16),0)</f>
        <v>0</v>
      </c>
      <c r="AM60" s="411">
        <f t="shared" si="75"/>
        <v>0</v>
      </c>
      <c r="AN60" s="411">
        <f t="shared" si="75"/>
        <v>0</v>
      </c>
      <c r="AO60" s="91">
        <f t="shared" si="45"/>
        <v>0</v>
      </c>
      <c r="AP60" s="289">
        <f t="shared" si="46"/>
        <v>0</v>
      </c>
      <c r="AQ60" s="289">
        <f t="shared" si="47"/>
        <v>0</v>
      </c>
      <c r="AR60" s="289">
        <f t="shared" si="48"/>
        <v>0</v>
      </c>
      <c r="AS60" s="289">
        <f t="shared" si="49"/>
        <v>0</v>
      </c>
      <c r="AT60" s="289">
        <f t="shared" si="50"/>
        <v>0</v>
      </c>
      <c r="AU60" s="289">
        <f t="shared" si="51"/>
        <v>0</v>
      </c>
      <c r="AV60" s="289">
        <f t="shared" si="52"/>
        <v>0</v>
      </c>
      <c r="AW60" s="289">
        <f t="shared" si="53"/>
        <v>0</v>
      </c>
      <c r="AX60" s="411">
        <f t="shared" si="54"/>
        <v>0</v>
      </c>
      <c r="AY60" s="91">
        <f t="shared" si="55"/>
        <v>0</v>
      </c>
      <c r="AZ60" s="289">
        <f t="shared" si="56"/>
        <v>0</v>
      </c>
      <c r="BA60" s="91">
        <f t="shared" si="57"/>
        <v>0</v>
      </c>
      <c r="BB60" s="289">
        <f t="shared" si="58"/>
        <v>0</v>
      </c>
      <c r="BC60" s="411">
        <f t="shared" si="59"/>
        <v>0</v>
      </c>
      <c r="BD60" s="289">
        <f t="shared" si="60"/>
        <v>0</v>
      </c>
      <c r="BE60" s="91">
        <f t="shared" si="61"/>
        <v>0</v>
      </c>
      <c r="BF60" s="289">
        <f t="shared" si="62"/>
        <v>0</v>
      </c>
      <c r="BG60" s="411">
        <f t="shared" si="62"/>
        <v>0</v>
      </c>
    </row>
    <row r="61" spans="1:59" ht="11.1" hidden="1" customHeight="1">
      <c r="A61" s="885">
        <v>13</v>
      </c>
      <c r="B61" s="91">
        <f t="shared" si="14"/>
        <v>0</v>
      </c>
      <c r="C61" s="289">
        <f t="shared" si="15"/>
        <v>0</v>
      </c>
      <c r="D61" s="289">
        <f t="shared" si="16"/>
        <v>0</v>
      </c>
      <c r="E61" s="289">
        <f t="shared" si="17"/>
        <v>0</v>
      </c>
      <c r="F61" s="289">
        <f t="shared" si="18"/>
        <v>0</v>
      </c>
      <c r="G61" s="411">
        <f t="shared" si="19"/>
        <v>0</v>
      </c>
      <c r="H61" s="91">
        <f t="shared" si="20"/>
        <v>0</v>
      </c>
      <c r="I61" s="289">
        <f t="shared" si="21"/>
        <v>0</v>
      </c>
      <c r="J61" s="289">
        <f t="shared" si="22"/>
        <v>0</v>
      </c>
      <c r="K61" s="289">
        <f t="shared" si="63"/>
        <v>0</v>
      </c>
      <c r="L61" s="411">
        <f t="shared" si="67"/>
        <v>0</v>
      </c>
      <c r="M61" s="411">
        <f t="shared" si="64"/>
        <v>0</v>
      </c>
      <c r="N61" s="91">
        <f t="shared" si="23"/>
        <v>0</v>
      </c>
      <c r="O61" s="289">
        <f t="shared" si="24"/>
        <v>0</v>
      </c>
      <c r="P61" s="289">
        <f t="shared" si="25"/>
        <v>0</v>
      </c>
      <c r="Q61" s="289">
        <f t="shared" si="26"/>
        <v>0</v>
      </c>
      <c r="R61" s="289">
        <f t="shared" si="27"/>
        <v>0</v>
      </c>
      <c r="S61" s="289">
        <f t="shared" si="28"/>
        <v>0</v>
      </c>
      <c r="T61" s="289">
        <f t="shared" si="29"/>
        <v>0</v>
      </c>
      <c r="U61" s="289">
        <f t="shared" si="29"/>
        <v>0</v>
      </c>
      <c r="V61" s="289">
        <f t="shared" si="30"/>
        <v>0</v>
      </c>
      <c r="W61" s="289">
        <f t="shared" si="31"/>
        <v>0</v>
      </c>
      <c r="X61" s="411">
        <f t="shared" si="31"/>
        <v>0</v>
      </c>
      <c r="Y61" s="289">
        <f t="shared" si="32"/>
        <v>0</v>
      </c>
      <c r="Z61" s="289">
        <f t="shared" si="33"/>
        <v>0</v>
      </c>
      <c r="AA61" s="289">
        <f t="shared" si="34"/>
        <v>0</v>
      </c>
      <c r="AB61" s="289">
        <f t="shared" si="35"/>
        <v>0</v>
      </c>
      <c r="AC61" s="289">
        <f t="shared" si="36"/>
        <v>0</v>
      </c>
      <c r="AD61" s="289">
        <f t="shared" si="37"/>
        <v>0</v>
      </c>
      <c r="AE61" s="91">
        <f t="shared" si="38"/>
        <v>0</v>
      </c>
      <c r="AF61" s="411">
        <f t="shared" si="39"/>
        <v>0</v>
      </c>
      <c r="AG61" s="91">
        <f t="shared" si="40"/>
        <v>0</v>
      </c>
      <c r="AH61" s="289">
        <f t="shared" si="41"/>
        <v>0</v>
      </c>
      <c r="AI61" s="289">
        <f t="shared" si="42"/>
        <v>0</v>
      </c>
      <c r="AJ61" s="289">
        <f t="shared" si="43"/>
        <v>0</v>
      </c>
      <c r="AK61" s="411">
        <f t="shared" si="44"/>
        <v>0</v>
      </c>
      <c r="AL61" s="411">
        <f t="shared" ref="AL61:AN61" si="76">IF($A17&lt;AL$5,IF(AL60&lt;&gt;0,AL60+AL17,AL17),0)</f>
        <v>0</v>
      </c>
      <c r="AM61" s="411">
        <f t="shared" si="76"/>
        <v>0</v>
      </c>
      <c r="AN61" s="411">
        <f t="shared" si="76"/>
        <v>0</v>
      </c>
      <c r="AO61" s="91">
        <f t="shared" si="45"/>
        <v>0</v>
      </c>
      <c r="AP61" s="289">
        <f t="shared" si="46"/>
        <v>0</v>
      </c>
      <c r="AQ61" s="289">
        <f t="shared" si="47"/>
        <v>0</v>
      </c>
      <c r="AR61" s="289">
        <f t="shared" si="48"/>
        <v>0</v>
      </c>
      <c r="AS61" s="289">
        <f t="shared" si="49"/>
        <v>0</v>
      </c>
      <c r="AT61" s="289">
        <f t="shared" si="50"/>
        <v>0</v>
      </c>
      <c r="AU61" s="289">
        <f t="shared" si="51"/>
        <v>0</v>
      </c>
      <c r="AV61" s="289">
        <f t="shared" si="52"/>
        <v>0</v>
      </c>
      <c r="AW61" s="289">
        <f t="shared" si="53"/>
        <v>0</v>
      </c>
      <c r="AX61" s="411">
        <f t="shared" si="54"/>
        <v>0</v>
      </c>
      <c r="AY61" s="91">
        <f t="shared" si="55"/>
        <v>0</v>
      </c>
      <c r="AZ61" s="289">
        <f t="shared" si="56"/>
        <v>0</v>
      </c>
      <c r="BA61" s="91">
        <f t="shared" si="57"/>
        <v>0</v>
      </c>
      <c r="BB61" s="289">
        <f t="shared" si="58"/>
        <v>0</v>
      </c>
      <c r="BC61" s="411">
        <f t="shared" si="59"/>
        <v>0</v>
      </c>
      <c r="BD61" s="289">
        <f t="shared" si="60"/>
        <v>0</v>
      </c>
      <c r="BE61" s="91">
        <f t="shared" si="61"/>
        <v>0</v>
      </c>
      <c r="BF61" s="289">
        <f t="shared" si="62"/>
        <v>0</v>
      </c>
      <c r="BG61" s="411">
        <f t="shared" si="62"/>
        <v>0</v>
      </c>
    </row>
    <row r="62" spans="1:59" ht="11.1" hidden="1" customHeight="1">
      <c r="A62" s="885">
        <v>14</v>
      </c>
      <c r="B62" s="91">
        <f t="shared" si="14"/>
        <v>0</v>
      </c>
      <c r="C62" s="289">
        <f t="shared" si="15"/>
        <v>0</v>
      </c>
      <c r="D62" s="289">
        <f t="shared" si="16"/>
        <v>0</v>
      </c>
      <c r="E62" s="289">
        <f t="shared" si="17"/>
        <v>0</v>
      </c>
      <c r="F62" s="289">
        <f t="shared" si="18"/>
        <v>0</v>
      </c>
      <c r="G62" s="411">
        <f t="shared" si="19"/>
        <v>0</v>
      </c>
      <c r="H62" s="91">
        <f t="shared" si="20"/>
        <v>0</v>
      </c>
      <c r="I62" s="289">
        <f t="shared" si="21"/>
        <v>0</v>
      </c>
      <c r="J62" s="289">
        <f t="shared" si="22"/>
        <v>0</v>
      </c>
      <c r="K62" s="289">
        <f t="shared" si="63"/>
        <v>0</v>
      </c>
      <c r="L62" s="411">
        <f t="shared" si="67"/>
        <v>0</v>
      </c>
      <c r="M62" s="411">
        <f t="shared" si="64"/>
        <v>0</v>
      </c>
      <c r="N62" s="91">
        <f t="shared" si="23"/>
        <v>0</v>
      </c>
      <c r="O62" s="289">
        <f t="shared" si="24"/>
        <v>0</v>
      </c>
      <c r="P62" s="289">
        <f t="shared" si="25"/>
        <v>0</v>
      </c>
      <c r="Q62" s="289">
        <f t="shared" si="26"/>
        <v>0</v>
      </c>
      <c r="R62" s="289">
        <f t="shared" si="27"/>
        <v>0</v>
      </c>
      <c r="S62" s="289">
        <f t="shared" si="28"/>
        <v>0</v>
      </c>
      <c r="T62" s="289">
        <f t="shared" si="29"/>
        <v>0</v>
      </c>
      <c r="U62" s="289">
        <f t="shared" si="29"/>
        <v>0</v>
      </c>
      <c r="V62" s="289">
        <f t="shared" si="30"/>
        <v>0</v>
      </c>
      <c r="W62" s="289">
        <f t="shared" si="31"/>
        <v>0</v>
      </c>
      <c r="X62" s="411">
        <f t="shared" si="31"/>
        <v>0</v>
      </c>
      <c r="Y62" s="289">
        <f t="shared" si="32"/>
        <v>0</v>
      </c>
      <c r="Z62" s="289">
        <f t="shared" si="33"/>
        <v>0</v>
      </c>
      <c r="AA62" s="289">
        <f t="shared" si="34"/>
        <v>0</v>
      </c>
      <c r="AB62" s="289">
        <f t="shared" si="35"/>
        <v>0</v>
      </c>
      <c r="AC62" s="289">
        <f t="shared" si="36"/>
        <v>0</v>
      </c>
      <c r="AD62" s="289">
        <f t="shared" si="37"/>
        <v>0</v>
      </c>
      <c r="AE62" s="91">
        <f t="shared" si="38"/>
        <v>0</v>
      </c>
      <c r="AF62" s="411">
        <f>IF($A18&lt;AF$5,IF(AF61&lt;&gt;0,AF61+AF18,AF18),0)</f>
        <v>0</v>
      </c>
      <c r="AG62" s="91">
        <f t="shared" si="40"/>
        <v>0</v>
      </c>
      <c r="AH62" s="289">
        <f t="shared" si="41"/>
        <v>0</v>
      </c>
      <c r="AI62" s="289">
        <f t="shared" si="42"/>
        <v>0</v>
      </c>
      <c r="AJ62" s="289">
        <f t="shared" si="43"/>
        <v>0</v>
      </c>
      <c r="AK62" s="411">
        <f t="shared" si="44"/>
        <v>0</v>
      </c>
      <c r="AL62" s="411">
        <f t="shared" ref="AL62:AN62" si="77">IF($A18&lt;AL$5,IF(AL61&lt;&gt;0,AL61+AL18,AL18),0)</f>
        <v>0</v>
      </c>
      <c r="AM62" s="411">
        <f t="shared" si="77"/>
        <v>0</v>
      </c>
      <c r="AN62" s="411">
        <f t="shared" si="77"/>
        <v>0</v>
      </c>
      <c r="AO62" s="91">
        <f t="shared" si="45"/>
        <v>0</v>
      </c>
      <c r="AP62" s="289">
        <f t="shared" si="46"/>
        <v>0</v>
      </c>
      <c r="AQ62" s="289">
        <f t="shared" si="47"/>
        <v>0</v>
      </c>
      <c r="AR62" s="289">
        <f t="shared" si="48"/>
        <v>0</v>
      </c>
      <c r="AS62" s="289">
        <f t="shared" si="49"/>
        <v>0</v>
      </c>
      <c r="AT62" s="289">
        <f t="shared" si="50"/>
        <v>0</v>
      </c>
      <c r="AU62" s="289">
        <f t="shared" si="51"/>
        <v>0</v>
      </c>
      <c r="AV62" s="289">
        <f t="shared" si="52"/>
        <v>0</v>
      </c>
      <c r="AW62" s="289">
        <f t="shared" si="53"/>
        <v>0</v>
      </c>
      <c r="AX62" s="411">
        <f t="shared" si="54"/>
        <v>0</v>
      </c>
      <c r="AY62" s="91">
        <f t="shared" si="55"/>
        <v>0</v>
      </c>
      <c r="AZ62" s="289">
        <f t="shared" si="56"/>
        <v>0</v>
      </c>
      <c r="BA62" s="91">
        <f t="shared" si="57"/>
        <v>0</v>
      </c>
      <c r="BB62" s="289">
        <f t="shared" si="58"/>
        <v>0</v>
      </c>
      <c r="BC62" s="411">
        <f t="shared" si="59"/>
        <v>0</v>
      </c>
      <c r="BD62" s="289">
        <f t="shared" si="60"/>
        <v>0</v>
      </c>
      <c r="BE62" s="91">
        <f t="shared" si="61"/>
        <v>0</v>
      </c>
      <c r="BF62" s="289">
        <f t="shared" si="62"/>
        <v>0</v>
      </c>
      <c r="BG62" s="411">
        <f t="shared" si="62"/>
        <v>0</v>
      </c>
    </row>
    <row r="63" spans="1:59" ht="11.1" hidden="1" customHeight="1">
      <c r="A63" s="885">
        <v>15</v>
      </c>
      <c r="B63" s="91">
        <f t="shared" si="14"/>
        <v>0</v>
      </c>
      <c r="C63" s="289">
        <f t="shared" si="15"/>
        <v>0</v>
      </c>
      <c r="D63" s="289">
        <f t="shared" si="16"/>
        <v>0</v>
      </c>
      <c r="E63" s="289">
        <f t="shared" si="17"/>
        <v>0</v>
      </c>
      <c r="F63" s="289">
        <f t="shared" si="18"/>
        <v>0</v>
      </c>
      <c r="G63" s="411">
        <f t="shared" si="19"/>
        <v>0</v>
      </c>
      <c r="H63" s="91">
        <f t="shared" si="20"/>
        <v>0</v>
      </c>
      <c r="I63" s="289">
        <f t="shared" si="21"/>
        <v>0</v>
      </c>
      <c r="J63" s="289">
        <f t="shared" si="22"/>
        <v>0</v>
      </c>
      <c r="K63" s="289">
        <f t="shared" si="63"/>
        <v>0</v>
      </c>
      <c r="L63" s="411">
        <f t="shared" si="67"/>
        <v>0</v>
      </c>
      <c r="M63" s="411">
        <f t="shared" si="64"/>
        <v>0</v>
      </c>
      <c r="N63" s="91">
        <f t="shared" si="23"/>
        <v>0</v>
      </c>
      <c r="O63" s="289">
        <f t="shared" si="24"/>
        <v>0</v>
      </c>
      <c r="P63" s="289">
        <f t="shared" si="25"/>
        <v>0</v>
      </c>
      <c r="Q63" s="289">
        <f t="shared" si="26"/>
        <v>0</v>
      </c>
      <c r="R63" s="289">
        <f t="shared" si="27"/>
        <v>0</v>
      </c>
      <c r="S63" s="289">
        <f t="shared" si="28"/>
        <v>0</v>
      </c>
      <c r="T63" s="289">
        <f t="shared" si="29"/>
        <v>0</v>
      </c>
      <c r="U63" s="289">
        <f t="shared" si="29"/>
        <v>0</v>
      </c>
      <c r="V63" s="289">
        <f t="shared" si="30"/>
        <v>0</v>
      </c>
      <c r="W63" s="289">
        <f t="shared" si="31"/>
        <v>0</v>
      </c>
      <c r="X63" s="411">
        <f t="shared" si="31"/>
        <v>0</v>
      </c>
      <c r="Y63" s="289">
        <f t="shared" si="32"/>
        <v>0</v>
      </c>
      <c r="Z63" s="289">
        <f t="shared" si="33"/>
        <v>0</v>
      </c>
      <c r="AA63" s="289">
        <f t="shared" si="34"/>
        <v>0</v>
      </c>
      <c r="AB63" s="289">
        <f t="shared" si="35"/>
        <v>0</v>
      </c>
      <c r="AC63" s="289">
        <f t="shared" si="36"/>
        <v>0</v>
      </c>
      <c r="AD63" s="289">
        <f t="shared" si="37"/>
        <v>0</v>
      </c>
      <c r="AE63" s="91">
        <f t="shared" si="38"/>
        <v>0</v>
      </c>
      <c r="AF63" s="411">
        <f t="shared" si="39"/>
        <v>0</v>
      </c>
      <c r="AG63" s="91">
        <f t="shared" si="40"/>
        <v>0</v>
      </c>
      <c r="AH63" s="289">
        <f t="shared" si="41"/>
        <v>0</v>
      </c>
      <c r="AI63" s="289">
        <f t="shared" si="42"/>
        <v>0</v>
      </c>
      <c r="AJ63" s="289">
        <f t="shared" si="43"/>
        <v>0</v>
      </c>
      <c r="AK63" s="411">
        <f t="shared" si="44"/>
        <v>0</v>
      </c>
      <c r="AL63" s="411">
        <f t="shared" ref="AL63:AN63" si="78">IF($A19&lt;AL$5,IF(AL62&lt;&gt;0,AL62+AL19,AL19),0)</f>
        <v>0</v>
      </c>
      <c r="AM63" s="411">
        <f t="shared" si="78"/>
        <v>0</v>
      </c>
      <c r="AN63" s="411">
        <f t="shared" si="78"/>
        <v>0</v>
      </c>
      <c r="AO63" s="91">
        <f t="shared" si="45"/>
        <v>0</v>
      </c>
      <c r="AP63" s="289">
        <f t="shared" si="46"/>
        <v>0</v>
      </c>
      <c r="AQ63" s="289">
        <f t="shared" si="47"/>
        <v>0</v>
      </c>
      <c r="AR63" s="289">
        <f t="shared" si="48"/>
        <v>0</v>
      </c>
      <c r="AS63" s="289">
        <f t="shared" si="49"/>
        <v>0</v>
      </c>
      <c r="AT63" s="289">
        <f t="shared" si="50"/>
        <v>0</v>
      </c>
      <c r="AU63" s="289">
        <f t="shared" si="51"/>
        <v>0</v>
      </c>
      <c r="AV63" s="289">
        <f t="shared" si="52"/>
        <v>0</v>
      </c>
      <c r="AW63" s="289">
        <f t="shared" si="53"/>
        <v>0</v>
      </c>
      <c r="AX63" s="411">
        <f t="shared" si="54"/>
        <v>0</v>
      </c>
      <c r="AY63" s="91">
        <f t="shared" si="55"/>
        <v>0</v>
      </c>
      <c r="AZ63" s="289">
        <f t="shared" si="56"/>
        <v>0</v>
      </c>
      <c r="BA63" s="91">
        <f t="shared" si="57"/>
        <v>0</v>
      </c>
      <c r="BB63" s="289">
        <f t="shared" si="58"/>
        <v>0</v>
      </c>
      <c r="BC63" s="411">
        <f t="shared" si="59"/>
        <v>0</v>
      </c>
      <c r="BD63" s="289">
        <f t="shared" si="60"/>
        <v>0</v>
      </c>
      <c r="BE63" s="91">
        <f t="shared" si="61"/>
        <v>0</v>
      </c>
      <c r="BF63" s="289">
        <f t="shared" si="62"/>
        <v>0</v>
      </c>
      <c r="BG63" s="411">
        <f t="shared" si="62"/>
        <v>0</v>
      </c>
    </row>
    <row r="64" spans="1:59" ht="11.1" hidden="1" customHeight="1">
      <c r="A64" s="885">
        <v>16</v>
      </c>
      <c r="B64" s="91">
        <f t="shared" si="14"/>
        <v>0</v>
      </c>
      <c r="C64" s="289">
        <f t="shared" si="15"/>
        <v>0</v>
      </c>
      <c r="D64" s="289">
        <f t="shared" si="16"/>
        <v>0</v>
      </c>
      <c r="E64" s="289">
        <f t="shared" si="17"/>
        <v>0</v>
      </c>
      <c r="F64" s="289">
        <f t="shared" si="18"/>
        <v>0</v>
      </c>
      <c r="G64" s="411">
        <f t="shared" si="19"/>
        <v>0</v>
      </c>
      <c r="H64" s="91">
        <f t="shared" si="20"/>
        <v>0</v>
      </c>
      <c r="I64" s="289">
        <f t="shared" si="21"/>
        <v>0</v>
      </c>
      <c r="J64" s="289">
        <f t="shared" si="22"/>
        <v>0</v>
      </c>
      <c r="K64" s="289">
        <f t="shared" si="63"/>
        <v>0</v>
      </c>
      <c r="L64" s="411">
        <f t="shared" si="67"/>
        <v>0</v>
      </c>
      <c r="M64" s="411">
        <f t="shared" si="64"/>
        <v>0</v>
      </c>
      <c r="N64" s="91">
        <f t="shared" si="23"/>
        <v>0</v>
      </c>
      <c r="O64" s="289">
        <f t="shared" si="24"/>
        <v>0</v>
      </c>
      <c r="P64" s="289">
        <f t="shared" si="25"/>
        <v>0</v>
      </c>
      <c r="Q64" s="289">
        <f t="shared" si="26"/>
        <v>0</v>
      </c>
      <c r="R64" s="289">
        <f t="shared" si="27"/>
        <v>0</v>
      </c>
      <c r="S64" s="289">
        <f t="shared" si="28"/>
        <v>0</v>
      </c>
      <c r="T64" s="289">
        <f t="shared" si="29"/>
        <v>0</v>
      </c>
      <c r="U64" s="289">
        <f t="shared" si="29"/>
        <v>0</v>
      </c>
      <c r="V64" s="289">
        <f t="shared" si="30"/>
        <v>0</v>
      </c>
      <c r="W64" s="289">
        <f t="shared" si="31"/>
        <v>0</v>
      </c>
      <c r="X64" s="411">
        <f t="shared" si="31"/>
        <v>0</v>
      </c>
      <c r="Y64" s="289">
        <f t="shared" si="32"/>
        <v>0</v>
      </c>
      <c r="Z64" s="289">
        <f t="shared" si="33"/>
        <v>0</v>
      </c>
      <c r="AA64" s="289">
        <f t="shared" si="34"/>
        <v>0</v>
      </c>
      <c r="AB64" s="289">
        <f t="shared" si="35"/>
        <v>0</v>
      </c>
      <c r="AC64" s="289">
        <f t="shared" si="36"/>
        <v>0</v>
      </c>
      <c r="AD64" s="289">
        <f t="shared" si="37"/>
        <v>0</v>
      </c>
      <c r="AE64" s="91">
        <f t="shared" si="38"/>
        <v>0</v>
      </c>
      <c r="AF64" s="411">
        <f t="shared" si="39"/>
        <v>0</v>
      </c>
      <c r="AG64" s="91">
        <f t="shared" si="40"/>
        <v>0</v>
      </c>
      <c r="AH64" s="289">
        <f t="shared" si="41"/>
        <v>0</v>
      </c>
      <c r="AI64" s="289">
        <f t="shared" si="42"/>
        <v>0</v>
      </c>
      <c r="AJ64" s="289">
        <f t="shared" si="43"/>
        <v>0</v>
      </c>
      <c r="AK64" s="411">
        <f t="shared" si="44"/>
        <v>0</v>
      </c>
      <c r="AL64" s="411">
        <f t="shared" ref="AL64:AN64" si="79">IF($A20&lt;AL$5,IF(AL63&lt;&gt;0,AL63+AL20,AL20),0)</f>
        <v>0</v>
      </c>
      <c r="AM64" s="411">
        <f t="shared" si="79"/>
        <v>0</v>
      </c>
      <c r="AN64" s="411">
        <f t="shared" si="79"/>
        <v>0</v>
      </c>
      <c r="AO64" s="91">
        <f t="shared" si="45"/>
        <v>0</v>
      </c>
      <c r="AP64" s="289">
        <f t="shared" si="46"/>
        <v>0</v>
      </c>
      <c r="AQ64" s="289">
        <f t="shared" si="47"/>
        <v>0</v>
      </c>
      <c r="AR64" s="289">
        <f t="shared" si="48"/>
        <v>0</v>
      </c>
      <c r="AS64" s="289">
        <f t="shared" si="49"/>
        <v>0</v>
      </c>
      <c r="AT64" s="289">
        <f t="shared" si="50"/>
        <v>0</v>
      </c>
      <c r="AU64" s="289">
        <f t="shared" si="51"/>
        <v>0</v>
      </c>
      <c r="AV64" s="289">
        <f t="shared" si="52"/>
        <v>0</v>
      </c>
      <c r="AW64" s="289">
        <f t="shared" si="53"/>
        <v>0</v>
      </c>
      <c r="AX64" s="411">
        <f t="shared" si="54"/>
        <v>0</v>
      </c>
      <c r="AY64" s="91">
        <f t="shared" si="55"/>
        <v>0</v>
      </c>
      <c r="AZ64" s="289">
        <f t="shared" si="56"/>
        <v>0</v>
      </c>
      <c r="BA64" s="91">
        <f t="shared" si="57"/>
        <v>0</v>
      </c>
      <c r="BB64" s="289">
        <f t="shared" si="58"/>
        <v>0</v>
      </c>
      <c r="BC64" s="411">
        <f t="shared" si="59"/>
        <v>0</v>
      </c>
      <c r="BD64" s="289">
        <f t="shared" si="60"/>
        <v>0</v>
      </c>
      <c r="BE64" s="91">
        <f t="shared" si="61"/>
        <v>0</v>
      </c>
      <c r="BF64" s="289">
        <f t="shared" si="62"/>
        <v>0</v>
      </c>
      <c r="BG64" s="411">
        <f t="shared" si="62"/>
        <v>0</v>
      </c>
    </row>
    <row r="65" spans="1:59" ht="11.1" hidden="1" customHeight="1">
      <c r="A65" s="885">
        <v>17</v>
      </c>
      <c r="B65" s="91">
        <f t="shared" si="14"/>
        <v>0</v>
      </c>
      <c r="C65" s="289">
        <f t="shared" si="15"/>
        <v>0</v>
      </c>
      <c r="D65" s="289">
        <f t="shared" si="16"/>
        <v>0</v>
      </c>
      <c r="E65" s="289">
        <f t="shared" si="17"/>
        <v>0</v>
      </c>
      <c r="F65" s="289">
        <f t="shared" si="18"/>
        <v>0</v>
      </c>
      <c r="G65" s="411">
        <f t="shared" si="19"/>
        <v>0</v>
      </c>
      <c r="H65" s="91">
        <f t="shared" si="20"/>
        <v>0</v>
      </c>
      <c r="I65" s="289">
        <f t="shared" si="21"/>
        <v>0</v>
      </c>
      <c r="J65" s="289">
        <f t="shared" si="22"/>
        <v>0</v>
      </c>
      <c r="K65" s="289">
        <f t="shared" si="63"/>
        <v>0</v>
      </c>
      <c r="L65" s="411">
        <f t="shared" si="67"/>
        <v>0</v>
      </c>
      <c r="M65" s="411">
        <f t="shared" si="64"/>
        <v>0</v>
      </c>
      <c r="N65" s="91">
        <f t="shared" si="23"/>
        <v>0</v>
      </c>
      <c r="O65" s="289">
        <f t="shared" si="24"/>
        <v>0</v>
      </c>
      <c r="P65" s="289">
        <f t="shared" si="25"/>
        <v>0</v>
      </c>
      <c r="Q65" s="289">
        <f t="shared" si="26"/>
        <v>0</v>
      </c>
      <c r="R65" s="289">
        <f t="shared" si="27"/>
        <v>0</v>
      </c>
      <c r="S65" s="289">
        <f t="shared" si="28"/>
        <v>0</v>
      </c>
      <c r="T65" s="289">
        <f t="shared" si="29"/>
        <v>0</v>
      </c>
      <c r="U65" s="289">
        <f t="shared" si="29"/>
        <v>0</v>
      </c>
      <c r="V65" s="289">
        <f t="shared" si="30"/>
        <v>0</v>
      </c>
      <c r="W65" s="289">
        <f t="shared" si="31"/>
        <v>0</v>
      </c>
      <c r="X65" s="411">
        <f t="shared" si="31"/>
        <v>0</v>
      </c>
      <c r="Y65" s="289">
        <f t="shared" si="32"/>
        <v>0</v>
      </c>
      <c r="Z65" s="289">
        <f t="shared" si="33"/>
        <v>0</v>
      </c>
      <c r="AA65" s="289">
        <f t="shared" si="34"/>
        <v>0</v>
      </c>
      <c r="AB65" s="289">
        <f t="shared" si="35"/>
        <v>0</v>
      </c>
      <c r="AC65" s="289">
        <f t="shared" si="36"/>
        <v>0</v>
      </c>
      <c r="AD65" s="289">
        <f t="shared" si="37"/>
        <v>0</v>
      </c>
      <c r="AE65" s="91">
        <f t="shared" si="38"/>
        <v>0</v>
      </c>
      <c r="AF65" s="411">
        <f t="shared" si="39"/>
        <v>0</v>
      </c>
      <c r="AG65" s="91">
        <f t="shared" si="40"/>
        <v>0</v>
      </c>
      <c r="AH65" s="289">
        <f t="shared" si="41"/>
        <v>0</v>
      </c>
      <c r="AI65" s="289">
        <f t="shared" si="42"/>
        <v>0</v>
      </c>
      <c r="AJ65" s="289">
        <f t="shared" si="43"/>
        <v>0</v>
      </c>
      <c r="AK65" s="411">
        <f t="shared" si="44"/>
        <v>0</v>
      </c>
      <c r="AL65" s="411">
        <f t="shared" ref="AL65:AN65" si="80">IF($A21&lt;AL$5,IF(AL64&lt;&gt;0,AL64+AL21,AL21),0)</f>
        <v>0</v>
      </c>
      <c r="AM65" s="411">
        <f t="shared" si="80"/>
        <v>0</v>
      </c>
      <c r="AN65" s="411">
        <f t="shared" si="80"/>
        <v>0</v>
      </c>
      <c r="AO65" s="91">
        <f t="shared" si="45"/>
        <v>0</v>
      </c>
      <c r="AP65" s="289">
        <f t="shared" si="46"/>
        <v>0</v>
      </c>
      <c r="AQ65" s="289">
        <f t="shared" si="47"/>
        <v>0</v>
      </c>
      <c r="AR65" s="289">
        <f t="shared" si="48"/>
        <v>0</v>
      </c>
      <c r="AS65" s="289">
        <f t="shared" si="49"/>
        <v>0</v>
      </c>
      <c r="AT65" s="289">
        <f t="shared" si="50"/>
        <v>0</v>
      </c>
      <c r="AU65" s="289">
        <f t="shared" si="51"/>
        <v>0</v>
      </c>
      <c r="AV65" s="289">
        <f t="shared" si="52"/>
        <v>0</v>
      </c>
      <c r="AW65" s="289">
        <f t="shared" si="53"/>
        <v>0</v>
      </c>
      <c r="AX65" s="411">
        <f t="shared" si="54"/>
        <v>0</v>
      </c>
      <c r="AY65" s="91">
        <f t="shared" si="55"/>
        <v>0</v>
      </c>
      <c r="AZ65" s="289">
        <f t="shared" si="56"/>
        <v>0</v>
      </c>
      <c r="BA65" s="91">
        <f t="shared" si="57"/>
        <v>0</v>
      </c>
      <c r="BB65" s="289">
        <f t="shared" si="58"/>
        <v>0</v>
      </c>
      <c r="BC65" s="411">
        <f t="shared" si="59"/>
        <v>0</v>
      </c>
      <c r="BD65" s="289">
        <f t="shared" si="60"/>
        <v>0</v>
      </c>
      <c r="BE65" s="91">
        <f t="shared" si="61"/>
        <v>0</v>
      </c>
      <c r="BF65" s="289">
        <f t="shared" si="62"/>
        <v>0</v>
      </c>
      <c r="BG65" s="411">
        <f t="shared" si="62"/>
        <v>0</v>
      </c>
    </row>
    <row r="66" spans="1:59" ht="11.1" hidden="1" customHeight="1">
      <c r="A66" s="885">
        <v>18</v>
      </c>
      <c r="B66" s="91">
        <f t="shared" ref="B66:B88" si="81">IF($A22&lt;B$5,IF(B65&lt;&gt;0,B65+B22,B22),0)</f>
        <v>0</v>
      </c>
      <c r="C66" s="289">
        <f t="shared" ref="C66:C88" si="82">IF($A22&lt;C$5,IF(C65&lt;&gt;0,C65+C22,C22),0)</f>
        <v>0</v>
      </c>
      <c r="D66" s="289">
        <f t="shared" ref="D66:D88" si="83">IF($A22&lt;D$5,IF(D65&lt;&gt;0,D65+D22,D22),0)</f>
        <v>0</v>
      </c>
      <c r="E66" s="289">
        <f t="shared" ref="E66:E88" si="84">IF($A22&lt;E$5,IF(E65&lt;&gt;0,E65+E22,E22),0)</f>
        <v>0</v>
      </c>
      <c r="F66" s="289">
        <f t="shared" ref="F66:F88" si="85">IF($A22&lt;F$5,IF(F65&lt;&gt;0,F65+F22,F22),0)</f>
        <v>0</v>
      </c>
      <c r="G66" s="411">
        <f t="shared" ref="G66:G88" si="86">IF($A22&lt;G$5,IF(G65&lt;&gt;0,G65+G22,G22),0)</f>
        <v>0</v>
      </c>
      <c r="H66" s="91">
        <f t="shared" ref="H66:H88" si="87">IF($A22&lt;H$5,IF(H65&lt;&gt;0,H65+H22,H22),0)</f>
        <v>0</v>
      </c>
      <c r="I66" s="289">
        <f t="shared" ref="I66:I88" si="88">IF($A22&lt;I$5,IF(I65&lt;&gt;0,I65+I22,I22),0)</f>
        <v>0</v>
      </c>
      <c r="J66" s="289">
        <f t="shared" ref="J66:J88" si="89">IF($A22&lt;J$5,IF(J65&lt;&gt;0,J65+J22,J22),0)</f>
        <v>0</v>
      </c>
      <c r="K66" s="289">
        <f t="shared" ref="K66:K88" si="90">IF($A22&lt;K$5,IF(K65&lt;&gt;0,K65+K22,K22),0)</f>
        <v>0</v>
      </c>
      <c r="L66" s="411">
        <f t="shared" ref="L66:L88" si="91">IF($A22&lt;L$5,IF(L65&lt;&gt;0,L65+L22,L22),0)</f>
        <v>0</v>
      </c>
      <c r="M66" s="411">
        <f t="shared" si="64"/>
        <v>0</v>
      </c>
      <c r="N66" s="91">
        <f t="shared" ref="N66:N88" si="92">IF($A22&lt;N$5,IF(N65&lt;&gt;0,N65+N22,N22),0)</f>
        <v>0</v>
      </c>
      <c r="O66" s="289">
        <f t="shared" ref="O66:O88" si="93">IF($A22&lt;O$5,IF(O65&lt;&gt;0,O65+O22,O22),0)</f>
        <v>0</v>
      </c>
      <c r="P66" s="289">
        <f t="shared" ref="P66:P88" si="94">IF($A22&lt;P$5,IF(P65&lt;&gt;0,P65+P22,P22),0)</f>
        <v>0</v>
      </c>
      <c r="Q66" s="289">
        <f t="shared" ref="Q66:Q88" si="95">IF($A22&lt;Q$5,IF(Q65&lt;&gt;0,Q65+Q22,Q22),0)</f>
        <v>0</v>
      </c>
      <c r="R66" s="289">
        <f t="shared" ref="R66:R88" si="96">IF($A22&lt;R$5,IF(R65&lt;&gt;0,R65+R22,R22),0)</f>
        <v>0</v>
      </c>
      <c r="S66" s="289">
        <f t="shared" ref="S66:S88" si="97">IF($A22&lt;S$5,IF(S65&lt;&gt;0,S65+S22,S22),0)</f>
        <v>0</v>
      </c>
      <c r="T66" s="289">
        <f t="shared" ref="T66:U88" si="98">IF($A22&lt;T$5,IF(T65&lt;&gt;0,T65+T22,T22),0)</f>
        <v>0</v>
      </c>
      <c r="U66" s="289">
        <f t="shared" si="98"/>
        <v>0</v>
      </c>
      <c r="V66" s="289">
        <f t="shared" ref="V66:V88" si="99">IF($A22&lt;V$5,IF(V65&lt;&gt;0,V65+V22,V22),0)</f>
        <v>0</v>
      </c>
      <c r="W66" s="289">
        <f t="shared" ref="W66:X88" si="100">IF($A22&lt;W$5,IF(W65&lt;&gt;0,W65+W22,W22),0)</f>
        <v>0</v>
      </c>
      <c r="X66" s="411">
        <f t="shared" si="100"/>
        <v>0</v>
      </c>
      <c r="Y66" s="289">
        <f t="shared" ref="Y66:Y88" si="101">IF($A22&lt;Y$5,IF(Y65&lt;&gt;0,Y65+Y22,Y22),0)</f>
        <v>0</v>
      </c>
      <c r="Z66" s="289">
        <f t="shared" ref="Z66:Z88" si="102">IF($A22&lt;Z$5,IF(Z65&lt;&gt;0,Z65+Z22,Z22),0)</f>
        <v>0</v>
      </c>
      <c r="AA66" s="289">
        <f t="shared" ref="AA66:AA88" si="103">IF($A22&lt;AA$5,IF(AA65&lt;&gt;0,AA65+AA22,AA22),0)</f>
        <v>0</v>
      </c>
      <c r="AB66" s="289">
        <f t="shared" ref="AB66:AB88" si="104">IF($A22&lt;AB$5,IF(AB65&lt;&gt;0,AB65+AB22,AB22),0)</f>
        <v>0</v>
      </c>
      <c r="AC66" s="289">
        <f t="shared" ref="AC66:AC88" si="105">IF($A22&lt;AC$5,IF(AC65&lt;&gt;0,AC65+AC22,AC22),0)</f>
        <v>0</v>
      </c>
      <c r="AD66" s="289">
        <f t="shared" ref="AD66:AD88" si="106">IF($A22&lt;AD$5,IF(AD65&lt;&gt;0,AD65+AD22,AD22),0)</f>
        <v>0</v>
      </c>
      <c r="AE66" s="91">
        <f t="shared" ref="AE66:AE88" si="107">IF($A22&lt;AE$5,IF(AE65&lt;&gt;0,AE65+AE22,AE22),0)</f>
        <v>0</v>
      </c>
      <c r="AF66" s="411">
        <f t="shared" ref="AF66:AF73" si="108">IF($A22&lt;AF$5,IF(AF65&lt;&gt;0,AF65+AF22,AF22),0)</f>
        <v>0</v>
      </c>
      <c r="AG66" s="91">
        <f t="shared" ref="AG66:AG88" si="109">IF($A22&lt;AG$5,IF(AG65&lt;&gt;0,AG65+AG22,AG22),0)</f>
        <v>0</v>
      </c>
      <c r="AH66" s="289">
        <f t="shared" ref="AH66:AH88" si="110">IF($A22&lt;AH$5,IF(AH65&lt;&gt;0,AH65+AH22,AH22),0)</f>
        <v>0</v>
      </c>
      <c r="AI66" s="289">
        <f t="shared" ref="AI66:AI88" si="111">IF($A22&lt;AI$5,IF(AI65&lt;&gt;0,AI65+AI22,AI22),0)</f>
        <v>0</v>
      </c>
      <c r="AJ66" s="289">
        <f t="shared" ref="AJ66:AJ88" si="112">IF($A22&lt;AJ$5,IF(AJ65&lt;&gt;0,AJ65+AJ22,AJ22),0)</f>
        <v>0</v>
      </c>
      <c r="AK66" s="411">
        <f t="shared" ref="AK66:AN88" si="113">IF($A22&lt;AK$5,IF(AK65&lt;&gt;0,AK65+AK22,AK22),0)</f>
        <v>0</v>
      </c>
      <c r="AL66" s="411">
        <f t="shared" si="113"/>
        <v>0</v>
      </c>
      <c r="AM66" s="411">
        <f t="shared" si="113"/>
        <v>0</v>
      </c>
      <c r="AN66" s="411">
        <f t="shared" si="113"/>
        <v>0</v>
      </c>
      <c r="AO66" s="91">
        <f t="shared" ref="AO66:AO88" si="114">IF($A22&lt;AO$5,IF(AO65&lt;&gt;0,AO65+AO22,AO22),0)</f>
        <v>0</v>
      </c>
      <c r="AP66" s="289">
        <f t="shared" ref="AP66:AP88" si="115">IF($A22&lt;AP$5,IF(AP65&lt;&gt;0,AP65+AP22,AP22),0)</f>
        <v>0</v>
      </c>
      <c r="AQ66" s="289">
        <f t="shared" ref="AQ66:AQ88" si="116">IF($A22&lt;AQ$5,IF(AQ65&lt;&gt;0,AQ65+AQ22,AQ22),0)</f>
        <v>0</v>
      </c>
      <c r="AR66" s="289">
        <f t="shared" ref="AR66:AR88" si="117">IF($A22&lt;AR$5,IF(AR65&lt;&gt;0,AR65+AR22,AR22),0)</f>
        <v>0</v>
      </c>
      <c r="AS66" s="289">
        <f t="shared" ref="AS66:AS88" si="118">IF($A22&lt;AS$5,IF(AS65&lt;&gt;0,AS65+AS22,AS22),0)</f>
        <v>0</v>
      </c>
      <c r="AT66" s="289">
        <f t="shared" ref="AT66:AT88" si="119">IF($A22&lt;AT$5,IF(AT65&lt;&gt;0,AT65+AT22,AT22),0)</f>
        <v>0</v>
      </c>
      <c r="AU66" s="289">
        <f t="shared" ref="AU66:AU88" si="120">IF($A22&lt;AU$5,IF(AU65&lt;&gt;0,AU65+AU22,AU22),0)</f>
        <v>0</v>
      </c>
      <c r="AV66" s="289">
        <f t="shared" ref="AV66:AV88" si="121">IF($A22&lt;AV$5,IF(AV65&lt;&gt;0,AV65+AV22,AV22),0)</f>
        <v>0</v>
      </c>
      <c r="AW66" s="289">
        <f t="shared" ref="AW66:AW88" si="122">IF($A22&lt;AW$5,IF(AW65&lt;&gt;0,AW65+AW22,AW22),0)</f>
        <v>0</v>
      </c>
      <c r="AX66" s="411">
        <f t="shared" ref="AX66:AX88" si="123">IF($A22&lt;AX$5,IF(AX65&lt;&gt;0,AX65+AX22,AX22),0)</f>
        <v>0</v>
      </c>
      <c r="AY66" s="91">
        <f t="shared" ref="AY66:BA88" si="124">IF($A22&lt;AY$5,IF(AY65&lt;&gt;0,AY65+AY22,AY22),0)</f>
        <v>0</v>
      </c>
      <c r="AZ66" s="289">
        <f t="shared" ref="AZ66:AZ88" si="125">IF($A22&lt;AZ$5,IF(AZ65&lt;&gt;0,AZ65+AZ22,AZ22),0)</f>
        <v>0</v>
      </c>
      <c r="BA66" s="91">
        <f t="shared" si="124"/>
        <v>0</v>
      </c>
      <c r="BB66" s="289">
        <f t="shared" ref="BB66:BC88" si="126">IF($A22&lt;BB$5,IF(BB65&lt;&gt;0,BB65+BB22,BB22),0)</f>
        <v>0</v>
      </c>
      <c r="BC66" s="411">
        <f t="shared" si="126"/>
        <v>0</v>
      </c>
      <c r="BD66" s="289">
        <f t="shared" si="60"/>
        <v>0</v>
      </c>
      <c r="BE66" s="91">
        <f t="shared" ref="BE66:BE88" si="127">IF($A22&lt;BE$5,IF(BE65&lt;&gt;0,BE65+BE22,BE22),0)</f>
        <v>0</v>
      </c>
      <c r="BF66" s="289">
        <f t="shared" ref="BF66:BG88" si="128">IF($A22&lt;BF$5,IF(BF65&lt;&gt;0,BF65+BF22,BF22),0)</f>
        <v>0</v>
      </c>
      <c r="BG66" s="411">
        <f t="shared" si="128"/>
        <v>0</v>
      </c>
    </row>
    <row r="67" spans="1:59" ht="11.1" hidden="1" customHeight="1">
      <c r="A67" s="885">
        <v>19</v>
      </c>
      <c r="B67" s="91">
        <f t="shared" si="81"/>
        <v>0</v>
      </c>
      <c r="C67" s="289">
        <f t="shared" si="82"/>
        <v>0</v>
      </c>
      <c r="D67" s="289">
        <f t="shared" si="83"/>
        <v>0</v>
      </c>
      <c r="E67" s="289">
        <f t="shared" si="84"/>
        <v>0</v>
      </c>
      <c r="F67" s="289">
        <f t="shared" si="85"/>
        <v>0</v>
      </c>
      <c r="G67" s="411">
        <f t="shared" si="86"/>
        <v>0</v>
      </c>
      <c r="H67" s="91">
        <f t="shared" si="87"/>
        <v>0</v>
      </c>
      <c r="I67" s="289">
        <f t="shared" si="88"/>
        <v>0</v>
      </c>
      <c r="J67" s="289">
        <f t="shared" si="89"/>
        <v>0</v>
      </c>
      <c r="K67" s="289">
        <f t="shared" si="90"/>
        <v>0</v>
      </c>
      <c r="L67" s="411">
        <f t="shared" si="91"/>
        <v>0</v>
      </c>
      <c r="M67" s="411">
        <f t="shared" si="64"/>
        <v>0</v>
      </c>
      <c r="N67" s="91">
        <f t="shared" si="92"/>
        <v>0</v>
      </c>
      <c r="O67" s="289">
        <f t="shared" si="93"/>
        <v>0</v>
      </c>
      <c r="P67" s="289">
        <f t="shared" si="94"/>
        <v>0</v>
      </c>
      <c r="Q67" s="289">
        <f t="shared" si="95"/>
        <v>0</v>
      </c>
      <c r="R67" s="289">
        <f t="shared" si="96"/>
        <v>0</v>
      </c>
      <c r="S67" s="289">
        <f t="shared" si="97"/>
        <v>0</v>
      </c>
      <c r="T67" s="289">
        <f t="shared" si="98"/>
        <v>0</v>
      </c>
      <c r="U67" s="289">
        <f t="shared" si="98"/>
        <v>0</v>
      </c>
      <c r="V67" s="289">
        <f t="shared" si="99"/>
        <v>0</v>
      </c>
      <c r="W67" s="289">
        <f t="shared" si="100"/>
        <v>0</v>
      </c>
      <c r="X67" s="411">
        <f t="shared" si="100"/>
        <v>0</v>
      </c>
      <c r="Y67" s="289">
        <f t="shared" si="101"/>
        <v>0</v>
      </c>
      <c r="Z67" s="289">
        <f t="shared" si="102"/>
        <v>0</v>
      </c>
      <c r="AA67" s="289">
        <f t="shared" si="103"/>
        <v>0</v>
      </c>
      <c r="AB67" s="289">
        <f t="shared" si="104"/>
        <v>0</v>
      </c>
      <c r="AC67" s="289">
        <f t="shared" si="105"/>
        <v>0</v>
      </c>
      <c r="AD67" s="289">
        <f t="shared" si="106"/>
        <v>0</v>
      </c>
      <c r="AE67" s="91">
        <f t="shared" si="107"/>
        <v>0</v>
      </c>
      <c r="AF67" s="411">
        <f t="shared" si="108"/>
        <v>0</v>
      </c>
      <c r="AG67" s="91">
        <f t="shared" si="109"/>
        <v>0</v>
      </c>
      <c r="AH67" s="289">
        <f t="shared" si="110"/>
        <v>0</v>
      </c>
      <c r="AI67" s="289">
        <f t="shared" si="111"/>
        <v>0</v>
      </c>
      <c r="AJ67" s="289">
        <f t="shared" si="112"/>
        <v>0</v>
      </c>
      <c r="AK67" s="411">
        <f t="shared" si="113"/>
        <v>0</v>
      </c>
      <c r="AL67" s="411">
        <f t="shared" si="113"/>
        <v>0</v>
      </c>
      <c r="AM67" s="411">
        <f t="shared" si="113"/>
        <v>0</v>
      </c>
      <c r="AN67" s="411">
        <f t="shared" si="113"/>
        <v>0</v>
      </c>
      <c r="AO67" s="91">
        <f t="shared" si="114"/>
        <v>0</v>
      </c>
      <c r="AP67" s="289">
        <f t="shared" si="115"/>
        <v>0</v>
      </c>
      <c r="AQ67" s="289">
        <f t="shared" si="116"/>
        <v>0</v>
      </c>
      <c r="AR67" s="289">
        <f t="shared" si="117"/>
        <v>0</v>
      </c>
      <c r="AS67" s="289">
        <f t="shared" si="118"/>
        <v>0</v>
      </c>
      <c r="AT67" s="289">
        <f t="shared" si="119"/>
        <v>0</v>
      </c>
      <c r="AU67" s="289">
        <f t="shared" si="120"/>
        <v>0</v>
      </c>
      <c r="AV67" s="289">
        <f t="shared" si="121"/>
        <v>0</v>
      </c>
      <c r="AW67" s="289">
        <f t="shared" si="122"/>
        <v>0</v>
      </c>
      <c r="AX67" s="411">
        <f t="shared" si="123"/>
        <v>0</v>
      </c>
      <c r="AY67" s="91">
        <f t="shared" si="124"/>
        <v>0</v>
      </c>
      <c r="AZ67" s="289">
        <f t="shared" si="125"/>
        <v>0</v>
      </c>
      <c r="BA67" s="91">
        <f t="shared" si="124"/>
        <v>0</v>
      </c>
      <c r="BB67" s="289">
        <f t="shared" si="126"/>
        <v>0</v>
      </c>
      <c r="BC67" s="411">
        <f t="shared" si="126"/>
        <v>0</v>
      </c>
      <c r="BD67" s="289">
        <f t="shared" si="60"/>
        <v>0</v>
      </c>
      <c r="BE67" s="91">
        <f t="shared" si="127"/>
        <v>0</v>
      </c>
      <c r="BF67" s="289">
        <f t="shared" si="128"/>
        <v>0</v>
      </c>
      <c r="BG67" s="411">
        <f t="shared" si="128"/>
        <v>0</v>
      </c>
    </row>
    <row r="68" spans="1:59" ht="11.1" hidden="1" customHeight="1">
      <c r="A68" s="885">
        <v>20</v>
      </c>
      <c r="B68" s="91">
        <f t="shared" si="81"/>
        <v>0</v>
      </c>
      <c r="C68" s="289">
        <f t="shared" si="82"/>
        <v>0</v>
      </c>
      <c r="D68" s="289">
        <f t="shared" si="83"/>
        <v>0</v>
      </c>
      <c r="E68" s="289">
        <f t="shared" si="84"/>
        <v>0</v>
      </c>
      <c r="F68" s="289">
        <f t="shared" si="85"/>
        <v>0</v>
      </c>
      <c r="G68" s="411">
        <f t="shared" si="86"/>
        <v>0</v>
      </c>
      <c r="H68" s="91">
        <f t="shared" si="87"/>
        <v>0</v>
      </c>
      <c r="I68" s="289">
        <f t="shared" si="88"/>
        <v>0</v>
      </c>
      <c r="J68" s="289">
        <f t="shared" si="89"/>
        <v>0</v>
      </c>
      <c r="K68" s="289">
        <f t="shared" si="90"/>
        <v>0</v>
      </c>
      <c r="L68" s="411">
        <f t="shared" si="91"/>
        <v>0</v>
      </c>
      <c r="M68" s="411">
        <f t="shared" si="64"/>
        <v>0</v>
      </c>
      <c r="N68" s="91">
        <f t="shared" si="92"/>
        <v>0</v>
      </c>
      <c r="O68" s="289">
        <f t="shared" si="93"/>
        <v>0</v>
      </c>
      <c r="P68" s="289">
        <f t="shared" si="94"/>
        <v>0</v>
      </c>
      <c r="Q68" s="289">
        <f t="shared" si="95"/>
        <v>0</v>
      </c>
      <c r="R68" s="289">
        <f t="shared" si="96"/>
        <v>0</v>
      </c>
      <c r="S68" s="289">
        <f t="shared" si="97"/>
        <v>0</v>
      </c>
      <c r="T68" s="289">
        <f t="shared" si="98"/>
        <v>0</v>
      </c>
      <c r="U68" s="289">
        <f t="shared" si="98"/>
        <v>0</v>
      </c>
      <c r="V68" s="289">
        <f t="shared" si="99"/>
        <v>0</v>
      </c>
      <c r="W68" s="289">
        <f t="shared" si="100"/>
        <v>0</v>
      </c>
      <c r="X68" s="411">
        <f t="shared" si="100"/>
        <v>0</v>
      </c>
      <c r="Y68" s="289">
        <f t="shared" si="101"/>
        <v>0</v>
      </c>
      <c r="Z68" s="289">
        <f t="shared" si="102"/>
        <v>0</v>
      </c>
      <c r="AA68" s="289">
        <f t="shared" si="103"/>
        <v>0</v>
      </c>
      <c r="AB68" s="289">
        <f t="shared" si="104"/>
        <v>0</v>
      </c>
      <c r="AC68" s="289">
        <f t="shared" si="105"/>
        <v>0</v>
      </c>
      <c r="AD68" s="289">
        <f t="shared" si="106"/>
        <v>0</v>
      </c>
      <c r="AE68" s="91">
        <f t="shared" si="107"/>
        <v>0</v>
      </c>
      <c r="AF68" s="411">
        <f t="shared" si="108"/>
        <v>0</v>
      </c>
      <c r="AG68" s="91">
        <f t="shared" si="109"/>
        <v>0</v>
      </c>
      <c r="AH68" s="289">
        <f t="shared" si="110"/>
        <v>0</v>
      </c>
      <c r="AI68" s="289">
        <f t="shared" si="111"/>
        <v>0</v>
      </c>
      <c r="AJ68" s="289">
        <f t="shared" si="112"/>
        <v>0</v>
      </c>
      <c r="AK68" s="411">
        <f t="shared" si="113"/>
        <v>0</v>
      </c>
      <c r="AL68" s="411">
        <f t="shared" si="113"/>
        <v>0</v>
      </c>
      <c r="AM68" s="411">
        <f t="shared" si="113"/>
        <v>0</v>
      </c>
      <c r="AN68" s="411">
        <f t="shared" si="113"/>
        <v>0</v>
      </c>
      <c r="AO68" s="91">
        <f t="shared" si="114"/>
        <v>0</v>
      </c>
      <c r="AP68" s="289">
        <f t="shared" si="115"/>
        <v>0</v>
      </c>
      <c r="AQ68" s="289">
        <f t="shared" si="116"/>
        <v>0</v>
      </c>
      <c r="AR68" s="289">
        <f t="shared" si="117"/>
        <v>0</v>
      </c>
      <c r="AS68" s="289">
        <f t="shared" si="118"/>
        <v>0</v>
      </c>
      <c r="AT68" s="289">
        <f t="shared" si="119"/>
        <v>0</v>
      </c>
      <c r="AU68" s="289">
        <f t="shared" si="120"/>
        <v>0</v>
      </c>
      <c r="AV68" s="289">
        <f t="shared" si="121"/>
        <v>0</v>
      </c>
      <c r="AW68" s="289">
        <f t="shared" si="122"/>
        <v>0</v>
      </c>
      <c r="AX68" s="411">
        <f t="shared" si="123"/>
        <v>0</v>
      </c>
      <c r="AY68" s="91">
        <f t="shared" si="124"/>
        <v>0</v>
      </c>
      <c r="AZ68" s="289">
        <f t="shared" si="125"/>
        <v>0</v>
      </c>
      <c r="BA68" s="91">
        <f t="shared" si="124"/>
        <v>0</v>
      </c>
      <c r="BB68" s="289">
        <f t="shared" si="126"/>
        <v>0</v>
      </c>
      <c r="BC68" s="411">
        <f t="shared" si="126"/>
        <v>0</v>
      </c>
      <c r="BD68" s="289">
        <f t="shared" si="60"/>
        <v>0</v>
      </c>
      <c r="BE68" s="91">
        <f t="shared" si="127"/>
        <v>0</v>
      </c>
      <c r="BF68" s="289">
        <f t="shared" si="128"/>
        <v>0</v>
      </c>
      <c r="BG68" s="411">
        <f t="shared" si="128"/>
        <v>0</v>
      </c>
    </row>
    <row r="69" spans="1:59" ht="11.1" hidden="1" customHeight="1">
      <c r="A69" s="885">
        <v>21</v>
      </c>
      <c r="B69" s="91">
        <f t="shared" si="81"/>
        <v>0</v>
      </c>
      <c r="C69" s="289">
        <f t="shared" si="82"/>
        <v>0</v>
      </c>
      <c r="D69" s="289">
        <f t="shared" si="83"/>
        <v>0</v>
      </c>
      <c r="E69" s="289">
        <f t="shared" si="84"/>
        <v>0</v>
      </c>
      <c r="F69" s="289">
        <f t="shared" si="85"/>
        <v>0</v>
      </c>
      <c r="G69" s="411">
        <f t="shared" si="86"/>
        <v>0</v>
      </c>
      <c r="H69" s="91">
        <f t="shared" si="87"/>
        <v>0</v>
      </c>
      <c r="I69" s="289">
        <f t="shared" si="88"/>
        <v>0</v>
      </c>
      <c r="J69" s="289">
        <f t="shared" si="89"/>
        <v>0</v>
      </c>
      <c r="K69" s="289">
        <f t="shared" si="90"/>
        <v>0</v>
      </c>
      <c r="L69" s="411">
        <f t="shared" si="91"/>
        <v>0</v>
      </c>
      <c r="M69" s="411">
        <f t="shared" si="64"/>
        <v>0</v>
      </c>
      <c r="N69" s="91">
        <f t="shared" si="92"/>
        <v>0</v>
      </c>
      <c r="O69" s="289">
        <f t="shared" si="93"/>
        <v>0</v>
      </c>
      <c r="P69" s="289">
        <f t="shared" si="94"/>
        <v>0</v>
      </c>
      <c r="Q69" s="289">
        <f t="shared" si="95"/>
        <v>0</v>
      </c>
      <c r="R69" s="289">
        <f t="shared" si="96"/>
        <v>0</v>
      </c>
      <c r="S69" s="289">
        <f t="shared" si="97"/>
        <v>0</v>
      </c>
      <c r="T69" s="289">
        <f t="shared" si="98"/>
        <v>0</v>
      </c>
      <c r="U69" s="289">
        <f t="shared" si="98"/>
        <v>0</v>
      </c>
      <c r="V69" s="289">
        <f t="shared" si="99"/>
        <v>0</v>
      </c>
      <c r="W69" s="289">
        <f t="shared" si="100"/>
        <v>0</v>
      </c>
      <c r="X69" s="411">
        <f t="shared" si="100"/>
        <v>0</v>
      </c>
      <c r="Y69" s="289">
        <f t="shared" si="101"/>
        <v>0</v>
      </c>
      <c r="Z69" s="289">
        <f t="shared" si="102"/>
        <v>0</v>
      </c>
      <c r="AA69" s="289">
        <f t="shared" si="103"/>
        <v>0</v>
      </c>
      <c r="AB69" s="289">
        <f t="shared" si="104"/>
        <v>0</v>
      </c>
      <c r="AC69" s="289">
        <f t="shared" si="105"/>
        <v>0</v>
      </c>
      <c r="AD69" s="289">
        <f t="shared" si="106"/>
        <v>0</v>
      </c>
      <c r="AE69" s="91">
        <f t="shared" si="107"/>
        <v>0</v>
      </c>
      <c r="AF69" s="411">
        <f t="shared" si="108"/>
        <v>0</v>
      </c>
      <c r="AG69" s="91">
        <f t="shared" si="109"/>
        <v>0</v>
      </c>
      <c r="AH69" s="289">
        <f t="shared" si="110"/>
        <v>0</v>
      </c>
      <c r="AI69" s="289">
        <f t="shared" si="111"/>
        <v>0</v>
      </c>
      <c r="AJ69" s="289">
        <f t="shared" si="112"/>
        <v>0</v>
      </c>
      <c r="AK69" s="411">
        <f t="shared" si="113"/>
        <v>0</v>
      </c>
      <c r="AL69" s="411">
        <f t="shared" si="113"/>
        <v>0</v>
      </c>
      <c r="AM69" s="411">
        <f t="shared" si="113"/>
        <v>0</v>
      </c>
      <c r="AN69" s="411">
        <f t="shared" si="113"/>
        <v>0</v>
      </c>
      <c r="AO69" s="91">
        <f t="shared" si="114"/>
        <v>0</v>
      </c>
      <c r="AP69" s="289">
        <f t="shared" si="115"/>
        <v>0</v>
      </c>
      <c r="AQ69" s="289">
        <f t="shared" si="116"/>
        <v>0</v>
      </c>
      <c r="AR69" s="289">
        <f t="shared" si="117"/>
        <v>0</v>
      </c>
      <c r="AS69" s="289">
        <f t="shared" si="118"/>
        <v>0</v>
      </c>
      <c r="AT69" s="289">
        <f t="shared" si="119"/>
        <v>0</v>
      </c>
      <c r="AU69" s="289">
        <f t="shared" si="120"/>
        <v>0</v>
      </c>
      <c r="AV69" s="289">
        <f t="shared" si="121"/>
        <v>0</v>
      </c>
      <c r="AW69" s="289">
        <f t="shared" si="122"/>
        <v>0</v>
      </c>
      <c r="AX69" s="411">
        <f t="shared" si="123"/>
        <v>0</v>
      </c>
      <c r="AY69" s="91">
        <f t="shared" si="124"/>
        <v>0</v>
      </c>
      <c r="AZ69" s="289">
        <f t="shared" si="125"/>
        <v>0</v>
      </c>
      <c r="BA69" s="91">
        <f t="shared" si="124"/>
        <v>0</v>
      </c>
      <c r="BB69" s="289">
        <f t="shared" si="126"/>
        <v>0</v>
      </c>
      <c r="BC69" s="411">
        <f t="shared" si="126"/>
        <v>0</v>
      </c>
      <c r="BD69" s="289">
        <f t="shared" si="60"/>
        <v>0</v>
      </c>
      <c r="BE69" s="91">
        <f t="shared" si="127"/>
        <v>0</v>
      </c>
      <c r="BF69" s="289">
        <f t="shared" si="128"/>
        <v>0</v>
      </c>
      <c r="BG69" s="411">
        <f t="shared" si="128"/>
        <v>0</v>
      </c>
    </row>
    <row r="70" spans="1:59" ht="11.1" hidden="1" customHeight="1">
      <c r="A70" s="885">
        <v>22</v>
      </c>
      <c r="B70" s="91">
        <f t="shared" si="81"/>
        <v>0</v>
      </c>
      <c r="C70" s="289">
        <f t="shared" si="82"/>
        <v>0</v>
      </c>
      <c r="D70" s="289">
        <f t="shared" si="83"/>
        <v>0</v>
      </c>
      <c r="E70" s="289">
        <f t="shared" si="84"/>
        <v>0</v>
      </c>
      <c r="F70" s="289">
        <f t="shared" si="85"/>
        <v>0</v>
      </c>
      <c r="G70" s="411">
        <f t="shared" si="86"/>
        <v>0</v>
      </c>
      <c r="H70" s="91">
        <f t="shared" si="87"/>
        <v>0</v>
      </c>
      <c r="I70" s="289">
        <f t="shared" si="88"/>
        <v>0</v>
      </c>
      <c r="J70" s="289">
        <f t="shared" si="89"/>
        <v>0</v>
      </c>
      <c r="K70" s="289">
        <f t="shared" si="90"/>
        <v>0</v>
      </c>
      <c r="L70" s="411">
        <f t="shared" si="91"/>
        <v>0</v>
      </c>
      <c r="M70" s="411">
        <f t="shared" si="64"/>
        <v>0</v>
      </c>
      <c r="N70" s="91">
        <f t="shared" si="92"/>
        <v>0</v>
      </c>
      <c r="O70" s="289">
        <f t="shared" si="93"/>
        <v>0</v>
      </c>
      <c r="P70" s="289">
        <f t="shared" si="94"/>
        <v>0</v>
      </c>
      <c r="Q70" s="289">
        <f t="shared" si="95"/>
        <v>0</v>
      </c>
      <c r="R70" s="289">
        <f t="shared" si="96"/>
        <v>0</v>
      </c>
      <c r="S70" s="289">
        <f t="shared" si="97"/>
        <v>0</v>
      </c>
      <c r="T70" s="289">
        <f t="shared" si="98"/>
        <v>0</v>
      </c>
      <c r="U70" s="289">
        <f t="shared" si="98"/>
        <v>0</v>
      </c>
      <c r="V70" s="289">
        <f t="shared" si="99"/>
        <v>0</v>
      </c>
      <c r="W70" s="289">
        <f t="shared" si="100"/>
        <v>0</v>
      </c>
      <c r="X70" s="411">
        <f t="shared" si="100"/>
        <v>0</v>
      </c>
      <c r="Y70" s="289">
        <f t="shared" si="101"/>
        <v>0</v>
      </c>
      <c r="Z70" s="289">
        <f t="shared" si="102"/>
        <v>0</v>
      </c>
      <c r="AA70" s="289">
        <f t="shared" si="103"/>
        <v>0</v>
      </c>
      <c r="AB70" s="289">
        <f t="shared" si="104"/>
        <v>0</v>
      </c>
      <c r="AC70" s="289">
        <f t="shared" si="105"/>
        <v>0</v>
      </c>
      <c r="AD70" s="289">
        <f t="shared" si="106"/>
        <v>0</v>
      </c>
      <c r="AE70" s="91">
        <f t="shared" si="107"/>
        <v>0</v>
      </c>
      <c r="AF70" s="411">
        <f t="shared" si="108"/>
        <v>0</v>
      </c>
      <c r="AG70" s="91">
        <f t="shared" si="109"/>
        <v>0</v>
      </c>
      <c r="AH70" s="289">
        <f t="shared" si="110"/>
        <v>0</v>
      </c>
      <c r="AI70" s="289">
        <f t="shared" si="111"/>
        <v>0</v>
      </c>
      <c r="AJ70" s="289">
        <f t="shared" si="112"/>
        <v>0</v>
      </c>
      <c r="AK70" s="411">
        <f t="shared" si="113"/>
        <v>0</v>
      </c>
      <c r="AL70" s="411">
        <f t="shared" si="113"/>
        <v>0</v>
      </c>
      <c r="AM70" s="411">
        <f t="shared" si="113"/>
        <v>0</v>
      </c>
      <c r="AN70" s="411">
        <f t="shared" si="113"/>
        <v>0</v>
      </c>
      <c r="AO70" s="91">
        <f t="shared" si="114"/>
        <v>0</v>
      </c>
      <c r="AP70" s="289">
        <f t="shared" si="115"/>
        <v>0</v>
      </c>
      <c r="AQ70" s="289">
        <f t="shared" si="116"/>
        <v>0</v>
      </c>
      <c r="AR70" s="289">
        <f t="shared" si="117"/>
        <v>0</v>
      </c>
      <c r="AS70" s="289">
        <f t="shared" si="118"/>
        <v>0</v>
      </c>
      <c r="AT70" s="289">
        <f t="shared" si="119"/>
        <v>0</v>
      </c>
      <c r="AU70" s="289">
        <f t="shared" si="120"/>
        <v>0</v>
      </c>
      <c r="AV70" s="289">
        <f t="shared" si="121"/>
        <v>0</v>
      </c>
      <c r="AW70" s="289">
        <f t="shared" si="122"/>
        <v>0</v>
      </c>
      <c r="AX70" s="411">
        <f t="shared" si="123"/>
        <v>0</v>
      </c>
      <c r="AY70" s="91">
        <f t="shared" si="124"/>
        <v>0</v>
      </c>
      <c r="AZ70" s="289">
        <f t="shared" si="125"/>
        <v>0</v>
      </c>
      <c r="BA70" s="91">
        <f t="shared" si="124"/>
        <v>0</v>
      </c>
      <c r="BB70" s="289">
        <f t="shared" si="126"/>
        <v>0</v>
      </c>
      <c r="BC70" s="411">
        <f t="shared" si="126"/>
        <v>0</v>
      </c>
      <c r="BD70" s="289">
        <f t="shared" ref="BD70:BD88" si="129">IF($A26&lt;BD$5,IF(BD69&lt;&gt;0,BD69+BD26,BD26),0)</f>
        <v>0</v>
      </c>
      <c r="BE70" s="91">
        <f t="shared" si="127"/>
        <v>0</v>
      </c>
      <c r="BF70" s="289">
        <f t="shared" si="128"/>
        <v>0</v>
      </c>
      <c r="BG70" s="411">
        <f t="shared" si="128"/>
        <v>0</v>
      </c>
    </row>
    <row r="71" spans="1:59" ht="11.1" hidden="1" customHeight="1">
      <c r="A71" s="885">
        <v>23</v>
      </c>
      <c r="B71" s="91">
        <f t="shared" si="81"/>
        <v>0</v>
      </c>
      <c r="C71" s="289">
        <f t="shared" si="82"/>
        <v>0</v>
      </c>
      <c r="D71" s="289">
        <f t="shared" si="83"/>
        <v>0</v>
      </c>
      <c r="E71" s="289">
        <f t="shared" si="84"/>
        <v>0</v>
      </c>
      <c r="F71" s="289">
        <f t="shared" si="85"/>
        <v>0</v>
      </c>
      <c r="G71" s="411">
        <f t="shared" si="86"/>
        <v>0</v>
      </c>
      <c r="H71" s="91">
        <f t="shared" si="87"/>
        <v>0</v>
      </c>
      <c r="I71" s="289">
        <f t="shared" si="88"/>
        <v>0</v>
      </c>
      <c r="J71" s="289">
        <f t="shared" si="89"/>
        <v>0</v>
      </c>
      <c r="K71" s="289">
        <f t="shared" si="90"/>
        <v>0</v>
      </c>
      <c r="L71" s="411">
        <f t="shared" si="91"/>
        <v>0</v>
      </c>
      <c r="M71" s="411">
        <f t="shared" si="64"/>
        <v>0</v>
      </c>
      <c r="N71" s="91">
        <f t="shared" si="92"/>
        <v>0</v>
      </c>
      <c r="O71" s="289">
        <f t="shared" si="93"/>
        <v>0</v>
      </c>
      <c r="P71" s="289">
        <f t="shared" si="94"/>
        <v>0</v>
      </c>
      <c r="Q71" s="289">
        <f t="shared" si="95"/>
        <v>0</v>
      </c>
      <c r="R71" s="289">
        <f t="shared" si="96"/>
        <v>0</v>
      </c>
      <c r="S71" s="289">
        <f t="shared" si="97"/>
        <v>0</v>
      </c>
      <c r="T71" s="289">
        <f t="shared" si="98"/>
        <v>0</v>
      </c>
      <c r="U71" s="289">
        <f t="shared" si="98"/>
        <v>0</v>
      </c>
      <c r="V71" s="289">
        <f t="shared" si="99"/>
        <v>0</v>
      </c>
      <c r="W71" s="289">
        <f t="shared" si="100"/>
        <v>0</v>
      </c>
      <c r="X71" s="411">
        <f t="shared" si="100"/>
        <v>0</v>
      </c>
      <c r="Y71" s="289">
        <f t="shared" si="101"/>
        <v>0</v>
      </c>
      <c r="Z71" s="289">
        <f t="shared" si="102"/>
        <v>0</v>
      </c>
      <c r="AA71" s="289">
        <f t="shared" si="103"/>
        <v>0</v>
      </c>
      <c r="AB71" s="289">
        <f t="shared" si="104"/>
        <v>0</v>
      </c>
      <c r="AC71" s="289">
        <f t="shared" si="105"/>
        <v>0</v>
      </c>
      <c r="AD71" s="289">
        <f t="shared" si="106"/>
        <v>0</v>
      </c>
      <c r="AE71" s="91">
        <f t="shared" si="107"/>
        <v>0</v>
      </c>
      <c r="AF71" s="411">
        <f t="shared" si="108"/>
        <v>0</v>
      </c>
      <c r="AG71" s="91">
        <f t="shared" si="109"/>
        <v>0</v>
      </c>
      <c r="AH71" s="289">
        <f t="shared" si="110"/>
        <v>0</v>
      </c>
      <c r="AI71" s="289">
        <f t="shared" si="111"/>
        <v>0</v>
      </c>
      <c r="AJ71" s="289">
        <f t="shared" si="112"/>
        <v>0</v>
      </c>
      <c r="AK71" s="411">
        <f t="shared" si="113"/>
        <v>0</v>
      </c>
      <c r="AL71" s="411">
        <f t="shared" si="113"/>
        <v>0</v>
      </c>
      <c r="AM71" s="411">
        <f t="shared" si="113"/>
        <v>0</v>
      </c>
      <c r="AN71" s="411">
        <f t="shared" si="113"/>
        <v>0</v>
      </c>
      <c r="AO71" s="91">
        <f t="shared" si="114"/>
        <v>0</v>
      </c>
      <c r="AP71" s="289">
        <f t="shared" si="115"/>
        <v>0</v>
      </c>
      <c r="AQ71" s="289">
        <f t="shared" si="116"/>
        <v>0</v>
      </c>
      <c r="AR71" s="289">
        <f t="shared" si="117"/>
        <v>0</v>
      </c>
      <c r="AS71" s="289">
        <f t="shared" si="118"/>
        <v>0</v>
      </c>
      <c r="AT71" s="289">
        <f t="shared" si="119"/>
        <v>0</v>
      </c>
      <c r="AU71" s="289">
        <f t="shared" si="120"/>
        <v>0</v>
      </c>
      <c r="AV71" s="289">
        <f t="shared" si="121"/>
        <v>0</v>
      </c>
      <c r="AW71" s="289">
        <f t="shared" si="122"/>
        <v>0</v>
      </c>
      <c r="AX71" s="411">
        <f t="shared" si="123"/>
        <v>0</v>
      </c>
      <c r="AY71" s="91">
        <f t="shared" si="124"/>
        <v>0</v>
      </c>
      <c r="AZ71" s="289">
        <f t="shared" si="125"/>
        <v>0</v>
      </c>
      <c r="BA71" s="91">
        <f t="shared" si="124"/>
        <v>0</v>
      </c>
      <c r="BB71" s="289">
        <f t="shared" si="126"/>
        <v>0</v>
      </c>
      <c r="BC71" s="411">
        <f t="shared" si="126"/>
        <v>0</v>
      </c>
      <c r="BD71" s="289">
        <f t="shared" si="129"/>
        <v>0</v>
      </c>
      <c r="BE71" s="91">
        <f t="shared" si="127"/>
        <v>0</v>
      </c>
      <c r="BF71" s="289">
        <f t="shared" si="128"/>
        <v>0</v>
      </c>
      <c r="BG71" s="411">
        <f t="shared" si="128"/>
        <v>0</v>
      </c>
    </row>
    <row r="72" spans="1:59" ht="11.1" hidden="1" customHeight="1">
      <c r="A72" s="885">
        <v>24</v>
      </c>
      <c r="B72" s="91">
        <f t="shared" si="81"/>
        <v>0</v>
      </c>
      <c r="C72" s="289">
        <f t="shared" si="82"/>
        <v>0</v>
      </c>
      <c r="D72" s="289">
        <f t="shared" si="83"/>
        <v>0</v>
      </c>
      <c r="E72" s="289">
        <f t="shared" si="84"/>
        <v>0</v>
      </c>
      <c r="F72" s="289">
        <f t="shared" si="85"/>
        <v>0</v>
      </c>
      <c r="G72" s="411">
        <f t="shared" si="86"/>
        <v>0</v>
      </c>
      <c r="H72" s="91">
        <f t="shared" si="87"/>
        <v>0</v>
      </c>
      <c r="I72" s="289">
        <f t="shared" si="88"/>
        <v>0</v>
      </c>
      <c r="J72" s="289">
        <f t="shared" si="89"/>
        <v>0</v>
      </c>
      <c r="K72" s="289">
        <f t="shared" si="90"/>
        <v>0</v>
      </c>
      <c r="L72" s="411">
        <f t="shared" si="91"/>
        <v>0</v>
      </c>
      <c r="M72" s="411">
        <f t="shared" si="64"/>
        <v>0</v>
      </c>
      <c r="N72" s="91">
        <f t="shared" si="92"/>
        <v>0</v>
      </c>
      <c r="O72" s="289">
        <f t="shared" si="93"/>
        <v>0</v>
      </c>
      <c r="P72" s="289">
        <f t="shared" si="94"/>
        <v>0</v>
      </c>
      <c r="Q72" s="289">
        <f t="shared" si="95"/>
        <v>0</v>
      </c>
      <c r="R72" s="289">
        <f t="shared" si="96"/>
        <v>0</v>
      </c>
      <c r="S72" s="289">
        <f t="shared" si="97"/>
        <v>0</v>
      </c>
      <c r="T72" s="289">
        <f t="shared" si="98"/>
        <v>0</v>
      </c>
      <c r="U72" s="289">
        <f t="shared" si="98"/>
        <v>0</v>
      </c>
      <c r="V72" s="289">
        <f t="shared" si="99"/>
        <v>0</v>
      </c>
      <c r="W72" s="289">
        <f t="shared" si="100"/>
        <v>0</v>
      </c>
      <c r="X72" s="411">
        <f t="shared" si="100"/>
        <v>0</v>
      </c>
      <c r="Y72" s="289">
        <f t="shared" si="101"/>
        <v>0</v>
      </c>
      <c r="Z72" s="289">
        <f t="shared" si="102"/>
        <v>0</v>
      </c>
      <c r="AA72" s="289">
        <f t="shared" si="103"/>
        <v>0</v>
      </c>
      <c r="AB72" s="289">
        <f t="shared" si="104"/>
        <v>0</v>
      </c>
      <c r="AC72" s="289">
        <f t="shared" si="105"/>
        <v>0</v>
      </c>
      <c r="AD72" s="289">
        <f t="shared" si="106"/>
        <v>0</v>
      </c>
      <c r="AE72" s="91">
        <f t="shared" si="107"/>
        <v>0</v>
      </c>
      <c r="AF72" s="411">
        <f t="shared" si="108"/>
        <v>0</v>
      </c>
      <c r="AG72" s="91">
        <f t="shared" si="109"/>
        <v>0</v>
      </c>
      <c r="AH72" s="289">
        <f t="shared" si="110"/>
        <v>0</v>
      </c>
      <c r="AI72" s="289">
        <f t="shared" si="111"/>
        <v>0</v>
      </c>
      <c r="AJ72" s="289">
        <f t="shared" si="112"/>
        <v>0</v>
      </c>
      <c r="AK72" s="411">
        <f t="shared" si="113"/>
        <v>0</v>
      </c>
      <c r="AL72" s="411">
        <f t="shared" si="113"/>
        <v>0</v>
      </c>
      <c r="AM72" s="411">
        <f t="shared" si="113"/>
        <v>0</v>
      </c>
      <c r="AN72" s="411">
        <f t="shared" si="113"/>
        <v>0</v>
      </c>
      <c r="AO72" s="91">
        <f t="shared" si="114"/>
        <v>0</v>
      </c>
      <c r="AP72" s="289">
        <f t="shared" si="115"/>
        <v>0</v>
      </c>
      <c r="AQ72" s="289">
        <f t="shared" si="116"/>
        <v>0</v>
      </c>
      <c r="AR72" s="289">
        <f t="shared" si="117"/>
        <v>0</v>
      </c>
      <c r="AS72" s="289">
        <f t="shared" si="118"/>
        <v>0</v>
      </c>
      <c r="AT72" s="289">
        <f t="shared" si="119"/>
        <v>0</v>
      </c>
      <c r="AU72" s="289">
        <f t="shared" si="120"/>
        <v>0</v>
      </c>
      <c r="AV72" s="289">
        <f t="shared" si="121"/>
        <v>0</v>
      </c>
      <c r="AW72" s="289">
        <f t="shared" si="122"/>
        <v>0</v>
      </c>
      <c r="AX72" s="411">
        <f t="shared" si="123"/>
        <v>0</v>
      </c>
      <c r="AY72" s="91">
        <f t="shared" si="124"/>
        <v>0</v>
      </c>
      <c r="AZ72" s="289">
        <f t="shared" si="125"/>
        <v>0</v>
      </c>
      <c r="BA72" s="91">
        <f t="shared" si="124"/>
        <v>0</v>
      </c>
      <c r="BB72" s="289">
        <f t="shared" si="126"/>
        <v>0</v>
      </c>
      <c r="BC72" s="411">
        <f t="shared" si="126"/>
        <v>0</v>
      </c>
      <c r="BD72" s="289">
        <f t="shared" si="129"/>
        <v>0</v>
      </c>
      <c r="BE72" s="91">
        <f t="shared" si="127"/>
        <v>0</v>
      </c>
      <c r="BF72" s="289">
        <f t="shared" si="128"/>
        <v>0</v>
      </c>
      <c r="BG72" s="411">
        <f t="shared" si="128"/>
        <v>0</v>
      </c>
    </row>
    <row r="73" spans="1:59" ht="11.1" hidden="1" customHeight="1">
      <c r="A73" s="885">
        <v>25</v>
      </c>
      <c r="B73" s="91">
        <f t="shared" si="81"/>
        <v>0</v>
      </c>
      <c r="C73" s="289">
        <f t="shared" si="82"/>
        <v>0</v>
      </c>
      <c r="D73" s="289">
        <f t="shared" si="83"/>
        <v>0</v>
      </c>
      <c r="E73" s="289">
        <f t="shared" si="84"/>
        <v>0</v>
      </c>
      <c r="F73" s="289">
        <f t="shared" si="85"/>
        <v>0</v>
      </c>
      <c r="G73" s="411">
        <f t="shared" si="86"/>
        <v>0</v>
      </c>
      <c r="H73" s="91">
        <f t="shared" si="87"/>
        <v>0</v>
      </c>
      <c r="I73" s="289">
        <f t="shared" si="88"/>
        <v>0</v>
      </c>
      <c r="J73" s="289">
        <f t="shared" si="89"/>
        <v>0</v>
      </c>
      <c r="K73" s="289">
        <f t="shared" si="90"/>
        <v>0</v>
      </c>
      <c r="L73" s="411">
        <f t="shared" si="91"/>
        <v>0</v>
      </c>
      <c r="M73" s="411">
        <f t="shared" si="64"/>
        <v>0</v>
      </c>
      <c r="N73" s="91">
        <f t="shared" si="92"/>
        <v>0</v>
      </c>
      <c r="O73" s="289">
        <f t="shared" si="93"/>
        <v>0</v>
      </c>
      <c r="P73" s="289">
        <f t="shared" si="94"/>
        <v>0</v>
      </c>
      <c r="Q73" s="289">
        <f t="shared" si="95"/>
        <v>0</v>
      </c>
      <c r="R73" s="289">
        <f t="shared" si="96"/>
        <v>0</v>
      </c>
      <c r="S73" s="289">
        <f t="shared" si="97"/>
        <v>0</v>
      </c>
      <c r="T73" s="289">
        <f t="shared" si="98"/>
        <v>0</v>
      </c>
      <c r="U73" s="289">
        <f t="shared" si="98"/>
        <v>0</v>
      </c>
      <c r="V73" s="289">
        <f t="shared" si="99"/>
        <v>0</v>
      </c>
      <c r="W73" s="289">
        <f t="shared" si="100"/>
        <v>0</v>
      </c>
      <c r="X73" s="411">
        <f t="shared" si="100"/>
        <v>0</v>
      </c>
      <c r="Y73" s="289">
        <f t="shared" si="101"/>
        <v>0</v>
      </c>
      <c r="Z73" s="289">
        <f t="shared" si="102"/>
        <v>0</v>
      </c>
      <c r="AA73" s="289">
        <f t="shared" si="103"/>
        <v>0</v>
      </c>
      <c r="AB73" s="289">
        <f t="shared" si="104"/>
        <v>0</v>
      </c>
      <c r="AC73" s="289">
        <f t="shared" si="105"/>
        <v>0</v>
      </c>
      <c r="AD73" s="289">
        <f t="shared" si="106"/>
        <v>0</v>
      </c>
      <c r="AE73" s="91">
        <f t="shared" si="107"/>
        <v>0</v>
      </c>
      <c r="AF73" s="411">
        <f t="shared" si="108"/>
        <v>0</v>
      </c>
      <c r="AG73" s="91">
        <f t="shared" si="109"/>
        <v>0</v>
      </c>
      <c r="AH73" s="289">
        <f t="shared" si="110"/>
        <v>0</v>
      </c>
      <c r="AI73" s="289">
        <f t="shared" si="111"/>
        <v>0</v>
      </c>
      <c r="AJ73" s="289">
        <f t="shared" si="112"/>
        <v>0</v>
      </c>
      <c r="AK73" s="411">
        <f t="shared" si="113"/>
        <v>0</v>
      </c>
      <c r="AL73" s="411">
        <f t="shared" si="113"/>
        <v>0</v>
      </c>
      <c r="AM73" s="411">
        <f t="shared" si="113"/>
        <v>0</v>
      </c>
      <c r="AN73" s="411">
        <f t="shared" si="113"/>
        <v>0</v>
      </c>
      <c r="AO73" s="91">
        <f t="shared" si="114"/>
        <v>0</v>
      </c>
      <c r="AP73" s="289">
        <f t="shared" si="115"/>
        <v>0</v>
      </c>
      <c r="AQ73" s="289">
        <f t="shared" si="116"/>
        <v>0</v>
      </c>
      <c r="AR73" s="289">
        <f t="shared" si="117"/>
        <v>0</v>
      </c>
      <c r="AS73" s="289">
        <f t="shared" si="118"/>
        <v>0</v>
      </c>
      <c r="AT73" s="289">
        <f t="shared" si="119"/>
        <v>0</v>
      </c>
      <c r="AU73" s="289">
        <f t="shared" si="120"/>
        <v>0</v>
      </c>
      <c r="AV73" s="289">
        <f t="shared" si="121"/>
        <v>0</v>
      </c>
      <c r="AW73" s="289">
        <f t="shared" si="122"/>
        <v>0</v>
      </c>
      <c r="AX73" s="411">
        <f t="shared" si="123"/>
        <v>0</v>
      </c>
      <c r="AY73" s="91">
        <f t="shared" si="124"/>
        <v>0</v>
      </c>
      <c r="AZ73" s="289">
        <f t="shared" si="125"/>
        <v>0</v>
      </c>
      <c r="BA73" s="91">
        <f t="shared" si="124"/>
        <v>0</v>
      </c>
      <c r="BB73" s="289">
        <f t="shared" si="126"/>
        <v>0</v>
      </c>
      <c r="BC73" s="411">
        <f t="shared" si="126"/>
        <v>0</v>
      </c>
      <c r="BD73" s="289">
        <f t="shared" si="129"/>
        <v>0</v>
      </c>
      <c r="BE73" s="91">
        <f t="shared" si="127"/>
        <v>0</v>
      </c>
      <c r="BF73" s="289">
        <f t="shared" si="128"/>
        <v>0</v>
      </c>
      <c r="BG73" s="411">
        <f t="shared" si="128"/>
        <v>0</v>
      </c>
    </row>
    <row r="74" spans="1:59" ht="11.1" hidden="1" customHeight="1">
      <c r="A74" s="885">
        <v>26</v>
      </c>
      <c r="B74" s="91">
        <f t="shared" si="81"/>
        <v>0</v>
      </c>
      <c r="C74" s="289">
        <f t="shared" si="82"/>
        <v>0</v>
      </c>
      <c r="D74" s="289">
        <f t="shared" si="83"/>
        <v>0</v>
      </c>
      <c r="E74" s="289">
        <f t="shared" si="84"/>
        <v>0</v>
      </c>
      <c r="F74" s="289">
        <f t="shared" si="85"/>
        <v>0</v>
      </c>
      <c r="G74" s="411">
        <f t="shared" si="86"/>
        <v>0</v>
      </c>
      <c r="H74" s="91">
        <f t="shared" si="87"/>
        <v>0</v>
      </c>
      <c r="I74" s="289">
        <f t="shared" si="88"/>
        <v>0</v>
      </c>
      <c r="J74" s="289">
        <f t="shared" si="89"/>
        <v>0</v>
      </c>
      <c r="K74" s="289">
        <f t="shared" si="90"/>
        <v>0</v>
      </c>
      <c r="L74" s="411">
        <f t="shared" si="91"/>
        <v>0</v>
      </c>
      <c r="M74" s="411">
        <f t="shared" si="64"/>
        <v>0</v>
      </c>
      <c r="N74" s="91">
        <f t="shared" si="92"/>
        <v>0</v>
      </c>
      <c r="O74" s="289">
        <f t="shared" si="93"/>
        <v>0</v>
      </c>
      <c r="P74" s="289">
        <f t="shared" si="94"/>
        <v>0</v>
      </c>
      <c r="Q74" s="289">
        <f t="shared" si="95"/>
        <v>0</v>
      </c>
      <c r="R74" s="289">
        <f t="shared" si="96"/>
        <v>0</v>
      </c>
      <c r="S74" s="289">
        <f t="shared" si="97"/>
        <v>0</v>
      </c>
      <c r="T74" s="289">
        <f t="shared" si="98"/>
        <v>0</v>
      </c>
      <c r="U74" s="289">
        <f t="shared" si="98"/>
        <v>0</v>
      </c>
      <c r="V74" s="289">
        <f t="shared" si="99"/>
        <v>0</v>
      </c>
      <c r="W74" s="289">
        <f t="shared" si="100"/>
        <v>0</v>
      </c>
      <c r="X74" s="411">
        <f t="shared" si="100"/>
        <v>0</v>
      </c>
      <c r="Y74" s="289">
        <f t="shared" si="101"/>
        <v>0</v>
      </c>
      <c r="Z74" s="289">
        <f t="shared" si="102"/>
        <v>0</v>
      </c>
      <c r="AA74" s="289">
        <f t="shared" si="103"/>
        <v>0</v>
      </c>
      <c r="AB74" s="289">
        <f t="shared" si="104"/>
        <v>0</v>
      </c>
      <c r="AC74" s="289">
        <f t="shared" si="105"/>
        <v>0</v>
      </c>
      <c r="AD74" s="289">
        <f t="shared" si="106"/>
        <v>0</v>
      </c>
      <c r="AE74" s="91">
        <f t="shared" si="107"/>
        <v>0</v>
      </c>
      <c r="AF74" s="411">
        <f t="shared" ref="AF74:AF88" si="130">IF($A30&lt;AF$5,IF(AF73&lt;&gt;0,AF73+AF30,AF30),0)</f>
        <v>0</v>
      </c>
      <c r="AG74" s="91">
        <f t="shared" si="109"/>
        <v>0</v>
      </c>
      <c r="AH74" s="289">
        <f>IF($A30&lt;AH$5,IF(AH73&lt;&gt;0,AH73+AH30,AH30),0)</f>
        <v>0</v>
      </c>
      <c r="AI74" s="289">
        <f t="shared" si="111"/>
        <v>0</v>
      </c>
      <c r="AJ74" s="289">
        <f t="shared" si="112"/>
        <v>0</v>
      </c>
      <c r="AK74" s="411">
        <f t="shared" si="113"/>
        <v>0</v>
      </c>
      <c r="AL74" s="411">
        <f t="shared" si="113"/>
        <v>0</v>
      </c>
      <c r="AM74" s="411">
        <f t="shared" si="113"/>
        <v>0</v>
      </c>
      <c r="AN74" s="411">
        <f t="shared" si="113"/>
        <v>0</v>
      </c>
      <c r="AO74" s="91">
        <f t="shared" si="114"/>
        <v>0</v>
      </c>
      <c r="AP74" s="289">
        <f t="shared" si="115"/>
        <v>0</v>
      </c>
      <c r="AQ74" s="289">
        <f t="shared" si="116"/>
        <v>0</v>
      </c>
      <c r="AR74" s="289">
        <f t="shared" si="117"/>
        <v>0</v>
      </c>
      <c r="AS74" s="289">
        <f t="shared" si="118"/>
        <v>0</v>
      </c>
      <c r="AT74" s="289">
        <f t="shared" si="119"/>
        <v>0</v>
      </c>
      <c r="AU74" s="289">
        <f t="shared" si="120"/>
        <v>0</v>
      </c>
      <c r="AV74" s="289">
        <f t="shared" si="121"/>
        <v>0</v>
      </c>
      <c r="AW74" s="289">
        <f t="shared" si="122"/>
        <v>0</v>
      </c>
      <c r="AX74" s="411">
        <f t="shared" si="123"/>
        <v>0</v>
      </c>
      <c r="AY74" s="91">
        <f t="shared" si="124"/>
        <v>0</v>
      </c>
      <c r="AZ74" s="289">
        <f t="shared" si="125"/>
        <v>0</v>
      </c>
      <c r="BA74" s="91">
        <f t="shared" si="124"/>
        <v>0</v>
      </c>
      <c r="BB74" s="289">
        <f t="shared" si="126"/>
        <v>0</v>
      </c>
      <c r="BC74" s="411">
        <f t="shared" si="126"/>
        <v>0</v>
      </c>
      <c r="BD74" s="289">
        <f t="shared" si="129"/>
        <v>0</v>
      </c>
      <c r="BE74" s="91">
        <f t="shared" si="127"/>
        <v>0</v>
      </c>
      <c r="BF74" s="289">
        <f t="shared" si="128"/>
        <v>0</v>
      </c>
      <c r="BG74" s="411">
        <f t="shared" si="128"/>
        <v>0</v>
      </c>
    </row>
    <row r="75" spans="1:59" ht="11.1" hidden="1" customHeight="1">
      <c r="A75" s="885">
        <v>27</v>
      </c>
      <c r="B75" s="91">
        <f t="shared" si="81"/>
        <v>0</v>
      </c>
      <c r="C75" s="289">
        <f t="shared" si="82"/>
        <v>0</v>
      </c>
      <c r="D75" s="289">
        <f t="shared" si="83"/>
        <v>0</v>
      </c>
      <c r="E75" s="289">
        <f t="shared" si="84"/>
        <v>0</v>
      </c>
      <c r="F75" s="289">
        <f t="shared" si="85"/>
        <v>0</v>
      </c>
      <c r="G75" s="411">
        <f t="shared" si="86"/>
        <v>0</v>
      </c>
      <c r="H75" s="91">
        <f t="shared" si="87"/>
        <v>0</v>
      </c>
      <c r="I75" s="289">
        <f t="shared" si="88"/>
        <v>0</v>
      </c>
      <c r="J75" s="289">
        <f t="shared" si="89"/>
        <v>0</v>
      </c>
      <c r="K75" s="289">
        <f t="shared" si="90"/>
        <v>0</v>
      </c>
      <c r="L75" s="411">
        <f t="shared" si="91"/>
        <v>0</v>
      </c>
      <c r="M75" s="411">
        <f t="shared" si="64"/>
        <v>0</v>
      </c>
      <c r="N75" s="91">
        <f t="shared" si="92"/>
        <v>0</v>
      </c>
      <c r="O75" s="289">
        <f t="shared" si="93"/>
        <v>0</v>
      </c>
      <c r="P75" s="289">
        <f t="shared" si="94"/>
        <v>0</v>
      </c>
      <c r="Q75" s="289">
        <f t="shared" si="95"/>
        <v>0</v>
      </c>
      <c r="R75" s="289">
        <f t="shared" si="96"/>
        <v>0</v>
      </c>
      <c r="S75" s="289">
        <f t="shared" si="97"/>
        <v>0</v>
      </c>
      <c r="T75" s="289">
        <f t="shared" si="98"/>
        <v>0</v>
      </c>
      <c r="U75" s="289">
        <f t="shared" si="98"/>
        <v>0</v>
      </c>
      <c r="V75" s="289">
        <f t="shared" si="99"/>
        <v>0</v>
      </c>
      <c r="W75" s="289">
        <f t="shared" si="100"/>
        <v>0</v>
      </c>
      <c r="X75" s="411">
        <f t="shared" si="100"/>
        <v>0</v>
      </c>
      <c r="Y75" s="289">
        <f t="shared" si="101"/>
        <v>0</v>
      </c>
      <c r="Z75" s="289">
        <f t="shared" si="102"/>
        <v>0</v>
      </c>
      <c r="AA75" s="289">
        <f t="shared" si="103"/>
        <v>0</v>
      </c>
      <c r="AB75" s="289">
        <f t="shared" si="104"/>
        <v>0</v>
      </c>
      <c r="AC75" s="289">
        <f t="shared" si="105"/>
        <v>0</v>
      </c>
      <c r="AD75" s="289">
        <f t="shared" si="106"/>
        <v>0</v>
      </c>
      <c r="AE75" s="91">
        <f t="shared" si="107"/>
        <v>0</v>
      </c>
      <c r="AF75" s="411">
        <f t="shared" si="130"/>
        <v>0</v>
      </c>
      <c r="AG75" s="91">
        <f t="shared" si="109"/>
        <v>0</v>
      </c>
      <c r="AH75" s="289">
        <f>IF($A31&lt;AH$5,IF(AH74&lt;&gt;0,AH74+AH31,AH31),0)</f>
        <v>0</v>
      </c>
      <c r="AI75" s="289">
        <f t="shared" si="111"/>
        <v>0</v>
      </c>
      <c r="AJ75" s="289">
        <f t="shared" si="112"/>
        <v>0</v>
      </c>
      <c r="AK75" s="411">
        <f t="shared" si="113"/>
        <v>0</v>
      </c>
      <c r="AL75" s="411">
        <f t="shared" si="113"/>
        <v>0</v>
      </c>
      <c r="AM75" s="411">
        <f t="shared" si="113"/>
        <v>0</v>
      </c>
      <c r="AN75" s="411">
        <f t="shared" si="113"/>
        <v>0</v>
      </c>
      <c r="AO75" s="91">
        <f t="shared" si="114"/>
        <v>0</v>
      </c>
      <c r="AP75" s="289">
        <f t="shared" si="115"/>
        <v>0</v>
      </c>
      <c r="AQ75" s="289">
        <f t="shared" si="116"/>
        <v>0</v>
      </c>
      <c r="AR75" s="289">
        <f t="shared" si="117"/>
        <v>0</v>
      </c>
      <c r="AS75" s="289">
        <f t="shared" si="118"/>
        <v>0</v>
      </c>
      <c r="AT75" s="289">
        <f t="shared" si="119"/>
        <v>0</v>
      </c>
      <c r="AU75" s="289">
        <f t="shared" si="120"/>
        <v>0</v>
      </c>
      <c r="AV75" s="289">
        <f t="shared" si="121"/>
        <v>0</v>
      </c>
      <c r="AW75" s="289">
        <f t="shared" si="122"/>
        <v>0</v>
      </c>
      <c r="AX75" s="411">
        <f t="shared" si="123"/>
        <v>0</v>
      </c>
      <c r="AY75" s="91">
        <f t="shared" si="124"/>
        <v>0</v>
      </c>
      <c r="AZ75" s="289">
        <f t="shared" si="125"/>
        <v>0</v>
      </c>
      <c r="BA75" s="91">
        <f t="shared" si="124"/>
        <v>0</v>
      </c>
      <c r="BB75" s="289">
        <f t="shared" si="126"/>
        <v>0</v>
      </c>
      <c r="BC75" s="411">
        <f t="shared" si="126"/>
        <v>0</v>
      </c>
      <c r="BD75" s="289">
        <f t="shared" si="129"/>
        <v>0</v>
      </c>
      <c r="BE75" s="91">
        <f t="shared" si="127"/>
        <v>0</v>
      </c>
      <c r="BF75" s="289">
        <f t="shared" si="128"/>
        <v>0</v>
      </c>
      <c r="BG75" s="411">
        <f t="shared" si="128"/>
        <v>0</v>
      </c>
    </row>
    <row r="76" spans="1:59" ht="11.1" hidden="1" customHeight="1">
      <c r="A76" s="885">
        <v>28</v>
      </c>
      <c r="B76" s="91">
        <f t="shared" si="81"/>
        <v>0</v>
      </c>
      <c r="C76" s="289">
        <f t="shared" si="82"/>
        <v>0</v>
      </c>
      <c r="D76" s="289">
        <f t="shared" si="83"/>
        <v>0</v>
      </c>
      <c r="E76" s="289">
        <f t="shared" si="84"/>
        <v>0</v>
      </c>
      <c r="F76" s="289">
        <f t="shared" si="85"/>
        <v>0</v>
      </c>
      <c r="G76" s="411">
        <f t="shared" si="86"/>
        <v>0</v>
      </c>
      <c r="H76" s="91">
        <f t="shared" si="87"/>
        <v>0</v>
      </c>
      <c r="I76" s="289">
        <f t="shared" si="88"/>
        <v>0</v>
      </c>
      <c r="J76" s="289">
        <f t="shared" si="89"/>
        <v>0</v>
      </c>
      <c r="K76" s="289">
        <f t="shared" si="90"/>
        <v>0</v>
      </c>
      <c r="L76" s="411">
        <f t="shared" si="91"/>
        <v>0</v>
      </c>
      <c r="M76" s="411">
        <f t="shared" si="64"/>
        <v>0</v>
      </c>
      <c r="N76" s="91">
        <f t="shared" si="92"/>
        <v>0</v>
      </c>
      <c r="O76" s="289">
        <f t="shared" si="93"/>
        <v>0</v>
      </c>
      <c r="P76" s="289">
        <f t="shared" si="94"/>
        <v>0</v>
      </c>
      <c r="Q76" s="289">
        <f t="shared" si="95"/>
        <v>0</v>
      </c>
      <c r="R76" s="289">
        <f t="shared" si="96"/>
        <v>0</v>
      </c>
      <c r="S76" s="289">
        <f t="shared" si="97"/>
        <v>0</v>
      </c>
      <c r="T76" s="289">
        <f t="shared" si="98"/>
        <v>0</v>
      </c>
      <c r="U76" s="289">
        <f t="shared" si="98"/>
        <v>0</v>
      </c>
      <c r="V76" s="289">
        <f t="shared" si="99"/>
        <v>0</v>
      </c>
      <c r="W76" s="289">
        <f t="shared" si="100"/>
        <v>0</v>
      </c>
      <c r="X76" s="411">
        <f t="shared" si="100"/>
        <v>0</v>
      </c>
      <c r="Y76" s="289">
        <f t="shared" si="101"/>
        <v>0</v>
      </c>
      <c r="Z76" s="289">
        <f t="shared" si="102"/>
        <v>0</v>
      </c>
      <c r="AA76" s="289">
        <f t="shared" si="103"/>
        <v>0</v>
      </c>
      <c r="AB76" s="289">
        <f t="shared" si="104"/>
        <v>0</v>
      </c>
      <c r="AC76" s="289">
        <f t="shared" si="105"/>
        <v>0</v>
      </c>
      <c r="AD76" s="289">
        <f t="shared" si="106"/>
        <v>0</v>
      </c>
      <c r="AE76" s="91">
        <f t="shared" si="107"/>
        <v>0</v>
      </c>
      <c r="AF76" s="411">
        <f t="shared" si="130"/>
        <v>0</v>
      </c>
      <c r="AG76" s="91">
        <f t="shared" si="109"/>
        <v>0</v>
      </c>
      <c r="AH76" s="289">
        <f t="shared" si="110"/>
        <v>0</v>
      </c>
      <c r="AI76" s="289">
        <f t="shared" si="111"/>
        <v>0</v>
      </c>
      <c r="AJ76" s="289">
        <f t="shared" si="112"/>
        <v>0</v>
      </c>
      <c r="AK76" s="411">
        <f t="shared" si="113"/>
        <v>0</v>
      </c>
      <c r="AL76" s="411">
        <f t="shared" si="113"/>
        <v>0</v>
      </c>
      <c r="AM76" s="411">
        <f t="shared" si="113"/>
        <v>0</v>
      </c>
      <c r="AN76" s="411">
        <f t="shared" si="113"/>
        <v>0</v>
      </c>
      <c r="AO76" s="91">
        <f t="shared" si="114"/>
        <v>0</v>
      </c>
      <c r="AP76" s="289">
        <f t="shared" si="115"/>
        <v>0</v>
      </c>
      <c r="AQ76" s="289">
        <f t="shared" si="116"/>
        <v>0</v>
      </c>
      <c r="AR76" s="289">
        <f t="shared" si="117"/>
        <v>0</v>
      </c>
      <c r="AS76" s="289">
        <f t="shared" si="118"/>
        <v>0</v>
      </c>
      <c r="AT76" s="289">
        <f t="shared" si="119"/>
        <v>0</v>
      </c>
      <c r="AU76" s="289">
        <f t="shared" si="120"/>
        <v>0</v>
      </c>
      <c r="AV76" s="289">
        <f t="shared" si="121"/>
        <v>0</v>
      </c>
      <c r="AW76" s="289">
        <f t="shared" si="122"/>
        <v>0</v>
      </c>
      <c r="AX76" s="411">
        <f t="shared" si="123"/>
        <v>0</v>
      </c>
      <c r="AY76" s="91">
        <f t="shared" si="124"/>
        <v>0</v>
      </c>
      <c r="AZ76" s="289">
        <f t="shared" si="125"/>
        <v>0</v>
      </c>
      <c r="BA76" s="91">
        <f t="shared" si="124"/>
        <v>0</v>
      </c>
      <c r="BB76" s="289">
        <f t="shared" si="126"/>
        <v>0</v>
      </c>
      <c r="BC76" s="411">
        <f t="shared" si="126"/>
        <v>0</v>
      </c>
      <c r="BD76" s="289">
        <f t="shared" si="129"/>
        <v>0</v>
      </c>
      <c r="BE76" s="91">
        <f t="shared" si="127"/>
        <v>0</v>
      </c>
      <c r="BF76" s="289">
        <f t="shared" si="128"/>
        <v>0</v>
      </c>
      <c r="BG76" s="411">
        <f t="shared" si="128"/>
        <v>0</v>
      </c>
    </row>
    <row r="77" spans="1:59" ht="11.1" hidden="1" customHeight="1">
      <c r="A77" s="885">
        <v>29</v>
      </c>
      <c r="B77" s="91">
        <f t="shared" si="81"/>
        <v>0</v>
      </c>
      <c r="C77" s="289">
        <f t="shared" si="82"/>
        <v>0</v>
      </c>
      <c r="D77" s="289">
        <f t="shared" si="83"/>
        <v>0</v>
      </c>
      <c r="E77" s="289">
        <f t="shared" si="84"/>
        <v>0</v>
      </c>
      <c r="F77" s="289">
        <f t="shared" si="85"/>
        <v>0</v>
      </c>
      <c r="G77" s="411">
        <f t="shared" si="86"/>
        <v>0</v>
      </c>
      <c r="H77" s="91">
        <f t="shared" si="87"/>
        <v>0</v>
      </c>
      <c r="I77" s="289">
        <f t="shared" si="88"/>
        <v>0</v>
      </c>
      <c r="J77" s="289">
        <f t="shared" si="89"/>
        <v>0</v>
      </c>
      <c r="K77" s="289">
        <f t="shared" si="90"/>
        <v>0</v>
      </c>
      <c r="L77" s="411">
        <f t="shared" si="91"/>
        <v>0</v>
      </c>
      <c r="M77" s="411">
        <f t="shared" si="64"/>
        <v>0</v>
      </c>
      <c r="N77" s="91">
        <f t="shared" si="92"/>
        <v>0</v>
      </c>
      <c r="O77" s="289">
        <f t="shared" si="93"/>
        <v>0</v>
      </c>
      <c r="P77" s="289">
        <f t="shared" si="94"/>
        <v>0</v>
      </c>
      <c r="Q77" s="289">
        <f t="shared" si="95"/>
        <v>0</v>
      </c>
      <c r="R77" s="289">
        <f t="shared" si="96"/>
        <v>0</v>
      </c>
      <c r="S77" s="289">
        <f t="shared" si="97"/>
        <v>0</v>
      </c>
      <c r="T77" s="289">
        <f t="shared" si="98"/>
        <v>0</v>
      </c>
      <c r="U77" s="289">
        <f t="shared" si="98"/>
        <v>0</v>
      </c>
      <c r="V77" s="289">
        <f t="shared" si="99"/>
        <v>0</v>
      </c>
      <c r="W77" s="289">
        <f t="shared" si="100"/>
        <v>0</v>
      </c>
      <c r="X77" s="411">
        <f t="shared" si="100"/>
        <v>0</v>
      </c>
      <c r="Y77" s="289">
        <f t="shared" si="101"/>
        <v>0</v>
      </c>
      <c r="Z77" s="289">
        <f t="shared" si="102"/>
        <v>0</v>
      </c>
      <c r="AA77" s="289">
        <f t="shared" si="103"/>
        <v>0</v>
      </c>
      <c r="AB77" s="289">
        <f t="shared" si="104"/>
        <v>0</v>
      </c>
      <c r="AC77" s="289">
        <f t="shared" si="105"/>
        <v>0</v>
      </c>
      <c r="AD77" s="289">
        <f t="shared" si="106"/>
        <v>0</v>
      </c>
      <c r="AE77" s="91">
        <f t="shared" si="107"/>
        <v>0</v>
      </c>
      <c r="AF77" s="411">
        <f t="shared" si="130"/>
        <v>0</v>
      </c>
      <c r="AG77" s="91">
        <f t="shared" si="109"/>
        <v>0</v>
      </c>
      <c r="AH77" s="289">
        <f t="shared" si="110"/>
        <v>0</v>
      </c>
      <c r="AI77" s="289">
        <f t="shared" si="111"/>
        <v>0</v>
      </c>
      <c r="AJ77" s="289">
        <f t="shared" si="112"/>
        <v>0</v>
      </c>
      <c r="AK77" s="411">
        <f t="shared" si="113"/>
        <v>0</v>
      </c>
      <c r="AL77" s="411">
        <f t="shared" si="113"/>
        <v>0</v>
      </c>
      <c r="AM77" s="411">
        <f t="shared" si="113"/>
        <v>0</v>
      </c>
      <c r="AN77" s="411">
        <f t="shared" si="113"/>
        <v>0</v>
      </c>
      <c r="AO77" s="91">
        <f t="shared" si="114"/>
        <v>0</v>
      </c>
      <c r="AP77" s="289">
        <f t="shared" si="115"/>
        <v>0</v>
      </c>
      <c r="AQ77" s="289">
        <f t="shared" si="116"/>
        <v>0</v>
      </c>
      <c r="AR77" s="289">
        <f t="shared" si="117"/>
        <v>0</v>
      </c>
      <c r="AS77" s="289">
        <f t="shared" si="118"/>
        <v>0</v>
      </c>
      <c r="AT77" s="289">
        <f t="shared" si="119"/>
        <v>0</v>
      </c>
      <c r="AU77" s="289">
        <f t="shared" si="120"/>
        <v>0</v>
      </c>
      <c r="AV77" s="289">
        <f t="shared" si="121"/>
        <v>0</v>
      </c>
      <c r="AW77" s="289">
        <f t="shared" si="122"/>
        <v>0</v>
      </c>
      <c r="AX77" s="411">
        <f t="shared" si="123"/>
        <v>0</v>
      </c>
      <c r="AY77" s="91">
        <f t="shared" si="124"/>
        <v>0</v>
      </c>
      <c r="AZ77" s="289">
        <f t="shared" si="125"/>
        <v>0</v>
      </c>
      <c r="BA77" s="91">
        <f t="shared" si="124"/>
        <v>0</v>
      </c>
      <c r="BB77" s="289">
        <f t="shared" si="126"/>
        <v>0</v>
      </c>
      <c r="BC77" s="411">
        <f t="shared" si="126"/>
        <v>0</v>
      </c>
      <c r="BD77" s="289">
        <f t="shared" si="129"/>
        <v>0</v>
      </c>
      <c r="BE77" s="91">
        <f t="shared" si="127"/>
        <v>0</v>
      </c>
      <c r="BF77" s="289">
        <f t="shared" si="128"/>
        <v>0</v>
      </c>
      <c r="BG77" s="411">
        <f t="shared" si="128"/>
        <v>0</v>
      </c>
    </row>
    <row r="78" spans="1:59" ht="11.1" hidden="1" customHeight="1">
      <c r="A78" s="885">
        <v>30</v>
      </c>
      <c r="B78" s="91">
        <f t="shared" si="81"/>
        <v>0</v>
      </c>
      <c r="C78" s="289">
        <f t="shared" si="82"/>
        <v>0</v>
      </c>
      <c r="D78" s="289">
        <f t="shared" si="83"/>
        <v>0</v>
      </c>
      <c r="E78" s="289">
        <f t="shared" si="84"/>
        <v>0</v>
      </c>
      <c r="F78" s="289">
        <f t="shared" si="85"/>
        <v>0</v>
      </c>
      <c r="G78" s="411">
        <f t="shared" si="86"/>
        <v>0</v>
      </c>
      <c r="H78" s="91">
        <f t="shared" si="87"/>
        <v>0</v>
      </c>
      <c r="I78" s="289">
        <f t="shared" si="88"/>
        <v>0</v>
      </c>
      <c r="J78" s="289">
        <f t="shared" si="89"/>
        <v>0</v>
      </c>
      <c r="K78" s="289">
        <f t="shared" si="90"/>
        <v>0</v>
      </c>
      <c r="L78" s="411">
        <f t="shared" si="91"/>
        <v>0</v>
      </c>
      <c r="M78" s="411">
        <f t="shared" si="64"/>
        <v>0</v>
      </c>
      <c r="N78" s="91">
        <f t="shared" si="92"/>
        <v>0</v>
      </c>
      <c r="O78" s="289">
        <f t="shared" si="93"/>
        <v>0</v>
      </c>
      <c r="P78" s="289">
        <f t="shared" si="94"/>
        <v>0</v>
      </c>
      <c r="Q78" s="289">
        <f t="shared" si="95"/>
        <v>0</v>
      </c>
      <c r="R78" s="289">
        <f t="shared" si="96"/>
        <v>0</v>
      </c>
      <c r="S78" s="289">
        <f t="shared" si="97"/>
        <v>0</v>
      </c>
      <c r="T78" s="289">
        <f t="shared" si="98"/>
        <v>0</v>
      </c>
      <c r="U78" s="289">
        <f t="shared" si="98"/>
        <v>0</v>
      </c>
      <c r="V78" s="289">
        <f t="shared" si="99"/>
        <v>0</v>
      </c>
      <c r="W78" s="289">
        <f t="shared" si="100"/>
        <v>0</v>
      </c>
      <c r="X78" s="411">
        <f t="shared" si="100"/>
        <v>0</v>
      </c>
      <c r="Y78" s="289">
        <f t="shared" si="101"/>
        <v>0</v>
      </c>
      <c r="Z78" s="289">
        <f t="shared" si="102"/>
        <v>0</v>
      </c>
      <c r="AA78" s="289">
        <f t="shared" si="103"/>
        <v>0</v>
      </c>
      <c r="AB78" s="289">
        <f t="shared" si="104"/>
        <v>0</v>
      </c>
      <c r="AC78" s="289">
        <f t="shared" si="105"/>
        <v>0</v>
      </c>
      <c r="AD78" s="289">
        <f t="shared" si="106"/>
        <v>0</v>
      </c>
      <c r="AE78" s="91">
        <f t="shared" si="107"/>
        <v>0</v>
      </c>
      <c r="AF78" s="411">
        <f t="shared" si="130"/>
        <v>0</v>
      </c>
      <c r="AG78" s="91">
        <f t="shared" si="109"/>
        <v>0</v>
      </c>
      <c r="AH78" s="289">
        <f t="shared" si="110"/>
        <v>0</v>
      </c>
      <c r="AI78" s="289">
        <f t="shared" si="111"/>
        <v>0</v>
      </c>
      <c r="AJ78" s="289">
        <f t="shared" si="112"/>
        <v>0</v>
      </c>
      <c r="AK78" s="411">
        <f t="shared" si="113"/>
        <v>0</v>
      </c>
      <c r="AL78" s="411">
        <f t="shared" si="113"/>
        <v>0</v>
      </c>
      <c r="AM78" s="411">
        <f t="shared" si="113"/>
        <v>0</v>
      </c>
      <c r="AN78" s="411">
        <f t="shared" si="113"/>
        <v>0</v>
      </c>
      <c r="AO78" s="91">
        <f t="shared" si="114"/>
        <v>0</v>
      </c>
      <c r="AP78" s="289">
        <f t="shared" si="115"/>
        <v>0</v>
      </c>
      <c r="AQ78" s="289">
        <f t="shared" si="116"/>
        <v>0</v>
      </c>
      <c r="AR78" s="289">
        <f t="shared" si="117"/>
        <v>0</v>
      </c>
      <c r="AS78" s="289">
        <f t="shared" si="118"/>
        <v>0</v>
      </c>
      <c r="AT78" s="289">
        <f t="shared" si="119"/>
        <v>0</v>
      </c>
      <c r="AU78" s="289">
        <f t="shared" si="120"/>
        <v>0</v>
      </c>
      <c r="AV78" s="289">
        <f t="shared" si="121"/>
        <v>0</v>
      </c>
      <c r="AW78" s="289">
        <f t="shared" si="122"/>
        <v>0</v>
      </c>
      <c r="AX78" s="411">
        <f t="shared" si="123"/>
        <v>0</v>
      </c>
      <c r="AY78" s="91">
        <f t="shared" si="124"/>
        <v>0</v>
      </c>
      <c r="AZ78" s="289">
        <f t="shared" si="125"/>
        <v>0</v>
      </c>
      <c r="BA78" s="91">
        <f t="shared" si="124"/>
        <v>0</v>
      </c>
      <c r="BB78" s="289">
        <f t="shared" si="126"/>
        <v>0</v>
      </c>
      <c r="BC78" s="411">
        <f t="shared" si="126"/>
        <v>0</v>
      </c>
      <c r="BD78" s="289">
        <f t="shared" si="129"/>
        <v>0</v>
      </c>
      <c r="BE78" s="91">
        <f t="shared" si="127"/>
        <v>0</v>
      </c>
      <c r="BF78" s="289">
        <f t="shared" si="128"/>
        <v>0</v>
      </c>
      <c r="BG78" s="411">
        <f t="shared" si="128"/>
        <v>0</v>
      </c>
    </row>
    <row r="79" spans="1:59" ht="11.1" hidden="1" customHeight="1">
      <c r="A79" s="885">
        <v>31</v>
      </c>
      <c r="B79" s="91">
        <f t="shared" si="81"/>
        <v>0</v>
      </c>
      <c r="C79" s="289">
        <f t="shared" si="82"/>
        <v>0</v>
      </c>
      <c r="D79" s="289">
        <f t="shared" si="83"/>
        <v>0</v>
      </c>
      <c r="E79" s="289">
        <f t="shared" si="84"/>
        <v>0</v>
      </c>
      <c r="F79" s="289">
        <f t="shared" si="85"/>
        <v>0</v>
      </c>
      <c r="G79" s="411">
        <f t="shared" si="86"/>
        <v>0</v>
      </c>
      <c r="H79" s="91">
        <f t="shared" si="87"/>
        <v>0</v>
      </c>
      <c r="I79" s="289">
        <f t="shared" si="88"/>
        <v>0</v>
      </c>
      <c r="J79" s="289">
        <f t="shared" si="89"/>
        <v>0</v>
      </c>
      <c r="K79" s="289">
        <f t="shared" si="90"/>
        <v>0</v>
      </c>
      <c r="L79" s="411">
        <f t="shared" si="91"/>
        <v>0</v>
      </c>
      <c r="M79" s="411">
        <f t="shared" si="64"/>
        <v>0</v>
      </c>
      <c r="N79" s="91">
        <f t="shared" si="92"/>
        <v>0</v>
      </c>
      <c r="O79" s="289">
        <f t="shared" si="93"/>
        <v>0</v>
      </c>
      <c r="P79" s="289">
        <f t="shared" si="94"/>
        <v>0</v>
      </c>
      <c r="Q79" s="289">
        <f t="shared" si="95"/>
        <v>0</v>
      </c>
      <c r="R79" s="289">
        <f t="shared" si="96"/>
        <v>0</v>
      </c>
      <c r="S79" s="289">
        <f t="shared" si="97"/>
        <v>0</v>
      </c>
      <c r="T79" s="289">
        <f t="shared" si="98"/>
        <v>0</v>
      </c>
      <c r="U79" s="289">
        <f t="shared" si="98"/>
        <v>0</v>
      </c>
      <c r="V79" s="289">
        <f t="shared" si="99"/>
        <v>0</v>
      </c>
      <c r="W79" s="289">
        <f t="shared" si="100"/>
        <v>0</v>
      </c>
      <c r="X79" s="411">
        <f t="shared" si="100"/>
        <v>0</v>
      </c>
      <c r="Y79" s="289">
        <f t="shared" si="101"/>
        <v>0</v>
      </c>
      <c r="Z79" s="289">
        <f t="shared" si="102"/>
        <v>0</v>
      </c>
      <c r="AA79" s="289">
        <f t="shared" si="103"/>
        <v>0</v>
      </c>
      <c r="AB79" s="289">
        <f t="shared" si="104"/>
        <v>0</v>
      </c>
      <c r="AC79" s="289">
        <f t="shared" si="105"/>
        <v>0</v>
      </c>
      <c r="AD79" s="289">
        <f t="shared" si="106"/>
        <v>0</v>
      </c>
      <c r="AE79" s="91">
        <f t="shared" si="107"/>
        <v>0</v>
      </c>
      <c r="AF79" s="411">
        <f t="shared" si="130"/>
        <v>0</v>
      </c>
      <c r="AG79" s="91">
        <f t="shared" si="109"/>
        <v>0</v>
      </c>
      <c r="AH79" s="289">
        <f t="shared" si="110"/>
        <v>0</v>
      </c>
      <c r="AI79" s="289">
        <f t="shared" si="111"/>
        <v>0</v>
      </c>
      <c r="AJ79" s="289">
        <f t="shared" si="112"/>
        <v>0</v>
      </c>
      <c r="AK79" s="411">
        <f t="shared" si="113"/>
        <v>0</v>
      </c>
      <c r="AL79" s="411">
        <f t="shared" si="113"/>
        <v>0</v>
      </c>
      <c r="AM79" s="411">
        <f t="shared" si="113"/>
        <v>0</v>
      </c>
      <c r="AN79" s="411">
        <f t="shared" si="113"/>
        <v>0</v>
      </c>
      <c r="AO79" s="91">
        <f t="shared" si="114"/>
        <v>0</v>
      </c>
      <c r="AP79" s="289">
        <f t="shared" si="115"/>
        <v>0</v>
      </c>
      <c r="AQ79" s="289">
        <f t="shared" si="116"/>
        <v>0</v>
      </c>
      <c r="AR79" s="289">
        <f t="shared" si="117"/>
        <v>0</v>
      </c>
      <c r="AS79" s="289">
        <f t="shared" si="118"/>
        <v>0</v>
      </c>
      <c r="AT79" s="289">
        <f t="shared" si="119"/>
        <v>0</v>
      </c>
      <c r="AU79" s="289">
        <f t="shared" si="120"/>
        <v>0</v>
      </c>
      <c r="AV79" s="289">
        <f t="shared" si="121"/>
        <v>0</v>
      </c>
      <c r="AW79" s="289">
        <f t="shared" si="122"/>
        <v>0</v>
      </c>
      <c r="AX79" s="411">
        <f t="shared" si="123"/>
        <v>0</v>
      </c>
      <c r="AY79" s="91">
        <f t="shared" si="124"/>
        <v>0</v>
      </c>
      <c r="AZ79" s="289">
        <f t="shared" si="125"/>
        <v>0</v>
      </c>
      <c r="BA79" s="91">
        <f t="shared" si="124"/>
        <v>0</v>
      </c>
      <c r="BB79" s="289">
        <f t="shared" si="126"/>
        <v>0</v>
      </c>
      <c r="BC79" s="411">
        <f t="shared" si="126"/>
        <v>0</v>
      </c>
      <c r="BD79" s="289">
        <f t="shared" si="129"/>
        <v>0</v>
      </c>
      <c r="BE79" s="91">
        <f t="shared" si="127"/>
        <v>0</v>
      </c>
      <c r="BF79" s="289">
        <f t="shared" si="128"/>
        <v>0</v>
      </c>
      <c r="BG79" s="411">
        <f t="shared" si="128"/>
        <v>0</v>
      </c>
    </row>
    <row r="80" spans="1:59" ht="11.1" hidden="1" customHeight="1">
      <c r="A80" s="885">
        <v>32</v>
      </c>
      <c r="B80" s="91">
        <f t="shared" si="81"/>
        <v>0</v>
      </c>
      <c r="C80" s="289">
        <f t="shared" si="82"/>
        <v>0</v>
      </c>
      <c r="D80" s="289">
        <f t="shared" si="83"/>
        <v>0</v>
      </c>
      <c r="E80" s="289">
        <f t="shared" si="84"/>
        <v>0</v>
      </c>
      <c r="F80" s="289">
        <f t="shared" si="85"/>
        <v>0</v>
      </c>
      <c r="G80" s="411">
        <f t="shared" si="86"/>
        <v>0</v>
      </c>
      <c r="H80" s="91">
        <f t="shared" si="87"/>
        <v>0</v>
      </c>
      <c r="I80" s="289">
        <f t="shared" si="88"/>
        <v>0</v>
      </c>
      <c r="J80" s="289">
        <f t="shared" si="89"/>
        <v>0</v>
      </c>
      <c r="K80" s="289">
        <f t="shared" si="90"/>
        <v>0</v>
      </c>
      <c r="L80" s="411">
        <f t="shared" si="91"/>
        <v>0</v>
      </c>
      <c r="M80" s="411">
        <f t="shared" si="64"/>
        <v>0</v>
      </c>
      <c r="N80" s="91">
        <f t="shared" si="92"/>
        <v>0</v>
      </c>
      <c r="O80" s="289">
        <f t="shared" si="93"/>
        <v>0</v>
      </c>
      <c r="P80" s="289">
        <f t="shared" si="94"/>
        <v>0</v>
      </c>
      <c r="Q80" s="289">
        <f t="shared" si="95"/>
        <v>0</v>
      </c>
      <c r="R80" s="289">
        <f t="shared" si="96"/>
        <v>0</v>
      </c>
      <c r="S80" s="289">
        <f t="shared" si="97"/>
        <v>0</v>
      </c>
      <c r="T80" s="289">
        <f t="shared" si="98"/>
        <v>0</v>
      </c>
      <c r="U80" s="289">
        <f t="shared" si="98"/>
        <v>0</v>
      </c>
      <c r="V80" s="289">
        <f t="shared" si="99"/>
        <v>0</v>
      </c>
      <c r="W80" s="289">
        <f t="shared" si="100"/>
        <v>0</v>
      </c>
      <c r="X80" s="411">
        <f t="shared" si="100"/>
        <v>0</v>
      </c>
      <c r="Y80" s="289">
        <f t="shared" si="101"/>
        <v>0</v>
      </c>
      <c r="Z80" s="289">
        <f t="shared" si="102"/>
        <v>0</v>
      </c>
      <c r="AA80" s="289">
        <f t="shared" si="103"/>
        <v>0</v>
      </c>
      <c r="AB80" s="289">
        <f t="shared" si="104"/>
        <v>0</v>
      </c>
      <c r="AC80" s="289">
        <f t="shared" si="105"/>
        <v>0</v>
      </c>
      <c r="AD80" s="289">
        <f t="shared" si="106"/>
        <v>0</v>
      </c>
      <c r="AE80" s="91">
        <f t="shared" si="107"/>
        <v>0</v>
      </c>
      <c r="AF80" s="411">
        <f t="shared" si="130"/>
        <v>0</v>
      </c>
      <c r="AG80" s="91">
        <f t="shared" si="109"/>
        <v>0</v>
      </c>
      <c r="AH80" s="289">
        <f t="shared" si="110"/>
        <v>0</v>
      </c>
      <c r="AI80" s="289">
        <f t="shared" si="111"/>
        <v>0</v>
      </c>
      <c r="AJ80" s="289">
        <f t="shared" si="112"/>
        <v>0</v>
      </c>
      <c r="AK80" s="411">
        <f t="shared" si="113"/>
        <v>0</v>
      </c>
      <c r="AL80" s="411">
        <f t="shared" si="113"/>
        <v>0</v>
      </c>
      <c r="AM80" s="411">
        <f t="shared" si="113"/>
        <v>0</v>
      </c>
      <c r="AN80" s="411">
        <f t="shared" si="113"/>
        <v>0</v>
      </c>
      <c r="AO80" s="91">
        <f t="shared" si="114"/>
        <v>0</v>
      </c>
      <c r="AP80" s="289">
        <f t="shared" si="115"/>
        <v>0</v>
      </c>
      <c r="AQ80" s="289">
        <f t="shared" si="116"/>
        <v>0</v>
      </c>
      <c r="AR80" s="289">
        <f t="shared" si="117"/>
        <v>0</v>
      </c>
      <c r="AS80" s="289">
        <f t="shared" si="118"/>
        <v>0</v>
      </c>
      <c r="AT80" s="289">
        <f t="shared" si="119"/>
        <v>0</v>
      </c>
      <c r="AU80" s="289">
        <f t="shared" si="120"/>
        <v>0</v>
      </c>
      <c r="AV80" s="289">
        <f t="shared" si="121"/>
        <v>0</v>
      </c>
      <c r="AW80" s="289">
        <f t="shared" si="122"/>
        <v>0</v>
      </c>
      <c r="AX80" s="411">
        <f t="shared" si="123"/>
        <v>0</v>
      </c>
      <c r="AY80" s="91">
        <f t="shared" si="124"/>
        <v>0</v>
      </c>
      <c r="AZ80" s="289">
        <f t="shared" si="125"/>
        <v>0</v>
      </c>
      <c r="BA80" s="91">
        <f t="shared" si="124"/>
        <v>0</v>
      </c>
      <c r="BB80" s="289">
        <f t="shared" si="126"/>
        <v>0</v>
      </c>
      <c r="BC80" s="411">
        <f t="shared" si="126"/>
        <v>0</v>
      </c>
      <c r="BD80" s="289">
        <f t="shared" si="129"/>
        <v>0</v>
      </c>
      <c r="BE80" s="91">
        <f t="shared" si="127"/>
        <v>0</v>
      </c>
      <c r="BF80" s="289">
        <f t="shared" si="128"/>
        <v>0</v>
      </c>
      <c r="BG80" s="411">
        <f t="shared" si="128"/>
        <v>0</v>
      </c>
    </row>
    <row r="81" spans="1:59" ht="11.1" hidden="1" customHeight="1">
      <c r="A81" s="885">
        <v>33</v>
      </c>
      <c r="B81" s="91">
        <f t="shared" si="81"/>
        <v>0</v>
      </c>
      <c r="C81" s="289">
        <f t="shared" si="82"/>
        <v>0</v>
      </c>
      <c r="D81" s="289">
        <f t="shared" si="83"/>
        <v>0</v>
      </c>
      <c r="E81" s="289">
        <f t="shared" si="84"/>
        <v>0</v>
      </c>
      <c r="F81" s="289">
        <f t="shared" si="85"/>
        <v>0</v>
      </c>
      <c r="G81" s="411">
        <f t="shared" si="86"/>
        <v>0</v>
      </c>
      <c r="H81" s="91">
        <f t="shared" si="87"/>
        <v>0</v>
      </c>
      <c r="I81" s="289">
        <f t="shared" si="88"/>
        <v>0</v>
      </c>
      <c r="J81" s="289">
        <f t="shared" si="89"/>
        <v>0</v>
      </c>
      <c r="K81" s="289">
        <f t="shared" si="90"/>
        <v>0</v>
      </c>
      <c r="L81" s="411">
        <f t="shared" si="91"/>
        <v>0</v>
      </c>
      <c r="M81" s="411">
        <f t="shared" si="64"/>
        <v>0</v>
      </c>
      <c r="N81" s="91">
        <f t="shared" si="92"/>
        <v>0</v>
      </c>
      <c r="O81" s="289">
        <f t="shared" si="93"/>
        <v>0</v>
      </c>
      <c r="P81" s="289">
        <f t="shared" si="94"/>
        <v>0</v>
      </c>
      <c r="Q81" s="289">
        <f t="shared" si="95"/>
        <v>0</v>
      </c>
      <c r="R81" s="289">
        <f t="shared" si="96"/>
        <v>0</v>
      </c>
      <c r="S81" s="289">
        <f t="shared" si="97"/>
        <v>0</v>
      </c>
      <c r="T81" s="289">
        <f t="shared" si="98"/>
        <v>0</v>
      </c>
      <c r="U81" s="289">
        <f t="shared" si="98"/>
        <v>0</v>
      </c>
      <c r="V81" s="289">
        <f t="shared" si="99"/>
        <v>0</v>
      </c>
      <c r="W81" s="289">
        <f t="shared" si="100"/>
        <v>0</v>
      </c>
      <c r="X81" s="411">
        <f t="shared" si="100"/>
        <v>0</v>
      </c>
      <c r="Y81" s="289">
        <f t="shared" si="101"/>
        <v>0</v>
      </c>
      <c r="Z81" s="289">
        <f t="shared" si="102"/>
        <v>0</v>
      </c>
      <c r="AA81" s="289">
        <f t="shared" si="103"/>
        <v>0</v>
      </c>
      <c r="AB81" s="289">
        <f t="shared" si="104"/>
        <v>0</v>
      </c>
      <c r="AC81" s="289">
        <f t="shared" si="105"/>
        <v>0</v>
      </c>
      <c r="AD81" s="289">
        <f t="shared" si="106"/>
        <v>0</v>
      </c>
      <c r="AE81" s="91">
        <f t="shared" si="107"/>
        <v>0</v>
      </c>
      <c r="AF81" s="411">
        <f t="shared" si="130"/>
        <v>0</v>
      </c>
      <c r="AG81" s="91">
        <f t="shared" si="109"/>
        <v>0</v>
      </c>
      <c r="AH81" s="289">
        <f t="shared" si="110"/>
        <v>0</v>
      </c>
      <c r="AI81" s="289">
        <f t="shared" si="111"/>
        <v>0</v>
      </c>
      <c r="AJ81" s="289">
        <f t="shared" si="112"/>
        <v>0</v>
      </c>
      <c r="AK81" s="411">
        <f t="shared" si="113"/>
        <v>0</v>
      </c>
      <c r="AL81" s="411">
        <f t="shared" si="113"/>
        <v>0</v>
      </c>
      <c r="AM81" s="411">
        <f t="shared" si="113"/>
        <v>0</v>
      </c>
      <c r="AN81" s="411">
        <f t="shared" si="113"/>
        <v>0</v>
      </c>
      <c r="AO81" s="91">
        <f t="shared" si="114"/>
        <v>0</v>
      </c>
      <c r="AP81" s="289">
        <f t="shared" si="115"/>
        <v>0</v>
      </c>
      <c r="AQ81" s="289">
        <f t="shared" si="116"/>
        <v>0</v>
      </c>
      <c r="AR81" s="289">
        <f t="shared" si="117"/>
        <v>0</v>
      </c>
      <c r="AS81" s="289">
        <f t="shared" si="118"/>
        <v>0</v>
      </c>
      <c r="AT81" s="289">
        <f t="shared" si="119"/>
        <v>0</v>
      </c>
      <c r="AU81" s="289">
        <f t="shared" si="120"/>
        <v>0</v>
      </c>
      <c r="AV81" s="289">
        <f t="shared" si="121"/>
        <v>0</v>
      </c>
      <c r="AW81" s="289">
        <f t="shared" si="122"/>
        <v>0</v>
      </c>
      <c r="AX81" s="411">
        <f t="shared" si="123"/>
        <v>0</v>
      </c>
      <c r="AY81" s="91">
        <f t="shared" si="124"/>
        <v>0</v>
      </c>
      <c r="AZ81" s="289">
        <f t="shared" si="125"/>
        <v>0</v>
      </c>
      <c r="BA81" s="91">
        <f t="shared" si="124"/>
        <v>0</v>
      </c>
      <c r="BB81" s="289">
        <f t="shared" si="126"/>
        <v>0</v>
      </c>
      <c r="BC81" s="411">
        <f t="shared" si="126"/>
        <v>0</v>
      </c>
      <c r="BD81" s="289">
        <f t="shared" si="129"/>
        <v>0</v>
      </c>
      <c r="BE81" s="91">
        <f t="shared" si="127"/>
        <v>0</v>
      </c>
      <c r="BF81" s="289">
        <f t="shared" si="128"/>
        <v>0</v>
      </c>
      <c r="BG81" s="411">
        <f t="shared" si="128"/>
        <v>0</v>
      </c>
    </row>
    <row r="82" spans="1:59" ht="11.1" hidden="1" customHeight="1">
      <c r="A82" s="885">
        <v>34</v>
      </c>
      <c r="B82" s="91">
        <f t="shared" si="81"/>
        <v>0</v>
      </c>
      <c r="C82" s="289">
        <f t="shared" si="82"/>
        <v>0</v>
      </c>
      <c r="D82" s="289">
        <f t="shared" si="83"/>
        <v>0</v>
      </c>
      <c r="E82" s="289">
        <f t="shared" si="84"/>
        <v>0</v>
      </c>
      <c r="F82" s="289">
        <f t="shared" si="85"/>
        <v>0</v>
      </c>
      <c r="G82" s="411">
        <f t="shared" si="86"/>
        <v>0</v>
      </c>
      <c r="H82" s="91">
        <f t="shared" si="87"/>
        <v>0</v>
      </c>
      <c r="I82" s="289">
        <f t="shared" si="88"/>
        <v>0</v>
      </c>
      <c r="J82" s="289">
        <f t="shared" si="89"/>
        <v>0</v>
      </c>
      <c r="K82" s="289">
        <f t="shared" si="90"/>
        <v>0</v>
      </c>
      <c r="L82" s="411">
        <f t="shared" si="91"/>
        <v>0</v>
      </c>
      <c r="M82" s="411">
        <f t="shared" si="64"/>
        <v>0</v>
      </c>
      <c r="N82" s="91">
        <f t="shared" si="92"/>
        <v>0</v>
      </c>
      <c r="O82" s="289">
        <f t="shared" si="93"/>
        <v>0</v>
      </c>
      <c r="P82" s="289">
        <f t="shared" si="94"/>
        <v>0</v>
      </c>
      <c r="Q82" s="289">
        <f t="shared" si="95"/>
        <v>0</v>
      </c>
      <c r="R82" s="289">
        <f t="shared" si="96"/>
        <v>0</v>
      </c>
      <c r="S82" s="289">
        <f t="shared" si="97"/>
        <v>0</v>
      </c>
      <c r="T82" s="289">
        <f t="shared" si="98"/>
        <v>0</v>
      </c>
      <c r="U82" s="289">
        <f t="shared" si="98"/>
        <v>0</v>
      </c>
      <c r="V82" s="289">
        <f t="shared" si="99"/>
        <v>0</v>
      </c>
      <c r="W82" s="289">
        <f t="shared" si="100"/>
        <v>0</v>
      </c>
      <c r="X82" s="411">
        <f t="shared" si="100"/>
        <v>0</v>
      </c>
      <c r="Y82" s="289">
        <f t="shared" si="101"/>
        <v>0</v>
      </c>
      <c r="Z82" s="289">
        <f t="shared" si="102"/>
        <v>0</v>
      </c>
      <c r="AA82" s="289">
        <f t="shared" si="103"/>
        <v>0</v>
      </c>
      <c r="AB82" s="289">
        <f t="shared" si="104"/>
        <v>0</v>
      </c>
      <c r="AC82" s="289">
        <f t="shared" si="105"/>
        <v>0</v>
      </c>
      <c r="AD82" s="289">
        <f t="shared" si="106"/>
        <v>0</v>
      </c>
      <c r="AE82" s="91">
        <f t="shared" si="107"/>
        <v>0</v>
      </c>
      <c r="AF82" s="411">
        <f t="shared" si="130"/>
        <v>0</v>
      </c>
      <c r="AG82" s="91">
        <f t="shared" si="109"/>
        <v>0</v>
      </c>
      <c r="AH82" s="289">
        <f>IF($A38&lt;AH$5,IF(AH81&lt;&gt;0,AH81+AH38,AH38),0)</f>
        <v>0</v>
      </c>
      <c r="AI82" s="289">
        <f t="shared" si="111"/>
        <v>0</v>
      </c>
      <c r="AJ82" s="289">
        <f t="shared" si="112"/>
        <v>0</v>
      </c>
      <c r="AK82" s="411">
        <f t="shared" si="113"/>
        <v>0</v>
      </c>
      <c r="AL82" s="411">
        <f t="shared" si="113"/>
        <v>0</v>
      </c>
      <c r="AM82" s="411">
        <f t="shared" si="113"/>
        <v>0</v>
      </c>
      <c r="AN82" s="411">
        <f t="shared" si="113"/>
        <v>0</v>
      </c>
      <c r="AO82" s="91">
        <f t="shared" si="114"/>
        <v>0</v>
      </c>
      <c r="AP82" s="289">
        <f t="shared" si="115"/>
        <v>0</v>
      </c>
      <c r="AQ82" s="289">
        <f t="shared" si="116"/>
        <v>0</v>
      </c>
      <c r="AR82" s="289">
        <f t="shared" si="117"/>
        <v>0</v>
      </c>
      <c r="AS82" s="289">
        <f t="shared" si="118"/>
        <v>0</v>
      </c>
      <c r="AT82" s="289">
        <f t="shared" si="119"/>
        <v>0</v>
      </c>
      <c r="AU82" s="289">
        <f t="shared" si="120"/>
        <v>0</v>
      </c>
      <c r="AV82" s="289">
        <f t="shared" si="121"/>
        <v>0</v>
      </c>
      <c r="AW82" s="289">
        <f t="shared" si="122"/>
        <v>0</v>
      </c>
      <c r="AX82" s="411">
        <f t="shared" si="123"/>
        <v>0</v>
      </c>
      <c r="AY82" s="91">
        <f t="shared" si="124"/>
        <v>0</v>
      </c>
      <c r="AZ82" s="289">
        <f t="shared" si="125"/>
        <v>0</v>
      </c>
      <c r="BA82" s="91">
        <f t="shared" si="124"/>
        <v>0</v>
      </c>
      <c r="BB82" s="289">
        <f t="shared" si="126"/>
        <v>0</v>
      </c>
      <c r="BC82" s="411">
        <f t="shared" si="126"/>
        <v>0</v>
      </c>
      <c r="BD82" s="289">
        <f t="shared" si="129"/>
        <v>0</v>
      </c>
      <c r="BE82" s="91">
        <f t="shared" si="127"/>
        <v>0</v>
      </c>
      <c r="BF82" s="289">
        <f t="shared" si="128"/>
        <v>0</v>
      </c>
      <c r="BG82" s="411">
        <f t="shared" si="128"/>
        <v>0</v>
      </c>
    </row>
    <row r="83" spans="1:59" ht="11.1" hidden="1" customHeight="1">
      <c r="A83" s="885">
        <v>35</v>
      </c>
      <c r="B83" s="91">
        <f t="shared" si="81"/>
        <v>0</v>
      </c>
      <c r="C83" s="289">
        <f t="shared" si="82"/>
        <v>0</v>
      </c>
      <c r="D83" s="289">
        <f t="shared" si="83"/>
        <v>0</v>
      </c>
      <c r="E83" s="289">
        <f t="shared" si="84"/>
        <v>0</v>
      </c>
      <c r="F83" s="289">
        <f t="shared" si="85"/>
        <v>0</v>
      </c>
      <c r="G83" s="411">
        <f t="shared" si="86"/>
        <v>0</v>
      </c>
      <c r="H83" s="91">
        <f t="shared" si="87"/>
        <v>0</v>
      </c>
      <c r="I83" s="289">
        <f t="shared" si="88"/>
        <v>0</v>
      </c>
      <c r="J83" s="289">
        <f t="shared" si="89"/>
        <v>0</v>
      </c>
      <c r="K83" s="289">
        <f t="shared" si="90"/>
        <v>0</v>
      </c>
      <c r="L83" s="411">
        <f t="shared" si="91"/>
        <v>0</v>
      </c>
      <c r="M83" s="411">
        <f t="shared" si="64"/>
        <v>0</v>
      </c>
      <c r="N83" s="91">
        <f t="shared" si="92"/>
        <v>0</v>
      </c>
      <c r="O83" s="289">
        <f t="shared" si="93"/>
        <v>0</v>
      </c>
      <c r="P83" s="289">
        <f t="shared" si="94"/>
        <v>0</v>
      </c>
      <c r="Q83" s="289">
        <f t="shared" si="95"/>
        <v>0</v>
      </c>
      <c r="R83" s="289">
        <f t="shared" si="96"/>
        <v>0</v>
      </c>
      <c r="S83" s="289">
        <f t="shared" si="97"/>
        <v>0</v>
      </c>
      <c r="T83" s="289">
        <f t="shared" si="98"/>
        <v>0</v>
      </c>
      <c r="U83" s="289">
        <f t="shared" si="98"/>
        <v>0</v>
      </c>
      <c r="V83" s="289">
        <f t="shared" si="99"/>
        <v>0</v>
      </c>
      <c r="W83" s="289">
        <f t="shared" si="100"/>
        <v>0</v>
      </c>
      <c r="X83" s="411">
        <f t="shared" si="100"/>
        <v>0</v>
      </c>
      <c r="Y83" s="289">
        <f t="shared" si="101"/>
        <v>0</v>
      </c>
      <c r="Z83" s="289">
        <f t="shared" si="102"/>
        <v>0</v>
      </c>
      <c r="AA83" s="289">
        <f t="shared" si="103"/>
        <v>0</v>
      </c>
      <c r="AB83" s="289">
        <f t="shared" si="104"/>
        <v>0</v>
      </c>
      <c r="AC83" s="289">
        <f t="shared" si="105"/>
        <v>0</v>
      </c>
      <c r="AD83" s="289">
        <f t="shared" si="106"/>
        <v>0</v>
      </c>
      <c r="AE83" s="91">
        <f t="shared" si="107"/>
        <v>0</v>
      </c>
      <c r="AF83" s="411">
        <f t="shared" si="130"/>
        <v>0</v>
      </c>
      <c r="AG83" s="91">
        <f t="shared" si="109"/>
        <v>0</v>
      </c>
      <c r="AH83" s="289">
        <f>IF($A39&lt;AH$5,IF(AH82&lt;&gt;0,AH82+AH39,AH39),0)</f>
        <v>0</v>
      </c>
      <c r="AI83" s="289">
        <f t="shared" si="111"/>
        <v>0</v>
      </c>
      <c r="AJ83" s="289">
        <f t="shared" si="112"/>
        <v>0</v>
      </c>
      <c r="AK83" s="411">
        <f t="shared" si="113"/>
        <v>0</v>
      </c>
      <c r="AL83" s="411">
        <f t="shared" si="113"/>
        <v>0</v>
      </c>
      <c r="AM83" s="411">
        <f t="shared" si="113"/>
        <v>0</v>
      </c>
      <c r="AN83" s="411">
        <f t="shared" si="113"/>
        <v>0</v>
      </c>
      <c r="AO83" s="91">
        <f t="shared" si="114"/>
        <v>0</v>
      </c>
      <c r="AP83" s="289">
        <f t="shared" si="115"/>
        <v>0</v>
      </c>
      <c r="AQ83" s="289">
        <f t="shared" si="116"/>
        <v>0</v>
      </c>
      <c r="AR83" s="289">
        <f t="shared" si="117"/>
        <v>0</v>
      </c>
      <c r="AS83" s="289">
        <f t="shared" si="118"/>
        <v>0</v>
      </c>
      <c r="AT83" s="289">
        <f t="shared" si="119"/>
        <v>0</v>
      </c>
      <c r="AU83" s="289">
        <f t="shared" si="120"/>
        <v>0</v>
      </c>
      <c r="AV83" s="289">
        <f t="shared" si="121"/>
        <v>0</v>
      </c>
      <c r="AW83" s="289">
        <f t="shared" si="122"/>
        <v>0</v>
      </c>
      <c r="AX83" s="411">
        <f t="shared" si="123"/>
        <v>0</v>
      </c>
      <c r="AY83" s="91">
        <f t="shared" si="124"/>
        <v>0</v>
      </c>
      <c r="AZ83" s="289">
        <f t="shared" si="125"/>
        <v>0</v>
      </c>
      <c r="BA83" s="91">
        <f t="shared" si="124"/>
        <v>0</v>
      </c>
      <c r="BB83" s="289">
        <f t="shared" si="126"/>
        <v>0</v>
      </c>
      <c r="BC83" s="411">
        <f t="shared" si="126"/>
        <v>0</v>
      </c>
      <c r="BD83" s="289">
        <f t="shared" si="129"/>
        <v>0</v>
      </c>
      <c r="BE83" s="91">
        <f t="shared" si="127"/>
        <v>0</v>
      </c>
      <c r="BF83" s="289">
        <f t="shared" si="128"/>
        <v>0</v>
      </c>
      <c r="BG83" s="411">
        <f t="shared" si="128"/>
        <v>0</v>
      </c>
    </row>
    <row r="84" spans="1:59" ht="11.1" hidden="1" customHeight="1">
      <c r="A84" s="885">
        <v>36</v>
      </c>
      <c r="B84" s="91">
        <f t="shared" si="81"/>
        <v>0</v>
      </c>
      <c r="C84" s="289">
        <f t="shared" si="82"/>
        <v>0</v>
      </c>
      <c r="D84" s="289">
        <f t="shared" si="83"/>
        <v>0</v>
      </c>
      <c r="E84" s="289">
        <f t="shared" si="84"/>
        <v>0</v>
      </c>
      <c r="F84" s="289">
        <f t="shared" si="85"/>
        <v>0</v>
      </c>
      <c r="G84" s="411">
        <f t="shared" si="86"/>
        <v>0</v>
      </c>
      <c r="H84" s="91">
        <f t="shared" si="87"/>
        <v>0</v>
      </c>
      <c r="I84" s="289">
        <f t="shared" si="88"/>
        <v>0</v>
      </c>
      <c r="J84" s="289">
        <f t="shared" si="89"/>
        <v>0</v>
      </c>
      <c r="K84" s="289">
        <f t="shared" si="90"/>
        <v>0</v>
      </c>
      <c r="L84" s="411">
        <f t="shared" si="91"/>
        <v>0</v>
      </c>
      <c r="M84" s="411">
        <f t="shared" si="64"/>
        <v>0</v>
      </c>
      <c r="N84" s="91">
        <f t="shared" si="92"/>
        <v>0</v>
      </c>
      <c r="O84" s="289">
        <f t="shared" si="93"/>
        <v>0</v>
      </c>
      <c r="P84" s="289">
        <f t="shared" si="94"/>
        <v>0</v>
      </c>
      <c r="Q84" s="289">
        <f t="shared" si="95"/>
        <v>0</v>
      </c>
      <c r="R84" s="289">
        <f t="shared" si="96"/>
        <v>0</v>
      </c>
      <c r="S84" s="289">
        <f t="shared" si="97"/>
        <v>0</v>
      </c>
      <c r="T84" s="289">
        <f t="shared" si="98"/>
        <v>0</v>
      </c>
      <c r="U84" s="289">
        <f t="shared" si="98"/>
        <v>0</v>
      </c>
      <c r="V84" s="289">
        <f t="shared" si="99"/>
        <v>0</v>
      </c>
      <c r="W84" s="289">
        <f t="shared" si="100"/>
        <v>0</v>
      </c>
      <c r="X84" s="411">
        <f t="shared" si="100"/>
        <v>0</v>
      </c>
      <c r="Y84" s="289">
        <f t="shared" si="101"/>
        <v>0</v>
      </c>
      <c r="Z84" s="289">
        <f t="shared" si="102"/>
        <v>0</v>
      </c>
      <c r="AA84" s="289">
        <f t="shared" si="103"/>
        <v>0</v>
      </c>
      <c r="AB84" s="289">
        <f t="shared" si="104"/>
        <v>0</v>
      </c>
      <c r="AC84" s="289">
        <f t="shared" si="105"/>
        <v>0</v>
      </c>
      <c r="AD84" s="289">
        <f t="shared" si="106"/>
        <v>0</v>
      </c>
      <c r="AE84" s="91">
        <f t="shared" si="107"/>
        <v>0</v>
      </c>
      <c r="AF84" s="411">
        <f t="shared" si="130"/>
        <v>0</v>
      </c>
      <c r="AG84" s="91">
        <f t="shared" si="109"/>
        <v>0</v>
      </c>
      <c r="AH84" s="289">
        <f t="shared" si="110"/>
        <v>0</v>
      </c>
      <c r="AI84" s="289">
        <f t="shared" si="111"/>
        <v>0</v>
      </c>
      <c r="AJ84" s="289">
        <f t="shared" si="112"/>
        <v>0</v>
      </c>
      <c r="AK84" s="411">
        <f t="shared" si="113"/>
        <v>0</v>
      </c>
      <c r="AL84" s="411">
        <f t="shared" si="113"/>
        <v>0</v>
      </c>
      <c r="AM84" s="411">
        <f t="shared" si="113"/>
        <v>0</v>
      </c>
      <c r="AN84" s="411">
        <f t="shared" si="113"/>
        <v>0</v>
      </c>
      <c r="AO84" s="91">
        <f t="shared" si="114"/>
        <v>0</v>
      </c>
      <c r="AP84" s="289">
        <f t="shared" si="115"/>
        <v>0</v>
      </c>
      <c r="AQ84" s="289">
        <f t="shared" si="116"/>
        <v>0</v>
      </c>
      <c r="AR84" s="289">
        <f t="shared" si="117"/>
        <v>0</v>
      </c>
      <c r="AS84" s="289">
        <f t="shared" si="118"/>
        <v>0</v>
      </c>
      <c r="AT84" s="289">
        <f t="shared" si="119"/>
        <v>0</v>
      </c>
      <c r="AU84" s="289">
        <f t="shared" si="120"/>
        <v>0</v>
      </c>
      <c r="AV84" s="289">
        <f t="shared" si="121"/>
        <v>0</v>
      </c>
      <c r="AW84" s="289">
        <f t="shared" si="122"/>
        <v>0</v>
      </c>
      <c r="AX84" s="411">
        <f t="shared" si="123"/>
        <v>0</v>
      </c>
      <c r="AY84" s="91">
        <f t="shared" si="124"/>
        <v>0</v>
      </c>
      <c r="AZ84" s="289">
        <f t="shared" si="125"/>
        <v>0</v>
      </c>
      <c r="BA84" s="91">
        <f t="shared" si="124"/>
        <v>0</v>
      </c>
      <c r="BB84" s="289">
        <f t="shared" si="126"/>
        <v>0</v>
      </c>
      <c r="BC84" s="411">
        <f t="shared" si="126"/>
        <v>0</v>
      </c>
      <c r="BD84" s="289">
        <f t="shared" si="129"/>
        <v>0</v>
      </c>
      <c r="BE84" s="91">
        <f t="shared" si="127"/>
        <v>0</v>
      </c>
      <c r="BF84" s="289">
        <f t="shared" si="128"/>
        <v>0</v>
      </c>
      <c r="BG84" s="411">
        <f t="shared" si="128"/>
        <v>0</v>
      </c>
    </row>
    <row r="85" spans="1:59" ht="11.1" hidden="1" customHeight="1">
      <c r="A85" s="885">
        <v>37</v>
      </c>
      <c r="B85" s="91">
        <f t="shared" si="81"/>
        <v>0</v>
      </c>
      <c r="C85" s="289">
        <f t="shared" si="82"/>
        <v>0</v>
      </c>
      <c r="D85" s="289">
        <f t="shared" si="83"/>
        <v>0</v>
      </c>
      <c r="E85" s="289">
        <f t="shared" si="84"/>
        <v>0</v>
      </c>
      <c r="F85" s="289">
        <f t="shared" si="85"/>
        <v>0</v>
      </c>
      <c r="G85" s="411">
        <f t="shared" si="86"/>
        <v>0</v>
      </c>
      <c r="H85" s="91">
        <f t="shared" si="87"/>
        <v>0</v>
      </c>
      <c r="I85" s="289">
        <f t="shared" si="88"/>
        <v>0</v>
      </c>
      <c r="J85" s="289">
        <f t="shared" si="89"/>
        <v>0</v>
      </c>
      <c r="K85" s="289">
        <f t="shared" si="90"/>
        <v>0</v>
      </c>
      <c r="L85" s="411">
        <f t="shared" si="91"/>
        <v>0</v>
      </c>
      <c r="M85" s="411">
        <f t="shared" si="64"/>
        <v>0</v>
      </c>
      <c r="N85" s="91">
        <f t="shared" si="92"/>
        <v>0</v>
      </c>
      <c r="O85" s="289">
        <f t="shared" si="93"/>
        <v>0</v>
      </c>
      <c r="P85" s="289">
        <f t="shared" si="94"/>
        <v>0</v>
      </c>
      <c r="Q85" s="289">
        <f t="shared" si="95"/>
        <v>0</v>
      </c>
      <c r="R85" s="289">
        <f t="shared" si="96"/>
        <v>0</v>
      </c>
      <c r="S85" s="289">
        <f t="shared" si="97"/>
        <v>0</v>
      </c>
      <c r="T85" s="289">
        <f t="shared" si="98"/>
        <v>0</v>
      </c>
      <c r="U85" s="289">
        <f t="shared" si="98"/>
        <v>0</v>
      </c>
      <c r="V85" s="289">
        <f t="shared" si="99"/>
        <v>0</v>
      </c>
      <c r="W85" s="289">
        <f t="shared" si="100"/>
        <v>0</v>
      </c>
      <c r="X85" s="411">
        <f t="shared" si="100"/>
        <v>0</v>
      </c>
      <c r="Y85" s="289">
        <f t="shared" si="101"/>
        <v>0</v>
      </c>
      <c r="Z85" s="289">
        <f t="shared" si="102"/>
        <v>0</v>
      </c>
      <c r="AA85" s="289">
        <f t="shared" si="103"/>
        <v>0</v>
      </c>
      <c r="AB85" s="289">
        <f t="shared" si="104"/>
        <v>0</v>
      </c>
      <c r="AC85" s="289">
        <f t="shared" si="105"/>
        <v>0</v>
      </c>
      <c r="AD85" s="289">
        <f t="shared" si="106"/>
        <v>0</v>
      </c>
      <c r="AE85" s="91">
        <f t="shared" si="107"/>
        <v>0</v>
      </c>
      <c r="AF85" s="411">
        <f t="shared" si="130"/>
        <v>0</v>
      </c>
      <c r="AG85" s="91">
        <f t="shared" si="109"/>
        <v>0</v>
      </c>
      <c r="AH85" s="289">
        <f t="shared" si="110"/>
        <v>0</v>
      </c>
      <c r="AI85" s="289">
        <f t="shared" si="111"/>
        <v>0</v>
      </c>
      <c r="AJ85" s="289">
        <f t="shared" si="112"/>
        <v>0</v>
      </c>
      <c r="AK85" s="411">
        <f t="shared" si="113"/>
        <v>0</v>
      </c>
      <c r="AL85" s="411">
        <f t="shared" si="113"/>
        <v>0</v>
      </c>
      <c r="AM85" s="411">
        <f t="shared" si="113"/>
        <v>0</v>
      </c>
      <c r="AN85" s="411">
        <f t="shared" si="113"/>
        <v>0</v>
      </c>
      <c r="AO85" s="91">
        <f t="shared" si="114"/>
        <v>0</v>
      </c>
      <c r="AP85" s="289">
        <f t="shared" si="115"/>
        <v>0</v>
      </c>
      <c r="AQ85" s="289">
        <f t="shared" si="116"/>
        <v>0</v>
      </c>
      <c r="AR85" s="289">
        <f t="shared" si="117"/>
        <v>0</v>
      </c>
      <c r="AS85" s="289">
        <f t="shared" si="118"/>
        <v>0</v>
      </c>
      <c r="AT85" s="289">
        <f t="shared" si="119"/>
        <v>0</v>
      </c>
      <c r="AU85" s="289">
        <f t="shared" si="120"/>
        <v>0</v>
      </c>
      <c r="AV85" s="289">
        <f t="shared" si="121"/>
        <v>0</v>
      </c>
      <c r="AW85" s="289">
        <f t="shared" si="122"/>
        <v>0</v>
      </c>
      <c r="AX85" s="411">
        <f t="shared" si="123"/>
        <v>0</v>
      </c>
      <c r="AY85" s="91">
        <f t="shared" si="124"/>
        <v>0</v>
      </c>
      <c r="AZ85" s="289">
        <f t="shared" si="125"/>
        <v>0</v>
      </c>
      <c r="BA85" s="91">
        <f t="shared" si="124"/>
        <v>0</v>
      </c>
      <c r="BB85" s="289">
        <f t="shared" si="126"/>
        <v>0</v>
      </c>
      <c r="BC85" s="411">
        <f t="shared" si="126"/>
        <v>0</v>
      </c>
      <c r="BD85" s="289">
        <f t="shared" si="129"/>
        <v>0</v>
      </c>
      <c r="BE85" s="91">
        <f t="shared" si="127"/>
        <v>0</v>
      </c>
      <c r="BF85" s="289">
        <f t="shared" si="128"/>
        <v>0</v>
      </c>
      <c r="BG85" s="411">
        <f t="shared" si="128"/>
        <v>0</v>
      </c>
    </row>
    <row r="86" spans="1:59" ht="11.1" hidden="1" customHeight="1">
      <c r="A86" s="885">
        <v>38</v>
      </c>
      <c r="B86" s="91">
        <f t="shared" si="81"/>
        <v>0</v>
      </c>
      <c r="C86" s="289">
        <f t="shared" si="82"/>
        <v>0</v>
      </c>
      <c r="D86" s="289">
        <f t="shared" si="83"/>
        <v>0</v>
      </c>
      <c r="E86" s="289">
        <f t="shared" si="84"/>
        <v>0</v>
      </c>
      <c r="F86" s="289">
        <f t="shared" si="85"/>
        <v>0</v>
      </c>
      <c r="G86" s="411">
        <f t="shared" si="86"/>
        <v>0</v>
      </c>
      <c r="H86" s="91">
        <f t="shared" si="87"/>
        <v>0</v>
      </c>
      <c r="I86" s="289">
        <f t="shared" si="88"/>
        <v>0</v>
      </c>
      <c r="J86" s="289">
        <f t="shared" si="89"/>
        <v>0</v>
      </c>
      <c r="K86" s="289">
        <f t="shared" si="90"/>
        <v>0</v>
      </c>
      <c r="L86" s="411">
        <f t="shared" si="91"/>
        <v>0</v>
      </c>
      <c r="M86" s="411">
        <f t="shared" si="64"/>
        <v>0</v>
      </c>
      <c r="N86" s="91">
        <f t="shared" si="92"/>
        <v>0</v>
      </c>
      <c r="O86" s="289">
        <f t="shared" si="93"/>
        <v>0</v>
      </c>
      <c r="P86" s="289">
        <f t="shared" si="94"/>
        <v>0</v>
      </c>
      <c r="Q86" s="289">
        <f t="shared" si="95"/>
        <v>0</v>
      </c>
      <c r="R86" s="289">
        <f t="shared" si="96"/>
        <v>0</v>
      </c>
      <c r="S86" s="289">
        <f t="shared" si="97"/>
        <v>0</v>
      </c>
      <c r="T86" s="289">
        <f t="shared" si="98"/>
        <v>0</v>
      </c>
      <c r="U86" s="289">
        <f t="shared" si="98"/>
        <v>0</v>
      </c>
      <c r="V86" s="289">
        <f t="shared" si="99"/>
        <v>0</v>
      </c>
      <c r="W86" s="289">
        <f t="shared" si="100"/>
        <v>0</v>
      </c>
      <c r="X86" s="411">
        <f t="shared" si="100"/>
        <v>0</v>
      </c>
      <c r="Y86" s="289">
        <f t="shared" si="101"/>
        <v>0</v>
      </c>
      <c r="Z86" s="289">
        <f t="shared" si="102"/>
        <v>0</v>
      </c>
      <c r="AA86" s="289">
        <f t="shared" si="103"/>
        <v>0</v>
      </c>
      <c r="AB86" s="289">
        <f t="shared" si="104"/>
        <v>0</v>
      </c>
      <c r="AC86" s="289">
        <f t="shared" si="105"/>
        <v>0</v>
      </c>
      <c r="AD86" s="289">
        <f t="shared" si="106"/>
        <v>0</v>
      </c>
      <c r="AE86" s="91">
        <f t="shared" si="107"/>
        <v>0</v>
      </c>
      <c r="AF86" s="411">
        <f t="shared" si="130"/>
        <v>0</v>
      </c>
      <c r="AG86" s="91">
        <f t="shared" si="109"/>
        <v>0</v>
      </c>
      <c r="AH86" s="289">
        <f t="shared" si="110"/>
        <v>0</v>
      </c>
      <c r="AI86" s="289">
        <f t="shared" si="111"/>
        <v>0</v>
      </c>
      <c r="AJ86" s="289">
        <f t="shared" si="112"/>
        <v>0</v>
      </c>
      <c r="AK86" s="411">
        <f t="shared" si="113"/>
        <v>0</v>
      </c>
      <c r="AL86" s="411">
        <f t="shared" si="113"/>
        <v>0</v>
      </c>
      <c r="AM86" s="411">
        <f t="shared" si="113"/>
        <v>0</v>
      </c>
      <c r="AN86" s="411">
        <f t="shared" si="113"/>
        <v>0</v>
      </c>
      <c r="AO86" s="91">
        <f t="shared" si="114"/>
        <v>0</v>
      </c>
      <c r="AP86" s="289">
        <f t="shared" si="115"/>
        <v>0</v>
      </c>
      <c r="AQ86" s="289">
        <f t="shared" si="116"/>
        <v>0</v>
      </c>
      <c r="AR86" s="289">
        <f t="shared" si="117"/>
        <v>0</v>
      </c>
      <c r="AS86" s="289">
        <f t="shared" si="118"/>
        <v>0</v>
      </c>
      <c r="AT86" s="289">
        <f t="shared" si="119"/>
        <v>0</v>
      </c>
      <c r="AU86" s="289">
        <f t="shared" si="120"/>
        <v>0</v>
      </c>
      <c r="AV86" s="289">
        <f t="shared" si="121"/>
        <v>0</v>
      </c>
      <c r="AW86" s="289">
        <f t="shared" si="122"/>
        <v>0</v>
      </c>
      <c r="AX86" s="411">
        <f t="shared" si="123"/>
        <v>0</v>
      </c>
      <c r="AY86" s="91">
        <f t="shared" si="124"/>
        <v>0</v>
      </c>
      <c r="AZ86" s="289">
        <f t="shared" si="125"/>
        <v>0</v>
      </c>
      <c r="BA86" s="91">
        <f t="shared" si="124"/>
        <v>0</v>
      </c>
      <c r="BB86" s="289">
        <f t="shared" si="126"/>
        <v>0</v>
      </c>
      <c r="BC86" s="411">
        <f t="shared" si="126"/>
        <v>0</v>
      </c>
      <c r="BD86" s="289">
        <f t="shared" si="129"/>
        <v>0</v>
      </c>
      <c r="BE86" s="91">
        <f t="shared" si="127"/>
        <v>0</v>
      </c>
      <c r="BF86" s="289">
        <f t="shared" si="128"/>
        <v>0</v>
      </c>
      <c r="BG86" s="411">
        <f t="shared" si="128"/>
        <v>0</v>
      </c>
    </row>
    <row r="87" spans="1:59" ht="11.1" hidden="1" customHeight="1">
      <c r="A87" s="885">
        <v>39</v>
      </c>
      <c r="B87" s="91">
        <f t="shared" si="81"/>
        <v>0</v>
      </c>
      <c r="C87" s="289">
        <f t="shared" si="82"/>
        <v>0</v>
      </c>
      <c r="D87" s="289">
        <f t="shared" si="83"/>
        <v>0</v>
      </c>
      <c r="E87" s="289">
        <f t="shared" si="84"/>
        <v>0</v>
      </c>
      <c r="F87" s="289">
        <f t="shared" si="85"/>
        <v>0</v>
      </c>
      <c r="G87" s="411">
        <f t="shared" si="86"/>
        <v>0</v>
      </c>
      <c r="H87" s="91">
        <f t="shared" si="87"/>
        <v>0</v>
      </c>
      <c r="I87" s="289">
        <f t="shared" si="88"/>
        <v>0</v>
      </c>
      <c r="J87" s="289">
        <f t="shared" si="89"/>
        <v>0</v>
      </c>
      <c r="K87" s="289">
        <f t="shared" si="90"/>
        <v>0</v>
      </c>
      <c r="L87" s="411">
        <f t="shared" si="91"/>
        <v>0</v>
      </c>
      <c r="M87" s="411">
        <f t="shared" si="64"/>
        <v>0</v>
      </c>
      <c r="N87" s="91">
        <f t="shared" si="92"/>
        <v>0</v>
      </c>
      <c r="O87" s="289">
        <f t="shared" si="93"/>
        <v>0</v>
      </c>
      <c r="P87" s="289">
        <f t="shared" si="94"/>
        <v>0</v>
      </c>
      <c r="Q87" s="289">
        <f t="shared" si="95"/>
        <v>0</v>
      </c>
      <c r="R87" s="289">
        <f t="shared" si="96"/>
        <v>0</v>
      </c>
      <c r="S87" s="289">
        <f t="shared" si="97"/>
        <v>0</v>
      </c>
      <c r="T87" s="289">
        <f t="shared" si="98"/>
        <v>0</v>
      </c>
      <c r="U87" s="289">
        <f t="shared" si="98"/>
        <v>0</v>
      </c>
      <c r="V87" s="289">
        <f t="shared" si="99"/>
        <v>0</v>
      </c>
      <c r="W87" s="289">
        <f t="shared" si="100"/>
        <v>0</v>
      </c>
      <c r="X87" s="411">
        <f t="shared" si="100"/>
        <v>0</v>
      </c>
      <c r="Y87" s="289">
        <f t="shared" si="101"/>
        <v>0</v>
      </c>
      <c r="Z87" s="289">
        <f t="shared" si="102"/>
        <v>0</v>
      </c>
      <c r="AA87" s="289">
        <f t="shared" si="103"/>
        <v>0</v>
      </c>
      <c r="AB87" s="289">
        <f t="shared" si="104"/>
        <v>0</v>
      </c>
      <c r="AC87" s="289">
        <f t="shared" si="105"/>
        <v>0</v>
      </c>
      <c r="AD87" s="289">
        <f t="shared" si="106"/>
        <v>0</v>
      </c>
      <c r="AE87" s="91">
        <f t="shared" si="107"/>
        <v>0</v>
      </c>
      <c r="AF87" s="411">
        <f t="shared" si="130"/>
        <v>0</v>
      </c>
      <c r="AG87" s="91">
        <f t="shared" si="109"/>
        <v>0</v>
      </c>
      <c r="AH87" s="289">
        <f t="shared" si="110"/>
        <v>0</v>
      </c>
      <c r="AI87" s="289">
        <f t="shared" si="111"/>
        <v>0</v>
      </c>
      <c r="AJ87" s="289">
        <f t="shared" si="112"/>
        <v>0</v>
      </c>
      <c r="AK87" s="411">
        <f t="shared" si="113"/>
        <v>0</v>
      </c>
      <c r="AL87" s="411">
        <f t="shared" si="113"/>
        <v>0</v>
      </c>
      <c r="AM87" s="411">
        <f t="shared" si="113"/>
        <v>0</v>
      </c>
      <c r="AN87" s="411">
        <f t="shared" si="113"/>
        <v>0</v>
      </c>
      <c r="AO87" s="91">
        <f t="shared" si="114"/>
        <v>0</v>
      </c>
      <c r="AP87" s="289">
        <f t="shared" si="115"/>
        <v>0</v>
      </c>
      <c r="AQ87" s="289">
        <f t="shared" si="116"/>
        <v>0</v>
      </c>
      <c r="AR87" s="289">
        <f t="shared" si="117"/>
        <v>0</v>
      </c>
      <c r="AS87" s="289">
        <f t="shared" si="118"/>
        <v>0</v>
      </c>
      <c r="AT87" s="289">
        <f t="shared" si="119"/>
        <v>0</v>
      </c>
      <c r="AU87" s="289">
        <f t="shared" si="120"/>
        <v>0</v>
      </c>
      <c r="AV87" s="289">
        <f t="shared" si="121"/>
        <v>0</v>
      </c>
      <c r="AW87" s="289">
        <f t="shared" si="122"/>
        <v>0</v>
      </c>
      <c r="AX87" s="411">
        <f t="shared" si="123"/>
        <v>0</v>
      </c>
      <c r="AY87" s="91">
        <f t="shared" si="124"/>
        <v>0</v>
      </c>
      <c r="AZ87" s="289">
        <f t="shared" si="125"/>
        <v>0</v>
      </c>
      <c r="BA87" s="91">
        <f t="shared" si="124"/>
        <v>0</v>
      </c>
      <c r="BB87" s="289">
        <f t="shared" si="126"/>
        <v>0</v>
      </c>
      <c r="BC87" s="411">
        <f t="shared" si="126"/>
        <v>0</v>
      </c>
      <c r="BD87" s="289">
        <f t="shared" si="129"/>
        <v>0</v>
      </c>
      <c r="BE87" s="91">
        <f t="shared" si="127"/>
        <v>0</v>
      </c>
      <c r="BF87" s="289">
        <f t="shared" si="128"/>
        <v>0</v>
      </c>
      <c r="BG87" s="411">
        <f t="shared" si="128"/>
        <v>0</v>
      </c>
    </row>
    <row r="88" spans="1:59" ht="11.1" hidden="1" customHeight="1" thickBot="1">
      <c r="A88" s="240">
        <v>40</v>
      </c>
      <c r="B88" s="530">
        <f t="shared" si="81"/>
        <v>0</v>
      </c>
      <c r="C88" s="531">
        <f t="shared" si="82"/>
        <v>0</v>
      </c>
      <c r="D88" s="531">
        <f t="shared" si="83"/>
        <v>0</v>
      </c>
      <c r="E88" s="531">
        <f t="shared" si="84"/>
        <v>0</v>
      </c>
      <c r="F88" s="531">
        <f t="shared" si="85"/>
        <v>0</v>
      </c>
      <c r="G88" s="412">
        <f t="shared" si="86"/>
        <v>0</v>
      </c>
      <c r="H88" s="530">
        <f t="shared" si="87"/>
        <v>0</v>
      </c>
      <c r="I88" s="531">
        <f t="shared" si="88"/>
        <v>0</v>
      </c>
      <c r="J88" s="531">
        <f t="shared" si="89"/>
        <v>0</v>
      </c>
      <c r="K88" s="531">
        <f t="shared" si="90"/>
        <v>0</v>
      </c>
      <c r="L88" s="412">
        <f t="shared" si="91"/>
        <v>0</v>
      </c>
      <c r="M88" s="411">
        <f t="shared" si="64"/>
        <v>0</v>
      </c>
      <c r="N88" s="530">
        <f t="shared" si="92"/>
        <v>0</v>
      </c>
      <c r="O88" s="531">
        <f t="shared" si="93"/>
        <v>0</v>
      </c>
      <c r="P88" s="531">
        <f t="shared" si="94"/>
        <v>0</v>
      </c>
      <c r="Q88" s="531">
        <f t="shared" si="95"/>
        <v>0</v>
      </c>
      <c r="R88" s="531">
        <f t="shared" si="96"/>
        <v>0</v>
      </c>
      <c r="S88" s="531">
        <f t="shared" si="97"/>
        <v>0</v>
      </c>
      <c r="T88" s="531">
        <f t="shared" si="98"/>
        <v>0</v>
      </c>
      <c r="U88" s="531">
        <f t="shared" si="98"/>
        <v>0</v>
      </c>
      <c r="V88" s="531">
        <f t="shared" si="99"/>
        <v>0</v>
      </c>
      <c r="W88" s="531">
        <f t="shared" si="100"/>
        <v>0</v>
      </c>
      <c r="X88" s="412">
        <f t="shared" si="100"/>
        <v>0</v>
      </c>
      <c r="Y88" s="531">
        <f t="shared" si="101"/>
        <v>0</v>
      </c>
      <c r="Z88" s="531">
        <f t="shared" si="102"/>
        <v>0</v>
      </c>
      <c r="AA88" s="531">
        <f t="shared" si="103"/>
        <v>0</v>
      </c>
      <c r="AB88" s="531">
        <f t="shared" si="104"/>
        <v>0</v>
      </c>
      <c r="AC88" s="531">
        <f t="shared" si="105"/>
        <v>0</v>
      </c>
      <c r="AD88" s="531">
        <f t="shared" si="106"/>
        <v>0</v>
      </c>
      <c r="AE88" s="530">
        <f t="shared" si="107"/>
        <v>0</v>
      </c>
      <c r="AF88" s="412">
        <f t="shared" si="130"/>
        <v>0</v>
      </c>
      <c r="AG88" s="530">
        <f t="shared" si="109"/>
        <v>0</v>
      </c>
      <c r="AH88" s="531">
        <f t="shared" si="110"/>
        <v>0</v>
      </c>
      <c r="AI88" s="531">
        <f t="shared" si="111"/>
        <v>0</v>
      </c>
      <c r="AJ88" s="531">
        <f t="shared" si="112"/>
        <v>0</v>
      </c>
      <c r="AK88" s="412">
        <f t="shared" si="113"/>
        <v>0</v>
      </c>
      <c r="AL88" s="411">
        <f t="shared" si="113"/>
        <v>0</v>
      </c>
      <c r="AM88" s="411">
        <f t="shared" si="113"/>
        <v>0</v>
      </c>
      <c r="AN88" s="411">
        <f t="shared" si="113"/>
        <v>0</v>
      </c>
      <c r="AO88" s="530">
        <f t="shared" si="114"/>
        <v>0</v>
      </c>
      <c r="AP88" s="531">
        <f t="shared" si="115"/>
        <v>0</v>
      </c>
      <c r="AQ88" s="531">
        <f t="shared" si="116"/>
        <v>0</v>
      </c>
      <c r="AR88" s="531">
        <f t="shared" si="117"/>
        <v>0</v>
      </c>
      <c r="AS88" s="531">
        <f t="shared" si="118"/>
        <v>0</v>
      </c>
      <c r="AT88" s="531">
        <f t="shared" si="119"/>
        <v>0</v>
      </c>
      <c r="AU88" s="531">
        <f t="shared" si="120"/>
        <v>0</v>
      </c>
      <c r="AV88" s="531">
        <f t="shared" si="121"/>
        <v>0</v>
      </c>
      <c r="AW88" s="531">
        <f t="shared" si="122"/>
        <v>0</v>
      </c>
      <c r="AX88" s="412">
        <f t="shared" si="123"/>
        <v>0</v>
      </c>
      <c r="AY88" s="530">
        <f t="shared" si="124"/>
        <v>0</v>
      </c>
      <c r="AZ88" s="531">
        <f t="shared" si="125"/>
        <v>0</v>
      </c>
      <c r="BA88" s="530">
        <f t="shared" si="124"/>
        <v>0</v>
      </c>
      <c r="BB88" s="531">
        <f t="shared" si="126"/>
        <v>0</v>
      </c>
      <c r="BC88" s="412">
        <f t="shared" si="126"/>
        <v>0</v>
      </c>
      <c r="BD88" s="531">
        <f t="shared" si="129"/>
        <v>0</v>
      </c>
      <c r="BE88" s="530">
        <f t="shared" si="127"/>
        <v>0</v>
      </c>
      <c r="BF88" s="531">
        <f t="shared" si="128"/>
        <v>0</v>
      </c>
      <c r="BG88" s="412">
        <f t="shared" si="128"/>
        <v>0</v>
      </c>
    </row>
    <row r="89" spans="1:59" ht="11.1" hidden="1" customHeight="1" thickBot="1">
      <c r="A89" s="496" t="s">
        <v>101</v>
      </c>
      <c r="B89" s="102">
        <f>SUM(B49:B88)</f>
        <v>8</v>
      </c>
      <c r="C89" s="413">
        <f t="shared" ref="C89:BG89" si="131">SUM(C49:C88)</f>
        <v>8</v>
      </c>
      <c r="D89" s="413">
        <f t="shared" si="131"/>
        <v>0</v>
      </c>
      <c r="E89" s="413">
        <f t="shared" si="131"/>
        <v>3</v>
      </c>
      <c r="F89" s="413">
        <f t="shared" si="131"/>
        <v>3</v>
      </c>
      <c r="G89" s="414">
        <f t="shared" si="131"/>
        <v>0</v>
      </c>
      <c r="H89" s="102">
        <f t="shared" si="131"/>
        <v>8</v>
      </c>
      <c r="I89" s="413">
        <f t="shared" si="131"/>
        <v>0</v>
      </c>
      <c r="J89" s="413">
        <f t="shared" si="131"/>
        <v>2</v>
      </c>
      <c r="K89" s="413">
        <f t="shared" si="131"/>
        <v>0</v>
      </c>
      <c r="L89" s="414">
        <f t="shared" si="131"/>
        <v>0</v>
      </c>
      <c r="M89" s="414">
        <f t="shared" si="131"/>
        <v>0</v>
      </c>
      <c r="N89" s="102">
        <f t="shared" si="131"/>
        <v>50</v>
      </c>
      <c r="O89" s="413">
        <f t="shared" si="131"/>
        <v>6</v>
      </c>
      <c r="P89" s="413">
        <f t="shared" si="131"/>
        <v>2</v>
      </c>
      <c r="Q89" s="413">
        <f>SUM(Q49:Q88)</f>
        <v>0</v>
      </c>
      <c r="R89" s="413">
        <f>SUM(R49:R88)</f>
        <v>0</v>
      </c>
      <c r="S89" s="413">
        <f t="shared" si="131"/>
        <v>0</v>
      </c>
      <c r="T89" s="413">
        <f t="shared" ref="T89" si="132">SUM(T49:T88)</f>
        <v>0</v>
      </c>
      <c r="U89" s="413">
        <f t="shared" si="131"/>
        <v>0</v>
      </c>
      <c r="V89" s="413">
        <f t="shared" si="131"/>
        <v>0</v>
      </c>
      <c r="W89" s="413">
        <f t="shared" si="131"/>
        <v>0</v>
      </c>
      <c r="X89" s="414">
        <f t="shared" ref="X89:AD89" si="133">SUM(X49:X88)</f>
        <v>0</v>
      </c>
      <c r="Y89" s="413">
        <f t="shared" si="133"/>
        <v>0</v>
      </c>
      <c r="Z89" s="413">
        <f t="shared" si="133"/>
        <v>0</v>
      </c>
      <c r="AA89" s="413">
        <f t="shared" si="133"/>
        <v>0</v>
      </c>
      <c r="AB89" s="413">
        <f t="shared" si="133"/>
        <v>0</v>
      </c>
      <c r="AC89" s="413">
        <f t="shared" si="133"/>
        <v>0</v>
      </c>
      <c r="AD89" s="413">
        <f t="shared" si="133"/>
        <v>0</v>
      </c>
      <c r="AE89" s="102">
        <f t="shared" si="131"/>
        <v>0</v>
      </c>
      <c r="AF89" s="414">
        <f t="shared" si="131"/>
        <v>1</v>
      </c>
      <c r="AG89" s="102">
        <f t="shared" si="131"/>
        <v>0</v>
      </c>
      <c r="AH89" s="413">
        <f t="shared" si="131"/>
        <v>0</v>
      </c>
      <c r="AI89" s="413">
        <f t="shared" si="131"/>
        <v>0</v>
      </c>
      <c r="AJ89" s="413">
        <f t="shared" si="131"/>
        <v>0</v>
      </c>
      <c r="AK89" s="414">
        <f t="shared" si="131"/>
        <v>0</v>
      </c>
      <c r="AL89" s="414">
        <f t="shared" si="131"/>
        <v>0</v>
      </c>
      <c r="AM89" s="414">
        <f t="shared" si="131"/>
        <v>0</v>
      </c>
      <c r="AN89" s="414">
        <f t="shared" si="131"/>
        <v>0</v>
      </c>
      <c r="AO89" s="414">
        <f t="shared" si="131"/>
        <v>0</v>
      </c>
      <c r="AP89" s="413">
        <f t="shared" si="131"/>
        <v>0</v>
      </c>
      <c r="AQ89" s="413">
        <f t="shared" si="131"/>
        <v>0</v>
      </c>
      <c r="AR89" s="413">
        <f t="shared" si="131"/>
        <v>0</v>
      </c>
      <c r="AS89" s="413">
        <f t="shared" si="131"/>
        <v>0</v>
      </c>
      <c r="AT89" s="413">
        <f t="shared" si="131"/>
        <v>0</v>
      </c>
      <c r="AU89" s="413">
        <f t="shared" si="131"/>
        <v>0</v>
      </c>
      <c r="AV89" s="413">
        <f t="shared" si="131"/>
        <v>0</v>
      </c>
      <c r="AW89" s="413">
        <f t="shared" si="131"/>
        <v>0</v>
      </c>
      <c r="AX89" s="414">
        <f t="shared" si="131"/>
        <v>0</v>
      </c>
      <c r="AY89" s="102">
        <f t="shared" si="131"/>
        <v>0</v>
      </c>
      <c r="AZ89" s="413">
        <f t="shared" si="131"/>
        <v>0</v>
      </c>
      <c r="BA89" s="102">
        <f>SUM(BA49:BA88)</f>
        <v>0</v>
      </c>
      <c r="BB89" s="413">
        <f t="shared" si="131"/>
        <v>0</v>
      </c>
      <c r="BC89" s="414">
        <f>SUM(BC49:BC88)</f>
        <v>0</v>
      </c>
      <c r="BD89" s="413">
        <f>SUM(BD49:BD88)</f>
        <v>0</v>
      </c>
      <c r="BE89" s="102">
        <f t="shared" si="131"/>
        <v>0</v>
      </c>
      <c r="BF89" s="413">
        <f t="shared" ref="BF89" si="134">SUM(BF49:BF88)</f>
        <v>0</v>
      </c>
      <c r="BG89" s="414">
        <f t="shared" si="131"/>
        <v>0</v>
      </c>
    </row>
  </sheetData>
  <sheetProtection sheet="1" objects="1" scenarios="1" selectLockedCells="1"/>
  <mergeCells count="18">
    <mergeCell ref="AG1:AN1"/>
    <mergeCell ref="BI26:BJ34"/>
    <mergeCell ref="AO1:AX1"/>
    <mergeCell ref="BE1:BG1"/>
    <mergeCell ref="BI18:BJ25"/>
    <mergeCell ref="BI14:BI16"/>
    <mergeCell ref="BJ14:BJ16"/>
    <mergeCell ref="BI6:BI8"/>
    <mergeCell ref="BJ6:BJ8"/>
    <mergeCell ref="BI10:BI12"/>
    <mergeCell ref="BJ10:BJ12"/>
    <mergeCell ref="AY1:BD1"/>
    <mergeCell ref="A1:A2"/>
    <mergeCell ref="B1:G1"/>
    <mergeCell ref="AE1:AF1"/>
    <mergeCell ref="N1:X1"/>
    <mergeCell ref="Y1:AD1"/>
    <mergeCell ref="H1:M1"/>
  </mergeCells>
  <conditionalFormatting sqref="B2:BG2">
    <cfRule type="expression" dxfId="1646" priority="550">
      <formula>B$5=MATCH(B$3,B$6:B$45,0)</formula>
    </cfRule>
    <cfRule type="expression" dxfId="1645" priority="551">
      <formula>AND(B$3=0,B$3&lt;&gt;"")</formula>
    </cfRule>
  </conditionalFormatting>
  <conditionalFormatting sqref="B6:BG45">
    <cfRule type="expression" dxfId="1644" priority="552">
      <formula>AND(B$5&lt;&gt;"",$A6&gt;B$5)</formula>
    </cfRule>
    <cfRule type="expression" dxfId="1643" priority="553">
      <formula>B$46&gt;B$3</formula>
    </cfRule>
  </conditionalFormatting>
  <conditionalFormatting sqref="AF6:AF45">
    <cfRule type="expression" dxfId="1642" priority="1">
      <formula>AND($AF6=0,$A6&gt;$AF$5)</formula>
    </cfRule>
    <cfRule type="expression" dxfId="1641" priority="2">
      <formula>AND($AF6=0,$A6&lt;=$AF$5)</formula>
    </cfRule>
  </conditionalFormatting>
  <dataValidations count="4">
    <dataValidation type="list" allowBlank="1" showInputMessage="1" showErrorMessage="1" sqref="BI2">
      <formula1>"1,2,3,4,5,6,7,8,9,10,11"</formula1>
    </dataValidation>
    <dataValidation type="list" allowBlank="1" showInputMessage="1" showErrorMessage="1" sqref="BJ2">
      <formula1>"1,2,3,4,5"</formula1>
    </dataValidation>
    <dataValidation type="list" allowBlank="1" showInputMessage="1" showErrorMessage="1" sqref="BK2">
      <formula1>"Français,English"</formula1>
    </dataValidation>
    <dataValidation type="whole" allowBlank="1" showInputMessage="1" showErrorMessage="1" sqref="BL2">
      <formula1>0</formula1>
      <formula2>10000</formula2>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Feuil2">
    <tabColor rgb="FFFF0000"/>
  </sheetPr>
  <dimension ref="A1:AW74"/>
  <sheetViews>
    <sheetView showGridLines="0" topLeftCell="A4" zoomScale="85" zoomScaleNormal="85" workbookViewId="0">
      <pane xSplit="1" topLeftCell="B1" activePane="topRight" state="frozen"/>
      <selection activeCell="P319" sqref="P319"/>
      <selection pane="topRight" activeCell="M44" sqref="M44"/>
    </sheetView>
  </sheetViews>
  <sheetFormatPr baseColWidth="10" defaultColWidth="8.85546875" defaultRowHeight="11.25"/>
  <cols>
    <col min="1" max="1" width="4.7109375" style="141" customWidth="1"/>
    <col min="2" max="2" width="12.7109375" style="141" bestFit="1" customWidth="1"/>
    <col min="3" max="3" width="4.7109375" style="141" customWidth="1"/>
    <col min="4" max="4" width="12.140625" style="141" bestFit="1" customWidth="1"/>
    <col min="5" max="5" width="4.7109375" style="141" customWidth="1"/>
    <col min="6" max="6" width="13" style="141" bestFit="1" customWidth="1"/>
    <col min="7" max="7" width="4.7109375" style="141" customWidth="1"/>
    <col min="8" max="8" width="13" style="141" bestFit="1" customWidth="1"/>
    <col min="9" max="9" width="4.7109375" style="141" customWidth="1"/>
    <col min="10" max="10" width="12.42578125" style="141" bestFit="1" customWidth="1"/>
    <col min="11" max="11" width="4.7109375" style="141" customWidth="1"/>
    <col min="12" max="12" width="13" style="141" bestFit="1" customWidth="1"/>
    <col min="13" max="13" width="4.7109375" style="141" customWidth="1"/>
    <col min="14" max="14" width="12.5703125" style="141" bestFit="1" customWidth="1"/>
    <col min="15" max="15" width="4.7109375" style="141" customWidth="1"/>
    <col min="16" max="16" width="12.42578125" style="141" bestFit="1" customWidth="1"/>
    <col min="17" max="17" width="4.7109375" style="141" customWidth="1"/>
    <col min="18" max="18" width="12.140625" style="141" bestFit="1" customWidth="1"/>
    <col min="19" max="19" width="4.7109375" style="141" customWidth="1"/>
    <col min="20" max="20" width="13" style="141" bestFit="1" customWidth="1"/>
    <col min="21" max="21" width="4.7109375" style="141" customWidth="1"/>
    <col min="22" max="22" width="13" style="141" bestFit="1" customWidth="1"/>
    <col min="23" max="23" width="4.7109375" style="141" customWidth="1"/>
    <col min="24" max="24" width="12.5703125" style="141" bestFit="1" customWidth="1"/>
    <col min="25" max="25" width="4.7109375" style="141" customWidth="1"/>
    <col min="26" max="26" width="13" style="141" bestFit="1" customWidth="1"/>
    <col min="27" max="27" width="4.7109375" style="141" customWidth="1"/>
    <col min="28" max="28" width="12.5703125" style="141" bestFit="1" customWidth="1"/>
    <col min="29" max="29" width="4.7109375" style="141" customWidth="1"/>
    <col min="30" max="30" width="12.5703125" style="141" bestFit="1" customWidth="1"/>
    <col min="31" max="31" width="4.7109375" style="141" customWidth="1"/>
    <col min="32" max="32" width="12.5703125" style="141" bestFit="1" customWidth="1"/>
    <col min="33" max="33" width="4.7109375" style="141" customWidth="1"/>
    <col min="34" max="34" width="12.5703125" style="141" bestFit="1" customWidth="1"/>
    <col min="35" max="35" width="4.7109375" style="141" customWidth="1"/>
    <col min="36" max="36" width="8.85546875" style="141"/>
    <col min="37" max="37" width="4.7109375" style="141" customWidth="1"/>
    <col min="38" max="38" width="11" style="141" bestFit="1" customWidth="1"/>
    <col min="39" max="39" width="4.7109375" style="141" customWidth="1"/>
    <col min="40" max="40" width="9.42578125" style="141" bestFit="1" customWidth="1"/>
    <col min="41" max="41" width="4.7109375" style="141" customWidth="1"/>
    <col min="42" max="42" width="11.7109375" style="141" bestFit="1" customWidth="1"/>
    <col min="43" max="43" width="4.7109375" style="141" customWidth="1"/>
    <col min="44" max="44" width="10.5703125" style="141" bestFit="1" customWidth="1"/>
    <col min="45" max="45" width="4.7109375" style="141" customWidth="1"/>
    <col min="46" max="46" width="12.42578125" style="141" bestFit="1" customWidth="1"/>
    <col min="47" max="47" width="4.7109375" style="141" customWidth="1"/>
    <col min="48" max="48" width="10.5703125" style="141" bestFit="1" customWidth="1"/>
    <col min="49" max="49" width="4.7109375" style="141" customWidth="1"/>
    <col min="50" max="50" width="12.42578125" style="141" bestFit="1" customWidth="1"/>
    <col min="51" max="51" width="4.7109375" style="141" customWidth="1"/>
    <col min="52" max="52" width="12.42578125" style="141" bestFit="1" customWidth="1"/>
    <col min="53" max="53" width="4.7109375" style="141" customWidth="1"/>
    <col min="54" max="54" width="8.85546875" style="141"/>
    <col min="55" max="55" width="4.7109375" style="141" customWidth="1"/>
    <col min="56" max="56" width="10.28515625" style="141" bestFit="1" customWidth="1"/>
    <col min="57" max="58" width="4.7109375" style="141" customWidth="1"/>
    <col min="59" max="59" width="10" style="141" bestFit="1" customWidth="1"/>
    <col min="60" max="60" width="4.7109375" style="141" customWidth="1"/>
    <col min="61" max="61" width="10" style="141" bestFit="1" customWidth="1"/>
    <col min="62" max="62" width="4.7109375" style="141" customWidth="1"/>
    <col min="63" max="63" width="10" style="141" bestFit="1" customWidth="1"/>
    <col min="64" max="64" width="4.7109375" style="141" customWidth="1"/>
    <col min="65" max="65" width="11.28515625" style="141" bestFit="1" customWidth="1"/>
    <col min="66" max="66" width="4.7109375" style="141" customWidth="1"/>
    <col min="67" max="67" width="13" style="141" bestFit="1" customWidth="1"/>
    <col min="68" max="68" width="4.7109375" style="141" customWidth="1"/>
    <col min="69" max="69" width="13" style="141" bestFit="1" customWidth="1"/>
    <col min="70" max="70" width="4.7109375" style="141" customWidth="1"/>
    <col min="71" max="16384" width="8.85546875" style="141"/>
  </cols>
  <sheetData>
    <row r="1" spans="1:27" ht="30" customHeight="1" thickBot="1">
      <c r="A1" s="1272" t="s">
        <v>406</v>
      </c>
      <c r="B1" s="1273"/>
      <c r="C1" s="1273"/>
      <c r="D1" s="1273"/>
      <c r="E1" s="1273"/>
      <c r="F1" s="1273"/>
      <c r="G1" s="1273"/>
      <c r="H1" s="1273"/>
      <c r="I1" s="1273"/>
      <c r="J1" s="1273"/>
      <c r="K1" s="1273"/>
      <c r="L1" s="1273"/>
      <c r="M1" s="1274"/>
      <c r="O1" s="1027" t="s">
        <v>362</v>
      </c>
      <c r="P1" s="1028"/>
      <c r="Q1" s="1028"/>
      <c r="R1" s="1028"/>
      <c r="S1" s="1028"/>
      <c r="T1" s="1028"/>
      <c r="U1" s="1028"/>
      <c r="V1" s="1028"/>
      <c r="W1" s="1028"/>
      <c r="X1" s="1028"/>
      <c r="Y1" s="1028"/>
      <c r="Z1" s="1028"/>
      <c r="AA1" s="1028"/>
    </row>
    <row r="2" spans="1:27" ht="23.25" thickBot="1">
      <c r="A2" s="144" t="s">
        <v>291</v>
      </c>
      <c r="B2" s="17" t="s">
        <v>176</v>
      </c>
      <c r="C2" s="17" t="s">
        <v>15</v>
      </c>
      <c r="D2" s="17" t="s">
        <v>210</v>
      </c>
      <c r="E2" s="17" t="s">
        <v>21</v>
      </c>
      <c r="F2" s="17" t="s">
        <v>211</v>
      </c>
      <c r="G2" s="17" t="s">
        <v>22</v>
      </c>
      <c r="H2" s="17" t="s">
        <v>212</v>
      </c>
      <c r="I2" s="17" t="s">
        <v>23</v>
      </c>
      <c r="J2" s="17" t="s">
        <v>452</v>
      </c>
      <c r="K2" s="17" t="s">
        <v>24</v>
      </c>
      <c r="L2" s="17" t="s">
        <v>451</v>
      </c>
      <c r="M2" s="57" t="s">
        <v>25</v>
      </c>
      <c r="O2" s="144" t="s">
        <v>291</v>
      </c>
      <c r="P2" s="655" t="s">
        <v>176</v>
      </c>
      <c r="Q2" s="17" t="s">
        <v>15</v>
      </c>
      <c r="R2" s="17" t="s">
        <v>210</v>
      </c>
      <c r="S2" s="17" t="s">
        <v>21</v>
      </c>
      <c r="T2" s="17" t="s">
        <v>211</v>
      </c>
      <c r="U2" s="17" t="s">
        <v>22</v>
      </c>
      <c r="V2" s="17" t="s">
        <v>212</v>
      </c>
      <c r="W2" s="17" t="s">
        <v>23</v>
      </c>
      <c r="X2" s="17" t="s">
        <v>452</v>
      </c>
      <c r="Y2" s="17" t="s">
        <v>24</v>
      </c>
      <c r="Z2" s="17" t="s">
        <v>451</v>
      </c>
      <c r="AA2" s="57" t="s">
        <v>25</v>
      </c>
    </row>
    <row r="3" spans="1:27">
      <c r="A3" s="7">
        <v>0</v>
      </c>
      <c r="B3" s="2">
        <v>0</v>
      </c>
      <c r="C3" s="6">
        <v>0</v>
      </c>
      <c r="D3" s="4">
        <v>0</v>
      </c>
      <c r="E3" s="34">
        <v>0</v>
      </c>
      <c r="F3" s="2">
        <v>0</v>
      </c>
      <c r="G3" s="6">
        <v>0</v>
      </c>
      <c r="H3" s="4">
        <v>0</v>
      </c>
      <c r="I3" s="34">
        <v>0</v>
      </c>
      <c r="J3" s="2">
        <v>0</v>
      </c>
      <c r="K3" s="6">
        <v>0</v>
      </c>
      <c r="L3" s="4">
        <v>0</v>
      </c>
      <c r="M3" s="667">
        <v>0</v>
      </c>
      <c r="O3" s="7">
        <v>0</v>
      </c>
      <c r="P3" s="656">
        <f t="shared" ref="P3:AA3" si="0">B3</f>
        <v>0</v>
      </c>
      <c r="Q3" s="27">
        <f t="shared" si="0"/>
        <v>0</v>
      </c>
      <c r="R3" s="28">
        <f t="shared" si="0"/>
        <v>0</v>
      </c>
      <c r="S3" s="29">
        <f t="shared" si="0"/>
        <v>0</v>
      </c>
      <c r="T3" s="26">
        <f t="shared" si="0"/>
        <v>0</v>
      </c>
      <c r="U3" s="27">
        <f t="shared" si="0"/>
        <v>0</v>
      </c>
      <c r="V3" s="28">
        <f t="shared" si="0"/>
        <v>0</v>
      </c>
      <c r="W3" s="29">
        <f t="shared" si="0"/>
        <v>0</v>
      </c>
      <c r="X3" s="26">
        <f t="shared" si="0"/>
        <v>0</v>
      </c>
      <c r="Y3" s="27">
        <f t="shared" si="0"/>
        <v>0</v>
      </c>
      <c r="Z3" s="28">
        <f t="shared" si="0"/>
        <v>0</v>
      </c>
      <c r="AA3" s="669">
        <f t="shared" si="0"/>
        <v>0</v>
      </c>
    </row>
    <row r="4" spans="1:27">
      <c r="A4" s="145">
        <v>1</v>
      </c>
      <c r="B4" s="11">
        <v>1</v>
      </c>
      <c r="C4" s="9">
        <v>2</v>
      </c>
      <c r="D4" s="10">
        <v>1</v>
      </c>
      <c r="E4" s="35">
        <v>2</v>
      </c>
      <c r="F4" s="11">
        <v>0</v>
      </c>
      <c r="G4" s="9">
        <v>0</v>
      </c>
      <c r="H4" s="10">
        <v>1</v>
      </c>
      <c r="I4" s="35">
        <v>1</v>
      </c>
      <c r="J4" s="11">
        <v>1</v>
      </c>
      <c r="K4" s="9">
        <v>1</v>
      </c>
      <c r="L4" s="10">
        <v>0</v>
      </c>
      <c r="M4" s="672">
        <v>0</v>
      </c>
      <c r="O4" s="145">
        <v>1</v>
      </c>
      <c r="P4" s="658">
        <f t="shared" ref="P4:P14" si="1">B4-B3</f>
        <v>1</v>
      </c>
      <c r="Q4" s="31">
        <f t="shared" ref="Q4:Q14" si="2">C4-C3</f>
        <v>2</v>
      </c>
      <c r="R4" s="32">
        <f t="shared" ref="R4:R14" si="3">D4-D3</f>
        <v>1</v>
      </c>
      <c r="S4" s="33">
        <f t="shared" ref="S4:S14" si="4">E4-E3</f>
        <v>2</v>
      </c>
      <c r="T4" s="30">
        <f t="shared" ref="T4:T14" si="5">F4-F3</f>
        <v>0</v>
      </c>
      <c r="U4" s="31">
        <f t="shared" ref="U4:U14" si="6">G4-G3</f>
        <v>0</v>
      </c>
      <c r="V4" s="32">
        <f t="shared" ref="V4:V14" si="7">H4-H3</f>
        <v>1</v>
      </c>
      <c r="W4" s="33">
        <f t="shared" ref="W4:W14" si="8">I4-I3</f>
        <v>1</v>
      </c>
      <c r="X4" s="30">
        <f t="shared" ref="X4:X14" si="9">J4-J3</f>
        <v>1</v>
      </c>
      <c r="Y4" s="31">
        <f t="shared" ref="Y4:Y14" si="10">K4-K3</f>
        <v>1</v>
      </c>
      <c r="Z4" s="32">
        <f t="shared" ref="Z4:Z14" si="11">L4-L3</f>
        <v>0</v>
      </c>
      <c r="AA4" s="670">
        <f t="shared" ref="AA4:AA14" si="12">M4-M3</f>
        <v>0</v>
      </c>
    </row>
    <row r="5" spans="1:27">
      <c r="A5" s="7">
        <v>2</v>
      </c>
      <c r="B5" s="2">
        <v>2</v>
      </c>
      <c r="C5" s="6">
        <v>4</v>
      </c>
      <c r="D5" s="4">
        <v>2</v>
      </c>
      <c r="E5" s="34">
        <v>4</v>
      </c>
      <c r="F5" s="2">
        <v>0</v>
      </c>
      <c r="G5" s="6">
        <v>0</v>
      </c>
      <c r="H5" s="4">
        <v>1</v>
      </c>
      <c r="I5" s="34">
        <v>3</v>
      </c>
      <c r="J5" s="2">
        <v>1</v>
      </c>
      <c r="K5" s="6">
        <v>3</v>
      </c>
      <c r="L5" s="4">
        <v>0</v>
      </c>
      <c r="M5" s="667">
        <v>0</v>
      </c>
      <c r="O5" s="7">
        <v>2</v>
      </c>
      <c r="P5" s="658">
        <f t="shared" si="1"/>
        <v>1</v>
      </c>
      <c r="Q5" s="31">
        <f t="shared" si="2"/>
        <v>2</v>
      </c>
      <c r="R5" s="32">
        <f t="shared" si="3"/>
        <v>1</v>
      </c>
      <c r="S5" s="33">
        <f t="shared" si="4"/>
        <v>2</v>
      </c>
      <c r="T5" s="30">
        <f t="shared" si="5"/>
        <v>0</v>
      </c>
      <c r="U5" s="31">
        <f t="shared" si="6"/>
        <v>0</v>
      </c>
      <c r="V5" s="32">
        <f t="shared" si="7"/>
        <v>0</v>
      </c>
      <c r="W5" s="33">
        <f t="shared" si="8"/>
        <v>2</v>
      </c>
      <c r="X5" s="30">
        <f t="shared" si="9"/>
        <v>0</v>
      </c>
      <c r="Y5" s="31">
        <f t="shared" si="10"/>
        <v>2</v>
      </c>
      <c r="Z5" s="32">
        <f t="shared" si="11"/>
        <v>0</v>
      </c>
      <c r="AA5" s="670">
        <f t="shared" si="12"/>
        <v>0</v>
      </c>
    </row>
    <row r="6" spans="1:27">
      <c r="A6" s="7">
        <v>3</v>
      </c>
      <c r="B6" s="1">
        <v>3</v>
      </c>
      <c r="C6" s="5">
        <v>6</v>
      </c>
      <c r="D6" s="3">
        <v>3</v>
      </c>
      <c r="E6" s="36">
        <v>6</v>
      </c>
      <c r="F6" s="1">
        <v>0</v>
      </c>
      <c r="G6" s="5">
        <v>0</v>
      </c>
      <c r="H6" s="3">
        <v>2</v>
      </c>
      <c r="I6" s="36">
        <v>6</v>
      </c>
      <c r="J6" s="1">
        <v>2</v>
      </c>
      <c r="K6" s="5">
        <v>6</v>
      </c>
      <c r="L6" s="3">
        <v>0</v>
      </c>
      <c r="M6" s="666">
        <v>0</v>
      </c>
      <c r="O6" s="7">
        <v>3</v>
      </c>
      <c r="P6" s="658">
        <f t="shared" si="1"/>
        <v>1</v>
      </c>
      <c r="Q6" s="31">
        <f t="shared" si="2"/>
        <v>2</v>
      </c>
      <c r="R6" s="32">
        <f t="shared" si="3"/>
        <v>1</v>
      </c>
      <c r="S6" s="33">
        <f t="shared" si="4"/>
        <v>2</v>
      </c>
      <c r="T6" s="30">
        <f t="shared" si="5"/>
        <v>0</v>
      </c>
      <c r="U6" s="31">
        <f t="shared" si="6"/>
        <v>0</v>
      </c>
      <c r="V6" s="32">
        <f t="shared" si="7"/>
        <v>1</v>
      </c>
      <c r="W6" s="33">
        <f t="shared" si="8"/>
        <v>3</v>
      </c>
      <c r="X6" s="30">
        <f t="shared" si="9"/>
        <v>1</v>
      </c>
      <c r="Y6" s="31">
        <f t="shared" si="10"/>
        <v>3</v>
      </c>
      <c r="Z6" s="32">
        <f t="shared" si="11"/>
        <v>0</v>
      </c>
      <c r="AA6" s="670">
        <f t="shared" si="12"/>
        <v>0</v>
      </c>
    </row>
    <row r="7" spans="1:27">
      <c r="A7" s="7">
        <v>4</v>
      </c>
      <c r="B7" s="2">
        <v>4</v>
      </c>
      <c r="C7" s="6">
        <v>8</v>
      </c>
      <c r="D7" s="4">
        <v>4</v>
      </c>
      <c r="E7" s="34">
        <v>8</v>
      </c>
      <c r="F7" s="2">
        <v>0</v>
      </c>
      <c r="G7" s="6">
        <v>0</v>
      </c>
      <c r="H7" s="4">
        <v>2</v>
      </c>
      <c r="I7" s="34">
        <v>8</v>
      </c>
      <c r="J7" s="2">
        <v>2</v>
      </c>
      <c r="K7" s="6">
        <v>8</v>
      </c>
      <c r="L7" s="4">
        <v>0</v>
      </c>
      <c r="M7" s="667">
        <v>0</v>
      </c>
      <c r="O7" s="7">
        <v>4</v>
      </c>
      <c r="P7" s="658">
        <f t="shared" si="1"/>
        <v>1</v>
      </c>
      <c r="Q7" s="31">
        <f t="shared" si="2"/>
        <v>2</v>
      </c>
      <c r="R7" s="32">
        <f t="shared" si="3"/>
        <v>1</v>
      </c>
      <c r="S7" s="33">
        <f t="shared" si="4"/>
        <v>2</v>
      </c>
      <c r="T7" s="30">
        <f t="shared" si="5"/>
        <v>0</v>
      </c>
      <c r="U7" s="31">
        <f t="shared" si="6"/>
        <v>0</v>
      </c>
      <c r="V7" s="32">
        <f t="shared" si="7"/>
        <v>0</v>
      </c>
      <c r="W7" s="33">
        <f t="shared" si="8"/>
        <v>2</v>
      </c>
      <c r="X7" s="30">
        <f t="shared" si="9"/>
        <v>0</v>
      </c>
      <c r="Y7" s="31">
        <f t="shared" si="10"/>
        <v>2</v>
      </c>
      <c r="Z7" s="32">
        <f t="shared" si="11"/>
        <v>0</v>
      </c>
      <c r="AA7" s="670">
        <f t="shared" si="12"/>
        <v>0</v>
      </c>
    </row>
    <row r="8" spans="1:27">
      <c r="A8" s="7">
        <v>5</v>
      </c>
      <c r="B8" s="1">
        <v>5</v>
      </c>
      <c r="C8" s="5">
        <v>10</v>
      </c>
      <c r="D8" s="3">
        <v>5</v>
      </c>
      <c r="E8" s="36">
        <v>10</v>
      </c>
      <c r="F8" s="1">
        <v>0</v>
      </c>
      <c r="G8" s="5">
        <v>0</v>
      </c>
      <c r="H8" s="3">
        <v>2</v>
      </c>
      <c r="I8" s="36">
        <v>9</v>
      </c>
      <c r="J8" s="1">
        <v>2</v>
      </c>
      <c r="K8" s="5">
        <v>9</v>
      </c>
      <c r="L8" s="3">
        <v>0</v>
      </c>
      <c r="M8" s="666">
        <v>0</v>
      </c>
      <c r="O8" s="7">
        <v>5</v>
      </c>
      <c r="P8" s="658">
        <f t="shared" si="1"/>
        <v>1</v>
      </c>
      <c r="Q8" s="31">
        <f t="shared" si="2"/>
        <v>2</v>
      </c>
      <c r="R8" s="32">
        <f t="shared" si="3"/>
        <v>1</v>
      </c>
      <c r="S8" s="33">
        <f t="shared" si="4"/>
        <v>2</v>
      </c>
      <c r="T8" s="30">
        <f t="shared" si="5"/>
        <v>0</v>
      </c>
      <c r="U8" s="31">
        <f t="shared" si="6"/>
        <v>0</v>
      </c>
      <c r="V8" s="32">
        <f t="shared" si="7"/>
        <v>0</v>
      </c>
      <c r="W8" s="33">
        <f t="shared" si="8"/>
        <v>1</v>
      </c>
      <c r="X8" s="30">
        <f t="shared" si="9"/>
        <v>0</v>
      </c>
      <c r="Y8" s="31">
        <f t="shared" si="10"/>
        <v>1</v>
      </c>
      <c r="Z8" s="32">
        <f t="shared" si="11"/>
        <v>0</v>
      </c>
      <c r="AA8" s="670">
        <f t="shared" si="12"/>
        <v>0</v>
      </c>
    </row>
    <row r="9" spans="1:27">
      <c r="A9" s="7">
        <v>6</v>
      </c>
      <c r="B9" s="2">
        <v>6</v>
      </c>
      <c r="C9" s="6">
        <v>10</v>
      </c>
      <c r="D9" s="4">
        <v>6</v>
      </c>
      <c r="E9" s="34">
        <v>10</v>
      </c>
      <c r="F9" s="2">
        <v>0</v>
      </c>
      <c r="G9" s="6">
        <v>0</v>
      </c>
      <c r="H9" s="4">
        <v>2</v>
      </c>
      <c r="I9" s="34">
        <v>10</v>
      </c>
      <c r="J9" s="2">
        <v>2</v>
      </c>
      <c r="K9" s="6">
        <v>10</v>
      </c>
      <c r="L9" s="4">
        <v>0</v>
      </c>
      <c r="M9" s="667">
        <v>0</v>
      </c>
      <c r="O9" s="7">
        <v>6</v>
      </c>
      <c r="P9" s="658">
        <f t="shared" si="1"/>
        <v>1</v>
      </c>
      <c r="Q9" s="31">
        <f t="shared" si="2"/>
        <v>0</v>
      </c>
      <c r="R9" s="32">
        <f t="shared" si="3"/>
        <v>1</v>
      </c>
      <c r="S9" s="33">
        <f t="shared" si="4"/>
        <v>0</v>
      </c>
      <c r="T9" s="30">
        <f t="shared" si="5"/>
        <v>0</v>
      </c>
      <c r="U9" s="31">
        <f t="shared" si="6"/>
        <v>0</v>
      </c>
      <c r="V9" s="32">
        <f t="shared" si="7"/>
        <v>0</v>
      </c>
      <c r="W9" s="33">
        <f t="shared" si="8"/>
        <v>1</v>
      </c>
      <c r="X9" s="30">
        <f t="shared" si="9"/>
        <v>0</v>
      </c>
      <c r="Y9" s="31">
        <f t="shared" si="10"/>
        <v>1</v>
      </c>
      <c r="Z9" s="32">
        <f t="shared" si="11"/>
        <v>0</v>
      </c>
      <c r="AA9" s="670">
        <f t="shared" si="12"/>
        <v>0</v>
      </c>
    </row>
    <row r="10" spans="1:27">
      <c r="A10" s="7">
        <v>7</v>
      </c>
      <c r="B10" s="1">
        <v>6</v>
      </c>
      <c r="C10" s="5">
        <v>11</v>
      </c>
      <c r="D10" s="3">
        <v>6</v>
      </c>
      <c r="E10" s="36">
        <v>11</v>
      </c>
      <c r="F10" s="1">
        <v>1</v>
      </c>
      <c r="G10" s="5">
        <v>3</v>
      </c>
      <c r="H10" s="3">
        <v>2</v>
      </c>
      <c r="I10" s="36">
        <v>11</v>
      </c>
      <c r="J10" s="1">
        <v>2</v>
      </c>
      <c r="K10" s="5">
        <v>11</v>
      </c>
      <c r="L10" s="3">
        <v>1</v>
      </c>
      <c r="M10" s="666">
        <v>2</v>
      </c>
      <c r="O10" s="7">
        <v>7</v>
      </c>
      <c r="P10" s="658">
        <f t="shared" si="1"/>
        <v>0</v>
      </c>
      <c r="Q10" s="31">
        <f t="shared" si="2"/>
        <v>1</v>
      </c>
      <c r="R10" s="32">
        <f t="shared" si="3"/>
        <v>0</v>
      </c>
      <c r="S10" s="33">
        <f t="shared" si="4"/>
        <v>1</v>
      </c>
      <c r="T10" s="30">
        <f t="shared" si="5"/>
        <v>1</v>
      </c>
      <c r="U10" s="31">
        <f t="shared" si="6"/>
        <v>3</v>
      </c>
      <c r="V10" s="32">
        <f t="shared" si="7"/>
        <v>0</v>
      </c>
      <c r="W10" s="33">
        <f t="shared" si="8"/>
        <v>1</v>
      </c>
      <c r="X10" s="30">
        <f t="shared" si="9"/>
        <v>0</v>
      </c>
      <c r="Y10" s="31">
        <f t="shared" si="10"/>
        <v>1</v>
      </c>
      <c r="Z10" s="32">
        <f t="shared" si="11"/>
        <v>1</v>
      </c>
      <c r="AA10" s="670">
        <f t="shared" si="12"/>
        <v>2</v>
      </c>
    </row>
    <row r="11" spans="1:27">
      <c r="A11" s="7">
        <v>8</v>
      </c>
      <c r="B11" s="2">
        <v>6</v>
      </c>
      <c r="C11" s="6">
        <v>12</v>
      </c>
      <c r="D11" s="4">
        <v>6</v>
      </c>
      <c r="E11" s="34">
        <v>12</v>
      </c>
      <c r="F11" s="2">
        <v>2</v>
      </c>
      <c r="G11" s="6">
        <v>3</v>
      </c>
      <c r="H11" s="4">
        <v>3</v>
      </c>
      <c r="I11" s="34">
        <v>11</v>
      </c>
      <c r="J11" s="2">
        <v>3</v>
      </c>
      <c r="K11" s="6">
        <v>11</v>
      </c>
      <c r="L11" s="4">
        <v>1</v>
      </c>
      <c r="M11" s="667">
        <v>4</v>
      </c>
      <c r="O11" s="7">
        <v>8</v>
      </c>
      <c r="P11" s="658">
        <f t="shared" si="1"/>
        <v>0</v>
      </c>
      <c r="Q11" s="31">
        <f t="shared" si="2"/>
        <v>1</v>
      </c>
      <c r="R11" s="32">
        <f t="shared" si="3"/>
        <v>0</v>
      </c>
      <c r="S11" s="33">
        <f t="shared" si="4"/>
        <v>1</v>
      </c>
      <c r="T11" s="30">
        <f t="shared" si="5"/>
        <v>1</v>
      </c>
      <c r="U11" s="31">
        <f t="shared" si="6"/>
        <v>0</v>
      </c>
      <c r="V11" s="32">
        <f t="shared" si="7"/>
        <v>1</v>
      </c>
      <c r="W11" s="33">
        <f t="shared" si="8"/>
        <v>0</v>
      </c>
      <c r="X11" s="30">
        <f t="shared" si="9"/>
        <v>1</v>
      </c>
      <c r="Y11" s="31">
        <f t="shared" si="10"/>
        <v>0</v>
      </c>
      <c r="Z11" s="32">
        <f t="shared" si="11"/>
        <v>0</v>
      </c>
      <c r="AA11" s="670">
        <f t="shared" si="12"/>
        <v>2</v>
      </c>
    </row>
    <row r="12" spans="1:27">
      <c r="A12" s="7">
        <v>9</v>
      </c>
      <c r="B12" s="1">
        <v>6</v>
      </c>
      <c r="C12" s="5">
        <v>12</v>
      </c>
      <c r="D12" s="3">
        <v>6</v>
      </c>
      <c r="E12" s="36">
        <v>12</v>
      </c>
      <c r="F12" s="1">
        <v>2</v>
      </c>
      <c r="G12" s="5">
        <v>6</v>
      </c>
      <c r="H12" s="3">
        <v>4</v>
      </c>
      <c r="I12" s="36">
        <v>11</v>
      </c>
      <c r="J12" s="1">
        <v>4</v>
      </c>
      <c r="K12" s="5">
        <v>11</v>
      </c>
      <c r="L12" s="3">
        <v>1</v>
      </c>
      <c r="M12" s="666">
        <v>6</v>
      </c>
      <c r="O12" s="7">
        <v>9</v>
      </c>
      <c r="P12" s="658">
        <f t="shared" si="1"/>
        <v>0</v>
      </c>
      <c r="Q12" s="31">
        <f t="shared" si="2"/>
        <v>0</v>
      </c>
      <c r="R12" s="32">
        <f t="shared" si="3"/>
        <v>0</v>
      </c>
      <c r="S12" s="33">
        <f t="shared" si="4"/>
        <v>0</v>
      </c>
      <c r="T12" s="30">
        <f t="shared" si="5"/>
        <v>0</v>
      </c>
      <c r="U12" s="31">
        <f t="shared" si="6"/>
        <v>3</v>
      </c>
      <c r="V12" s="32">
        <f t="shared" si="7"/>
        <v>1</v>
      </c>
      <c r="W12" s="33">
        <f t="shared" si="8"/>
        <v>0</v>
      </c>
      <c r="X12" s="30">
        <f t="shared" si="9"/>
        <v>1</v>
      </c>
      <c r="Y12" s="31">
        <f t="shared" si="10"/>
        <v>0</v>
      </c>
      <c r="Z12" s="32">
        <f t="shared" si="11"/>
        <v>0</v>
      </c>
      <c r="AA12" s="670">
        <f t="shared" si="12"/>
        <v>2</v>
      </c>
    </row>
    <row r="13" spans="1:27">
      <c r="A13" s="7">
        <v>10</v>
      </c>
      <c r="B13" s="1">
        <v>7</v>
      </c>
      <c r="C13" s="5">
        <v>12</v>
      </c>
      <c r="D13" s="3">
        <v>7</v>
      </c>
      <c r="E13" s="36">
        <v>12</v>
      </c>
      <c r="F13" s="1">
        <v>3</v>
      </c>
      <c r="G13" s="5">
        <v>6</v>
      </c>
      <c r="H13" s="3">
        <v>4</v>
      </c>
      <c r="I13" s="36">
        <v>11</v>
      </c>
      <c r="J13" s="1">
        <v>4</v>
      </c>
      <c r="K13" s="5">
        <v>11</v>
      </c>
      <c r="L13" s="3">
        <v>1</v>
      </c>
      <c r="M13" s="666">
        <v>6</v>
      </c>
      <c r="O13" s="7">
        <v>10</v>
      </c>
      <c r="P13" s="658">
        <f t="shared" si="1"/>
        <v>1</v>
      </c>
      <c r="Q13" s="31">
        <f t="shared" si="2"/>
        <v>0</v>
      </c>
      <c r="R13" s="32">
        <f t="shared" si="3"/>
        <v>1</v>
      </c>
      <c r="S13" s="33">
        <f t="shared" si="4"/>
        <v>0</v>
      </c>
      <c r="T13" s="30">
        <f t="shared" si="5"/>
        <v>1</v>
      </c>
      <c r="U13" s="31">
        <f t="shared" si="6"/>
        <v>0</v>
      </c>
      <c r="V13" s="32">
        <f t="shared" si="7"/>
        <v>0</v>
      </c>
      <c r="W13" s="33">
        <f t="shared" si="8"/>
        <v>0</v>
      </c>
      <c r="X13" s="30">
        <f t="shared" si="9"/>
        <v>0</v>
      </c>
      <c r="Y13" s="31">
        <f t="shared" si="10"/>
        <v>0</v>
      </c>
      <c r="Z13" s="32">
        <f t="shared" si="11"/>
        <v>0</v>
      </c>
      <c r="AA13" s="670">
        <f t="shared" si="12"/>
        <v>0</v>
      </c>
    </row>
    <row r="14" spans="1:27">
      <c r="A14" s="188">
        <v>11</v>
      </c>
      <c r="B14" s="22">
        <v>7</v>
      </c>
      <c r="C14" s="20">
        <v>12</v>
      </c>
      <c r="D14" s="21">
        <v>7</v>
      </c>
      <c r="E14" s="37">
        <v>12</v>
      </c>
      <c r="F14" s="22">
        <v>3</v>
      </c>
      <c r="G14" s="20">
        <v>6</v>
      </c>
      <c r="H14" s="21">
        <v>4</v>
      </c>
      <c r="I14" s="37">
        <v>12</v>
      </c>
      <c r="J14" s="22">
        <v>4</v>
      </c>
      <c r="K14" s="20">
        <v>12</v>
      </c>
      <c r="L14" s="21">
        <v>1</v>
      </c>
      <c r="M14" s="911">
        <v>6</v>
      </c>
      <c r="O14" s="188">
        <v>11</v>
      </c>
      <c r="P14" s="912">
        <f t="shared" si="1"/>
        <v>0</v>
      </c>
      <c r="Q14" s="61">
        <f t="shared" si="2"/>
        <v>0</v>
      </c>
      <c r="R14" s="62">
        <f t="shared" si="3"/>
        <v>0</v>
      </c>
      <c r="S14" s="913">
        <f t="shared" si="4"/>
        <v>0</v>
      </c>
      <c r="T14" s="60">
        <f t="shared" si="5"/>
        <v>0</v>
      </c>
      <c r="U14" s="61">
        <f t="shared" si="6"/>
        <v>0</v>
      </c>
      <c r="V14" s="62">
        <f t="shared" si="7"/>
        <v>0</v>
      </c>
      <c r="W14" s="913">
        <f t="shared" si="8"/>
        <v>1</v>
      </c>
      <c r="X14" s="60">
        <f t="shared" si="9"/>
        <v>0</v>
      </c>
      <c r="Y14" s="61">
        <f t="shared" si="10"/>
        <v>1</v>
      </c>
      <c r="Z14" s="62">
        <f t="shared" si="11"/>
        <v>0</v>
      </c>
      <c r="AA14" s="914">
        <f t="shared" si="12"/>
        <v>0</v>
      </c>
    </row>
    <row r="16" spans="1:27" ht="30" customHeight="1" thickBot="1">
      <c r="A16" s="1027" t="s">
        <v>607</v>
      </c>
      <c r="B16" s="1028"/>
      <c r="C16" s="1028"/>
      <c r="D16" s="1028"/>
      <c r="E16" s="1028"/>
      <c r="F16" s="1028"/>
      <c r="G16" s="1028"/>
      <c r="H16" s="1028"/>
      <c r="I16" s="1028"/>
      <c r="J16" s="1028"/>
      <c r="K16" s="1028"/>
      <c r="L16" s="1028"/>
      <c r="M16" s="1028"/>
      <c r="O16" s="1027" t="s">
        <v>608</v>
      </c>
      <c r="P16" s="1028"/>
      <c r="Q16" s="1028"/>
      <c r="R16" s="1028"/>
      <c r="S16" s="1028"/>
      <c r="T16" s="1028"/>
      <c r="U16" s="1028"/>
      <c r="V16" s="1028"/>
      <c r="W16" s="1028"/>
      <c r="X16" s="1028"/>
      <c r="Y16" s="1028"/>
      <c r="Z16" s="1028"/>
      <c r="AA16" s="1028"/>
    </row>
    <row r="17" spans="1:49" ht="23.25" thickBot="1">
      <c r="A17" s="769" t="s">
        <v>291</v>
      </c>
      <c r="B17" s="17" t="s">
        <v>207</v>
      </c>
      <c r="C17" s="17" t="s">
        <v>15</v>
      </c>
      <c r="D17" s="759" t="s">
        <v>343</v>
      </c>
      <c r="E17" s="673" t="s">
        <v>21</v>
      </c>
      <c r="F17" s="17" t="s">
        <v>338</v>
      </c>
      <c r="G17" s="17" t="s">
        <v>22</v>
      </c>
      <c r="H17" s="17" t="s">
        <v>208</v>
      </c>
      <c r="I17" s="17" t="s">
        <v>23</v>
      </c>
      <c r="J17" s="17" t="s">
        <v>209</v>
      </c>
      <c r="K17" s="17" t="s">
        <v>24</v>
      </c>
      <c r="L17" s="17" t="s">
        <v>702</v>
      </c>
      <c r="M17" s="17" t="s">
        <v>26</v>
      </c>
      <c r="O17" s="144" t="s">
        <v>291</v>
      </c>
      <c r="P17" s="655" t="s">
        <v>207</v>
      </c>
      <c r="Q17" s="17" t="s">
        <v>15</v>
      </c>
      <c r="R17" s="759" t="s">
        <v>343</v>
      </c>
      <c r="S17" s="673" t="s">
        <v>21</v>
      </c>
      <c r="T17" s="17" t="s">
        <v>338</v>
      </c>
      <c r="U17" s="17" t="s">
        <v>22</v>
      </c>
      <c r="V17" s="17" t="s">
        <v>208</v>
      </c>
      <c r="W17" s="17" t="s">
        <v>23</v>
      </c>
      <c r="X17" s="17" t="s">
        <v>209</v>
      </c>
      <c r="Y17" s="57" t="s">
        <v>24</v>
      </c>
      <c r="Z17" s="17" t="s">
        <v>702</v>
      </c>
      <c r="AA17" s="17" t="s">
        <v>26</v>
      </c>
    </row>
    <row r="18" spans="1:49">
      <c r="A18" s="13">
        <v>0</v>
      </c>
      <c r="B18" s="2">
        <v>0</v>
      </c>
      <c r="C18" s="6">
        <v>0</v>
      </c>
      <c r="D18" s="4">
        <v>0</v>
      </c>
      <c r="E18" s="34">
        <v>0</v>
      </c>
      <c r="F18" s="2">
        <v>0</v>
      </c>
      <c r="G18" s="6">
        <v>0</v>
      </c>
      <c r="H18" s="4">
        <v>0</v>
      </c>
      <c r="I18" s="34">
        <v>0</v>
      </c>
      <c r="J18" s="2">
        <v>0</v>
      </c>
      <c r="K18" s="6">
        <v>0</v>
      </c>
      <c r="L18" s="4">
        <v>0</v>
      </c>
      <c r="M18" s="34">
        <v>0</v>
      </c>
      <c r="O18" s="7">
        <v>0</v>
      </c>
      <c r="P18" s="656">
        <f t="shared" ref="P18:Y18" si="13">B18</f>
        <v>0</v>
      </c>
      <c r="Q18" s="27">
        <f t="shared" si="13"/>
        <v>0</v>
      </c>
      <c r="R18" s="75">
        <f t="shared" si="13"/>
        <v>0</v>
      </c>
      <c r="S18" s="29">
        <f t="shared" si="13"/>
        <v>0</v>
      </c>
      <c r="T18" s="26">
        <f t="shared" si="13"/>
        <v>0</v>
      </c>
      <c r="U18" s="27">
        <f t="shared" si="13"/>
        <v>0</v>
      </c>
      <c r="V18" s="28">
        <f t="shared" si="13"/>
        <v>0</v>
      </c>
      <c r="W18" s="29">
        <f t="shared" si="13"/>
        <v>0</v>
      </c>
      <c r="X18" s="26">
        <f t="shared" si="13"/>
        <v>0</v>
      </c>
      <c r="Y18" s="657">
        <f t="shared" si="13"/>
        <v>0</v>
      </c>
      <c r="Z18" s="28">
        <f t="shared" ref="Z18" si="14">L18</f>
        <v>0</v>
      </c>
      <c r="AA18" s="29">
        <f t="shared" ref="AA18" si="15">M18</f>
        <v>0</v>
      </c>
    </row>
    <row r="19" spans="1:49">
      <c r="A19" s="12">
        <v>1</v>
      </c>
      <c r="B19" s="11">
        <v>1</v>
      </c>
      <c r="C19" s="9">
        <v>3</v>
      </c>
      <c r="D19" s="76">
        <v>0</v>
      </c>
      <c r="E19" s="77">
        <v>0</v>
      </c>
      <c r="F19" s="11">
        <v>1</v>
      </c>
      <c r="G19" s="9">
        <v>1</v>
      </c>
      <c r="H19" s="10">
        <v>0</v>
      </c>
      <c r="I19" s="35">
        <v>0</v>
      </c>
      <c r="J19" s="11">
        <v>0</v>
      </c>
      <c r="K19" s="9">
        <v>0</v>
      </c>
      <c r="L19" s="10">
        <v>0</v>
      </c>
      <c r="M19" s="35">
        <v>0</v>
      </c>
      <c r="O19" s="145">
        <v>1</v>
      </c>
      <c r="P19" s="658">
        <f t="shared" ref="P19:P28" si="16">B19-B18</f>
        <v>1</v>
      </c>
      <c r="Q19" s="31">
        <f t="shared" ref="Q19:Q28" si="17">C19-C18</f>
        <v>3</v>
      </c>
      <c r="R19" s="78">
        <f t="shared" ref="R19:R28" si="18">D19-D18</f>
        <v>0</v>
      </c>
      <c r="S19" s="79">
        <f t="shared" ref="S19:S28" si="19">E19-E18</f>
        <v>0</v>
      </c>
      <c r="T19" s="30">
        <f t="shared" ref="T19:T28" si="20">F19-F18</f>
        <v>1</v>
      </c>
      <c r="U19" s="31">
        <f t="shared" ref="U19:U28" si="21">G19-G18</f>
        <v>1</v>
      </c>
      <c r="V19" s="32">
        <f t="shared" ref="V19:V28" si="22">H19-H18</f>
        <v>0</v>
      </c>
      <c r="W19" s="33">
        <f t="shared" ref="W19:W28" si="23">I19-I18</f>
        <v>0</v>
      </c>
      <c r="X19" s="30">
        <f t="shared" ref="X19:X28" si="24">J19-J18</f>
        <v>0</v>
      </c>
      <c r="Y19" s="659">
        <f t="shared" ref="Y19:Y28" si="25">K19-K18</f>
        <v>0</v>
      </c>
      <c r="Z19" s="32">
        <f t="shared" ref="Z19:Z28" si="26">L19-L18</f>
        <v>0</v>
      </c>
      <c r="AA19" s="33">
        <f t="shared" ref="AA19:AA28" si="27">M19-M18</f>
        <v>0</v>
      </c>
    </row>
    <row r="20" spans="1:49">
      <c r="A20" s="13">
        <v>2</v>
      </c>
      <c r="B20" s="2">
        <v>2</v>
      </c>
      <c r="C20" s="6">
        <v>4</v>
      </c>
      <c r="D20" s="4">
        <v>0</v>
      </c>
      <c r="E20" s="34">
        <v>0</v>
      </c>
      <c r="F20" s="2">
        <v>1</v>
      </c>
      <c r="G20" s="6">
        <v>2</v>
      </c>
      <c r="H20" s="4">
        <v>0</v>
      </c>
      <c r="I20" s="34">
        <v>0</v>
      </c>
      <c r="J20" s="2">
        <v>0</v>
      </c>
      <c r="K20" s="6">
        <v>0</v>
      </c>
      <c r="L20" s="4">
        <v>0</v>
      </c>
      <c r="M20" s="34">
        <v>0</v>
      </c>
      <c r="O20" s="7">
        <v>2</v>
      </c>
      <c r="P20" s="658">
        <f t="shared" si="16"/>
        <v>1</v>
      </c>
      <c r="Q20" s="31">
        <f t="shared" si="17"/>
        <v>1</v>
      </c>
      <c r="R20" s="78">
        <f t="shared" si="18"/>
        <v>0</v>
      </c>
      <c r="S20" s="79">
        <f t="shared" si="19"/>
        <v>0</v>
      </c>
      <c r="T20" s="30">
        <f t="shared" si="20"/>
        <v>0</v>
      </c>
      <c r="U20" s="31">
        <f t="shared" si="21"/>
        <v>1</v>
      </c>
      <c r="V20" s="32">
        <f t="shared" si="22"/>
        <v>0</v>
      </c>
      <c r="W20" s="33">
        <f t="shared" si="23"/>
        <v>0</v>
      </c>
      <c r="X20" s="30">
        <f t="shared" si="24"/>
        <v>0</v>
      </c>
      <c r="Y20" s="659">
        <f t="shared" si="25"/>
        <v>0</v>
      </c>
      <c r="Z20" s="32">
        <f t="shared" si="26"/>
        <v>0</v>
      </c>
      <c r="AA20" s="33">
        <f t="shared" si="27"/>
        <v>0</v>
      </c>
    </row>
    <row r="21" spans="1:49">
      <c r="A21" s="13">
        <v>3</v>
      </c>
      <c r="B21" s="1">
        <v>2</v>
      </c>
      <c r="C21" s="5">
        <v>5</v>
      </c>
      <c r="D21" s="3">
        <v>0</v>
      </c>
      <c r="E21" s="36">
        <v>0</v>
      </c>
      <c r="F21" s="1">
        <v>2</v>
      </c>
      <c r="G21" s="5">
        <v>3</v>
      </c>
      <c r="H21" s="3">
        <v>1</v>
      </c>
      <c r="I21" s="36">
        <v>1</v>
      </c>
      <c r="J21" s="1">
        <v>0</v>
      </c>
      <c r="K21" s="5">
        <v>0</v>
      </c>
      <c r="L21" s="3">
        <v>0</v>
      </c>
      <c r="M21" s="36">
        <v>0</v>
      </c>
      <c r="O21" s="7">
        <v>3</v>
      </c>
      <c r="P21" s="658">
        <f t="shared" si="16"/>
        <v>0</v>
      </c>
      <c r="Q21" s="31">
        <f t="shared" si="17"/>
        <v>1</v>
      </c>
      <c r="R21" s="78">
        <f t="shared" si="18"/>
        <v>0</v>
      </c>
      <c r="S21" s="79">
        <f t="shared" si="19"/>
        <v>0</v>
      </c>
      <c r="T21" s="30">
        <f t="shared" si="20"/>
        <v>1</v>
      </c>
      <c r="U21" s="31">
        <f t="shared" si="21"/>
        <v>1</v>
      </c>
      <c r="V21" s="32">
        <f t="shared" si="22"/>
        <v>1</v>
      </c>
      <c r="W21" s="33">
        <f t="shared" si="23"/>
        <v>1</v>
      </c>
      <c r="X21" s="30">
        <f t="shared" si="24"/>
        <v>0</v>
      </c>
      <c r="Y21" s="659">
        <f t="shared" si="25"/>
        <v>0</v>
      </c>
      <c r="Z21" s="32">
        <f t="shared" si="26"/>
        <v>0</v>
      </c>
      <c r="AA21" s="33">
        <f t="shared" si="27"/>
        <v>0</v>
      </c>
    </row>
    <row r="22" spans="1:49">
      <c r="A22" s="13">
        <v>4</v>
      </c>
      <c r="B22" s="2">
        <v>3</v>
      </c>
      <c r="C22" s="6">
        <v>6</v>
      </c>
      <c r="D22" s="4">
        <v>0</v>
      </c>
      <c r="E22" s="34">
        <v>0</v>
      </c>
      <c r="F22" s="2">
        <v>2</v>
      </c>
      <c r="G22" s="6">
        <v>4</v>
      </c>
      <c r="H22" s="4">
        <v>1</v>
      </c>
      <c r="I22" s="34">
        <v>2</v>
      </c>
      <c r="J22" s="2">
        <v>0</v>
      </c>
      <c r="K22" s="6">
        <v>0</v>
      </c>
      <c r="L22" s="4">
        <v>0</v>
      </c>
      <c r="M22" s="34">
        <v>0</v>
      </c>
      <c r="O22" s="7">
        <v>4</v>
      </c>
      <c r="P22" s="658">
        <f t="shared" si="16"/>
        <v>1</v>
      </c>
      <c r="Q22" s="31">
        <f t="shared" si="17"/>
        <v>1</v>
      </c>
      <c r="R22" s="78">
        <f t="shared" si="18"/>
        <v>0</v>
      </c>
      <c r="S22" s="79">
        <f t="shared" si="19"/>
        <v>0</v>
      </c>
      <c r="T22" s="30">
        <f t="shared" si="20"/>
        <v>0</v>
      </c>
      <c r="U22" s="31">
        <f t="shared" si="21"/>
        <v>1</v>
      </c>
      <c r="V22" s="32">
        <f t="shared" si="22"/>
        <v>0</v>
      </c>
      <c r="W22" s="33">
        <f t="shared" si="23"/>
        <v>1</v>
      </c>
      <c r="X22" s="30">
        <f t="shared" si="24"/>
        <v>0</v>
      </c>
      <c r="Y22" s="659">
        <f t="shared" si="25"/>
        <v>0</v>
      </c>
      <c r="Z22" s="32">
        <f t="shared" si="26"/>
        <v>0</v>
      </c>
      <c r="AA22" s="33">
        <f t="shared" si="27"/>
        <v>0</v>
      </c>
    </row>
    <row r="23" spans="1:49">
      <c r="A23" s="13">
        <v>5</v>
      </c>
      <c r="B23" s="1">
        <v>3</v>
      </c>
      <c r="C23" s="5">
        <v>7</v>
      </c>
      <c r="D23" s="3">
        <v>0</v>
      </c>
      <c r="E23" s="36">
        <v>0</v>
      </c>
      <c r="F23" s="1">
        <v>3</v>
      </c>
      <c r="G23" s="5">
        <v>5</v>
      </c>
      <c r="H23" s="3">
        <v>1</v>
      </c>
      <c r="I23" s="36">
        <v>3</v>
      </c>
      <c r="J23" s="1">
        <v>1</v>
      </c>
      <c r="K23" s="5">
        <v>1</v>
      </c>
      <c r="L23" s="3">
        <v>0</v>
      </c>
      <c r="M23" s="36">
        <v>0</v>
      </c>
      <c r="O23" s="7">
        <v>5</v>
      </c>
      <c r="P23" s="658">
        <f t="shared" si="16"/>
        <v>0</v>
      </c>
      <c r="Q23" s="31">
        <f t="shared" si="17"/>
        <v>1</v>
      </c>
      <c r="R23" s="78">
        <f t="shared" si="18"/>
        <v>0</v>
      </c>
      <c r="S23" s="79">
        <f t="shared" si="19"/>
        <v>0</v>
      </c>
      <c r="T23" s="30">
        <f t="shared" si="20"/>
        <v>1</v>
      </c>
      <c r="U23" s="31">
        <f t="shared" si="21"/>
        <v>1</v>
      </c>
      <c r="V23" s="32">
        <f t="shared" si="22"/>
        <v>0</v>
      </c>
      <c r="W23" s="33">
        <f t="shared" si="23"/>
        <v>1</v>
      </c>
      <c r="X23" s="30">
        <f t="shared" si="24"/>
        <v>1</v>
      </c>
      <c r="Y23" s="659">
        <f t="shared" si="25"/>
        <v>1</v>
      </c>
      <c r="Z23" s="32">
        <f t="shared" si="26"/>
        <v>0</v>
      </c>
      <c r="AA23" s="33">
        <f t="shared" si="27"/>
        <v>0</v>
      </c>
    </row>
    <row r="24" spans="1:49">
      <c r="A24" s="13">
        <v>6</v>
      </c>
      <c r="B24" s="2">
        <v>3</v>
      </c>
      <c r="C24" s="6">
        <v>8</v>
      </c>
      <c r="D24" s="4">
        <v>0</v>
      </c>
      <c r="E24" s="34">
        <v>0</v>
      </c>
      <c r="F24" s="2">
        <v>3</v>
      </c>
      <c r="G24" s="6">
        <v>6</v>
      </c>
      <c r="H24" s="4">
        <v>1</v>
      </c>
      <c r="I24" s="34">
        <v>4</v>
      </c>
      <c r="J24" s="2">
        <v>1</v>
      </c>
      <c r="K24" s="6">
        <v>2</v>
      </c>
      <c r="L24" s="4">
        <v>0</v>
      </c>
      <c r="M24" s="34">
        <v>0</v>
      </c>
      <c r="O24" s="7">
        <v>6</v>
      </c>
      <c r="P24" s="658">
        <f t="shared" si="16"/>
        <v>0</v>
      </c>
      <c r="Q24" s="31">
        <f t="shared" si="17"/>
        <v>1</v>
      </c>
      <c r="R24" s="78">
        <f t="shared" si="18"/>
        <v>0</v>
      </c>
      <c r="S24" s="79">
        <f t="shared" si="19"/>
        <v>0</v>
      </c>
      <c r="T24" s="30">
        <f t="shared" si="20"/>
        <v>0</v>
      </c>
      <c r="U24" s="31">
        <f t="shared" si="21"/>
        <v>1</v>
      </c>
      <c r="V24" s="32">
        <f t="shared" si="22"/>
        <v>0</v>
      </c>
      <c r="W24" s="33">
        <f t="shared" si="23"/>
        <v>1</v>
      </c>
      <c r="X24" s="30">
        <f t="shared" si="24"/>
        <v>0</v>
      </c>
      <c r="Y24" s="659">
        <f t="shared" si="25"/>
        <v>1</v>
      </c>
      <c r="Z24" s="32">
        <f t="shared" si="26"/>
        <v>0</v>
      </c>
      <c r="AA24" s="33">
        <f t="shared" si="27"/>
        <v>0</v>
      </c>
    </row>
    <row r="25" spans="1:49">
      <c r="A25" s="13">
        <v>7</v>
      </c>
      <c r="B25" s="1">
        <v>4</v>
      </c>
      <c r="C25" s="5">
        <v>9</v>
      </c>
      <c r="D25" s="3">
        <v>1</v>
      </c>
      <c r="E25" s="36">
        <v>2</v>
      </c>
      <c r="F25" s="1">
        <v>4</v>
      </c>
      <c r="G25" s="5">
        <v>6</v>
      </c>
      <c r="H25" s="3">
        <v>1</v>
      </c>
      <c r="I25" s="36">
        <v>5</v>
      </c>
      <c r="J25" s="1">
        <v>1</v>
      </c>
      <c r="K25" s="5">
        <v>3</v>
      </c>
      <c r="L25" s="3">
        <v>0</v>
      </c>
      <c r="M25" s="36">
        <v>0</v>
      </c>
      <c r="O25" s="7">
        <v>7</v>
      </c>
      <c r="P25" s="658">
        <f t="shared" si="16"/>
        <v>1</v>
      </c>
      <c r="Q25" s="31">
        <f t="shared" si="17"/>
        <v>1</v>
      </c>
      <c r="R25" s="78">
        <f t="shared" si="18"/>
        <v>1</v>
      </c>
      <c r="S25" s="79">
        <f t="shared" si="19"/>
        <v>2</v>
      </c>
      <c r="T25" s="30">
        <f t="shared" si="20"/>
        <v>1</v>
      </c>
      <c r="U25" s="31">
        <f t="shared" si="21"/>
        <v>0</v>
      </c>
      <c r="V25" s="32">
        <f t="shared" si="22"/>
        <v>0</v>
      </c>
      <c r="W25" s="33">
        <f t="shared" si="23"/>
        <v>1</v>
      </c>
      <c r="X25" s="30">
        <f t="shared" si="24"/>
        <v>0</v>
      </c>
      <c r="Y25" s="659">
        <f t="shared" si="25"/>
        <v>1</v>
      </c>
      <c r="Z25" s="32">
        <f t="shared" si="26"/>
        <v>0</v>
      </c>
      <c r="AA25" s="33">
        <f t="shared" si="27"/>
        <v>0</v>
      </c>
    </row>
    <row r="26" spans="1:49">
      <c r="A26" s="13">
        <v>8</v>
      </c>
      <c r="B26" s="2">
        <v>4</v>
      </c>
      <c r="C26" s="6">
        <v>10</v>
      </c>
      <c r="D26" s="4">
        <v>2</v>
      </c>
      <c r="E26" s="34">
        <v>4</v>
      </c>
      <c r="F26" s="2">
        <v>4</v>
      </c>
      <c r="G26" s="6">
        <v>6</v>
      </c>
      <c r="H26" s="4">
        <v>1</v>
      </c>
      <c r="I26" s="34">
        <v>6</v>
      </c>
      <c r="J26" s="2">
        <v>1</v>
      </c>
      <c r="K26" s="6">
        <v>3</v>
      </c>
      <c r="L26" s="4">
        <v>1</v>
      </c>
      <c r="M26" s="34">
        <v>2</v>
      </c>
      <c r="O26" s="7">
        <v>8</v>
      </c>
      <c r="P26" s="658">
        <f t="shared" si="16"/>
        <v>0</v>
      </c>
      <c r="Q26" s="31">
        <f t="shared" si="17"/>
        <v>1</v>
      </c>
      <c r="R26" s="78">
        <f t="shared" si="18"/>
        <v>1</v>
      </c>
      <c r="S26" s="79">
        <f t="shared" si="19"/>
        <v>2</v>
      </c>
      <c r="T26" s="30">
        <f t="shared" si="20"/>
        <v>0</v>
      </c>
      <c r="U26" s="31">
        <f t="shared" si="21"/>
        <v>0</v>
      </c>
      <c r="V26" s="32">
        <f t="shared" si="22"/>
        <v>0</v>
      </c>
      <c r="W26" s="33">
        <f t="shared" si="23"/>
        <v>1</v>
      </c>
      <c r="X26" s="30">
        <f t="shared" si="24"/>
        <v>0</v>
      </c>
      <c r="Y26" s="659">
        <f t="shared" si="25"/>
        <v>0</v>
      </c>
      <c r="Z26" s="32">
        <f t="shared" si="26"/>
        <v>1</v>
      </c>
      <c r="AA26" s="33">
        <f t="shared" si="27"/>
        <v>2</v>
      </c>
    </row>
    <row r="27" spans="1:49">
      <c r="A27" s="7">
        <v>9</v>
      </c>
      <c r="B27" s="1">
        <v>4</v>
      </c>
      <c r="C27" s="5">
        <v>10</v>
      </c>
      <c r="D27" s="3">
        <v>2</v>
      </c>
      <c r="E27" s="36">
        <v>6</v>
      </c>
      <c r="F27" s="1">
        <v>4</v>
      </c>
      <c r="G27" s="5">
        <v>7</v>
      </c>
      <c r="H27" s="3">
        <v>1</v>
      </c>
      <c r="I27" s="36">
        <v>7</v>
      </c>
      <c r="J27" s="1">
        <v>1</v>
      </c>
      <c r="K27" s="5">
        <v>4</v>
      </c>
      <c r="L27" s="3">
        <v>1</v>
      </c>
      <c r="M27" s="666">
        <v>3</v>
      </c>
      <c r="O27" s="7">
        <v>9</v>
      </c>
      <c r="P27" s="658">
        <f t="shared" si="16"/>
        <v>0</v>
      </c>
      <c r="Q27" s="31">
        <f t="shared" si="17"/>
        <v>0</v>
      </c>
      <c r="R27" s="78">
        <f t="shared" si="18"/>
        <v>0</v>
      </c>
      <c r="S27" s="79">
        <f t="shared" si="19"/>
        <v>2</v>
      </c>
      <c r="T27" s="30">
        <f t="shared" si="20"/>
        <v>0</v>
      </c>
      <c r="U27" s="31">
        <f t="shared" si="21"/>
        <v>1</v>
      </c>
      <c r="V27" s="32">
        <f t="shared" si="22"/>
        <v>0</v>
      </c>
      <c r="W27" s="33">
        <f t="shared" si="23"/>
        <v>1</v>
      </c>
      <c r="X27" s="30">
        <f t="shared" si="24"/>
        <v>0</v>
      </c>
      <c r="Y27" s="659">
        <f t="shared" si="25"/>
        <v>1</v>
      </c>
      <c r="Z27" s="32">
        <f t="shared" si="26"/>
        <v>0</v>
      </c>
      <c r="AA27" s="33">
        <f t="shared" si="27"/>
        <v>1</v>
      </c>
    </row>
    <row r="28" spans="1:49">
      <c r="A28" s="7">
        <v>10</v>
      </c>
      <c r="B28" s="1">
        <v>4</v>
      </c>
      <c r="C28" s="5">
        <v>10</v>
      </c>
      <c r="D28" s="3">
        <v>2</v>
      </c>
      <c r="E28" s="36">
        <v>6</v>
      </c>
      <c r="F28" s="1">
        <v>4</v>
      </c>
      <c r="G28" s="5">
        <v>8</v>
      </c>
      <c r="H28" s="3">
        <v>1</v>
      </c>
      <c r="I28" s="36">
        <v>8</v>
      </c>
      <c r="J28" s="1">
        <v>1</v>
      </c>
      <c r="K28" s="5">
        <v>5</v>
      </c>
      <c r="L28" s="3">
        <v>1</v>
      </c>
      <c r="M28" s="666">
        <v>3</v>
      </c>
      <c r="O28" s="7">
        <v>10</v>
      </c>
      <c r="P28" s="658">
        <f t="shared" si="16"/>
        <v>0</v>
      </c>
      <c r="Q28" s="31">
        <f t="shared" si="17"/>
        <v>0</v>
      </c>
      <c r="R28" s="78">
        <f t="shared" si="18"/>
        <v>0</v>
      </c>
      <c r="S28" s="79">
        <f t="shared" si="19"/>
        <v>0</v>
      </c>
      <c r="T28" s="30">
        <f t="shared" si="20"/>
        <v>0</v>
      </c>
      <c r="U28" s="31">
        <f t="shared" si="21"/>
        <v>1</v>
      </c>
      <c r="V28" s="32">
        <f t="shared" si="22"/>
        <v>0</v>
      </c>
      <c r="W28" s="33">
        <f t="shared" si="23"/>
        <v>1</v>
      </c>
      <c r="X28" s="30">
        <f t="shared" si="24"/>
        <v>0</v>
      </c>
      <c r="Y28" s="659">
        <f t="shared" si="25"/>
        <v>1</v>
      </c>
      <c r="Z28" s="32">
        <f t="shared" si="26"/>
        <v>0</v>
      </c>
      <c r="AA28" s="33">
        <f t="shared" si="27"/>
        <v>0</v>
      </c>
    </row>
    <row r="29" spans="1:49">
      <c r="A29" s="188">
        <v>11</v>
      </c>
      <c r="B29" s="22">
        <v>4</v>
      </c>
      <c r="C29" s="20">
        <v>10</v>
      </c>
      <c r="D29" s="21">
        <v>2</v>
      </c>
      <c r="E29" s="37">
        <v>6</v>
      </c>
      <c r="F29" s="22">
        <v>4</v>
      </c>
      <c r="G29" s="20">
        <v>8</v>
      </c>
      <c r="H29" s="21">
        <v>1</v>
      </c>
      <c r="I29" s="37">
        <v>9</v>
      </c>
      <c r="J29" s="22">
        <v>1</v>
      </c>
      <c r="K29" s="20">
        <v>5</v>
      </c>
      <c r="L29" s="21">
        <v>1</v>
      </c>
      <c r="M29" s="911">
        <v>3</v>
      </c>
      <c r="O29" s="188">
        <v>11</v>
      </c>
      <c r="P29" s="912">
        <f t="shared" ref="P29" si="28">B29-B28</f>
        <v>0</v>
      </c>
      <c r="Q29" s="61">
        <f t="shared" ref="Q29" si="29">C29-C28</f>
        <v>0</v>
      </c>
      <c r="R29" s="915">
        <f t="shared" ref="R29" si="30">D29-D28</f>
        <v>0</v>
      </c>
      <c r="S29" s="916">
        <f t="shared" ref="S29" si="31">E29-E28</f>
        <v>0</v>
      </c>
      <c r="T29" s="60">
        <f t="shared" ref="T29" si="32">F29-F28</f>
        <v>0</v>
      </c>
      <c r="U29" s="61">
        <f t="shared" ref="U29" si="33">G29-G28</f>
        <v>0</v>
      </c>
      <c r="V29" s="62">
        <f t="shared" ref="V29" si="34">H29-H28</f>
        <v>0</v>
      </c>
      <c r="W29" s="913">
        <f t="shared" ref="W29" si="35">I29-I28</f>
        <v>1</v>
      </c>
      <c r="X29" s="60">
        <f t="shared" ref="X29" si="36">J29-J28</f>
        <v>0</v>
      </c>
      <c r="Y29" s="917">
        <f t="shared" ref="Y29" si="37">K29-K28</f>
        <v>0</v>
      </c>
      <c r="Z29" s="62">
        <f t="shared" ref="Z29" si="38">L29-L28</f>
        <v>0</v>
      </c>
      <c r="AA29" s="913">
        <f t="shared" ref="AA29" si="39">M29-M28</f>
        <v>0</v>
      </c>
    </row>
    <row r="30" spans="1:49">
      <c r="P30" s="142"/>
      <c r="Q30" s="142"/>
      <c r="R30" s="142"/>
    </row>
    <row r="31" spans="1:49" ht="30" customHeight="1" thickBot="1">
      <c r="A31" s="1027" t="s">
        <v>404</v>
      </c>
      <c r="B31" s="1028"/>
      <c r="C31" s="1028"/>
      <c r="D31" s="1028"/>
      <c r="E31" s="1028"/>
      <c r="F31" s="1028"/>
      <c r="G31" s="1028"/>
      <c r="H31" s="1028"/>
      <c r="I31" s="1028"/>
      <c r="J31" s="1028"/>
      <c r="K31" s="1028"/>
      <c r="L31" s="1028"/>
      <c r="M31" s="1028"/>
      <c r="N31" s="1028"/>
      <c r="O31" s="1028"/>
      <c r="P31" s="1028"/>
      <c r="Q31" s="1028"/>
      <c r="R31" s="1028"/>
      <c r="S31" s="1028"/>
      <c r="T31" s="1028"/>
      <c r="U31" s="1028"/>
      <c r="V31" s="1028"/>
      <c r="W31" s="1028"/>
      <c r="X31" s="924"/>
      <c r="Y31" s="924"/>
      <c r="AA31" s="1027" t="s">
        <v>366</v>
      </c>
      <c r="AB31" s="1028"/>
      <c r="AC31" s="1028"/>
      <c r="AD31" s="1028"/>
      <c r="AE31" s="1028"/>
      <c r="AF31" s="1028"/>
      <c r="AG31" s="1028"/>
      <c r="AH31" s="1028"/>
      <c r="AI31" s="1028"/>
      <c r="AJ31" s="1028"/>
      <c r="AK31" s="1028"/>
      <c r="AL31" s="1028"/>
      <c r="AM31" s="1028"/>
      <c r="AN31" s="1028"/>
      <c r="AO31" s="1028"/>
      <c r="AP31" s="1028"/>
      <c r="AQ31" s="1028"/>
      <c r="AR31" s="1028"/>
      <c r="AS31" s="1028"/>
      <c r="AT31" s="1028"/>
      <c r="AU31" s="1028"/>
      <c r="AV31" s="1028"/>
      <c r="AW31" s="1028"/>
    </row>
    <row r="32" spans="1:49" ht="34.5" customHeight="1" thickBot="1">
      <c r="A32" s="765" t="s">
        <v>291</v>
      </c>
      <c r="B32" s="52" t="s">
        <v>206</v>
      </c>
      <c r="C32" s="52" t="s">
        <v>15</v>
      </c>
      <c r="D32" s="52" t="s">
        <v>205</v>
      </c>
      <c r="E32" s="52" t="s">
        <v>21</v>
      </c>
      <c r="F32" s="52" t="s">
        <v>204</v>
      </c>
      <c r="G32" s="52" t="s">
        <v>22</v>
      </c>
      <c r="H32" s="52" t="s">
        <v>203</v>
      </c>
      <c r="I32" s="52" t="s">
        <v>23</v>
      </c>
      <c r="J32" s="52" t="s">
        <v>202</v>
      </c>
      <c r="K32" s="52" t="s">
        <v>24</v>
      </c>
      <c r="L32" s="52" t="s">
        <v>454</v>
      </c>
      <c r="M32" s="52" t="s">
        <v>25</v>
      </c>
      <c r="N32" s="52" t="s">
        <v>643</v>
      </c>
      <c r="O32" s="52" t="s">
        <v>644</v>
      </c>
      <c r="P32" s="52" t="s">
        <v>201</v>
      </c>
      <c r="Q32" s="52" t="s">
        <v>26</v>
      </c>
      <c r="R32" s="52" t="s">
        <v>200</v>
      </c>
      <c r="S32" s="52" t="s">
        <v>27</v>
      </c>
      <c r="T32" s="52" t="s">
        <v>199</v>
      </c>
      <c r="U32" s="52" t="s">
        <v>28</v>
      </c>
      <c r="V32" s="953" t="s">
        <v>747</v>
      </c>
      <c r="W32" s="909" t="s">
        <v>738</v>
      </c>
      <c r="X32" s="924"/>
      <c r="AA32" s="769" t="s">
        <v>291</v>
      </c>
      <c r="AB32" s="766" t="s">
        <v>206</v>
      </c>
      <c r="AC32" s="767" t="s">
        <v>15</v>
      </c>
      <c r="AD32" s="767" t="s">
        <v>205</v>
      </c>
      <c r="AE32" s="679" t="s">
        <v>21</v>
      </c>
      <c r="AF32" s="767" t="s">
        <v>204</v>
      </c>
      <c r="AG32" s="679" t="s">
        <v>22</v>
      </c>
      <c r="AH32" s="767" t="s">
        <v>203</v>
      </c>
      <c r="AI32" s="679" t="s">
        <v>563</v>
      </c>
      <c r="AJ32" s="767" t="s">
        <v>202</v>
      </c>
      <c r="AK32" s="679" t="s">
        <v>566</v>
      </c>
      <c r="AL32" s="767" t="s">
        <v>454</v>
      </c>
      <c r="AM32" s="679" t="s">
        <v>25</v>
      </c>
      <c r="AN32" s="679" t="s">
        <v>645</v>
      </c>
      <c r="AO32" s="679" t="s">
        <v>646</v>
      </c>
      <c r="AP32" s="767" t="s">
        <v>201</v>
      </c>
      <c r="AQ32" s="679" t="s">
        <v>26</v>
      </c>
      <c r="AR32" s="767" t="s">
        <v>200</v>
      </c>
      <c r="AS32" s="679" t="s">
        <v>27</v>
      </c>
      <c r="AT32" s="767" t="s">
        <v>199</v>
      </c>
      <c r="AU32" s="561" t="s">
        <v>23</v>
      </c>
      <c r="AV32" s="561" t="s">
        <v>747</v>
      </c>
      <c r="AW32" s="561" t="s">
        <v>24</v>
      </c>
    </row>
    <row r="33" spans="1:49" ht="12.75">
      <c r="A33" s="51">
        <v>0</v>
      </c>
      <c r="B33" s="47">
        <v>0</v>
      </c>
      <c r="C33" s="38">
        <v>0</v>
      </c>
      <c r="D33" s="39">
        <v>0</v>
      </c>
      <c r="E33" s="40">
        <v>0</v>
      </c>
      <c r="F33" s="47">
        <v>0</v>
      </c>
      <c r="G33" s="38">
        <v>0</v>
      </c>
      <c r="H33" s="39">
        <v>0</v>
      </c>
      <c r="I33" s="40">
        <v>0</v>
      </c>
      <c r="J33" s="47">
        <v>0</v>
      </c>
      <c r="K33" s="38">
        <v>0</v>
      </c>
      <c r="L33" s="39">
        <v>0</v>
      </c>
      <c r="M33" s="40">
        <v>0</v>
      </c>
      <c r="N33" s="47">
        <v>0</v>
      </c>
      <c r="O33" s="38">
        <v>0</v>
      </c>
      <c r="P33" s="39">
        <v>0</v>
      </c>
      <c r="Q33" s="40">
        <v>0</v>
      </c>
      <c r="R33" s="47">
        <v>0</v>
      </c>
      <c r="S33" s="38">
        <v>0</v>
      </c>
      <c r="T33" s="39">
        <v>0</v>
      </c>
      <c r="U33" s="663">
        <v>0</v>
      </c>
      <c r="V33" s="47">
        <v>0</v>
      </c>
      <c r="W33" s="38">
        <v>0</v>
      </c>
      <c r="X33" s="924"/>
      <c r="AA33" s="13">
        <v>0</v>
      </c>
      <c r="AB33" s="656">
        <f t="shared" ref="AB33:AG33" si="40">B33</f>
        <v>0</v>
      </c>
      <c r="AC33" s="27">
        <f t="shared" si="40"/>
        <v>0</v>
      </c>
      <c r="AD33" s="556">
        <f t="shared" si="40"/>
        <v>0</v>
      </c>
      <c r="AE33" s="29">
        <f t="shared" si="40"/>
        <v>0</v>
      </c>
      <c r="AF33" s="557">
        <f t="shared" si="40"/>
        <v>0</v>
      </c>
      <c r="AG33" s="27">
        <f t="shared" si="40"/>
        <v>0</v>
      </c>
      <c r="AH33" s="556">
        <f>P33</f>
        <v>0</v>
      </c>
      <c r="AI33" s="29">
        <f>Q33</f>
        <v>0</v>
      </c>
      <c r="AJ33" s="557">
        <f>R33</f>
        <v>0</v>
      </c>
      <c r="AK33" s="27">
        <f>S33</f>
        <v>0</v>
      </c>
      <c r="AL33" s="556">
        <f t="shared" ref="AL33:AW33" si="41">L33</f>
        <v>0</v>
      </c>
      <c r="AM33" s="29">
        <f t="shared" si="41"/>
        <v>0</v>
      </c>
      <c r="AN33" s="557">
        <f t="shared" si="41"/>
        <v>0</v>
      </c>
      <c r="AO33" s="27">
        <f t="shared" si="41"/>
        <v>0</v>
      </c>
      <c r="AP33" s="556">
        <f t="shared" si="41"/>
        <v>0</v>
      </c>
      <c r="AQ33" s="29">
        <f t="shared" si="41"/>
        <v>0</v>
      </c>
      <c r="AR33" s="557">
        <f t="shared" si="41"/>
        <v>0</v>
      </c>
      <c r="AS33" s="27">
        <f t="shared" si="41"/>
        <v>0</v>
      </c>
      <c r="AT33" s="556">
        <f t="shared" si="41"/>
        <v>0</v>
      </c>
      <c r="AU33" s="29">
        <f t="shared" si="41"/>
        <v>0</v>
      </c>
      <c r="AV33" s="557">
        <f t="shared" si="41"/>
        <v>0</v>
      </c>
      <c r="AW33" s="27">
        <f t="shared" si="41"/>
        <v>0</v>
      </c>
    </row>
    <row r="34" spans="1:49" ht="12.75">
      <c r="A34" s="7">
        <v>1</v>
      </c>
      <c r="B34" s="48">
        <v>0</v>
      </c>
      <c r="C34" s="5">
        <v>0</v>
      </c>
      <c r="D34" s="3">
        <v>2</v>
      </c>
      <c r="E34" s="36">
        <v>2</v>
      </c>
      <c r="F34" s="48">
        <v>0</v>
      </c>
      <c r="G34" s="5">
        <v>0</v>
      </c>
      <c r="H34" s="3">
        <v>0</v>
      </c>
      <c r="I34" s="36">
        <v>0</v>
      </c>
      <c r="J34" s="48">
        <v>0</v>
      </c>
      <c r="K34" s="5">
        <v>0</v>
      </c>
      <c r="L34" s="3">
        <v>0</v>
      </c>
      <c r="M34" s="36">
        <v>0</v>
      </c>
      <c r="N34" s="48">
        <v>0</v>
      </c>
      <c r="O34" s="5">
        <v>0</v>
      </c>
      <c r="P34" s="3">
        <v>0</v>
      </c>
      <c r="Q34" s="36">
        <v>0</v>
      </c>
      <c r="R34" s="48">
        <v>0</v>
      </c>
      <c r="S34" s="5">
        <v>0</v>
      </c>
      <c r="T34" s="3">
        <v>0</v>
      </c>
      <c r="U34" s="16">
        <v>0</v>
      </c>
      <c r="V34" s="48">
        <v>0</v>
      </c>
      <c r="W34" s="5">
        <v>0</v>
      </c>
      <c r="X34" s="924"/>
      <c r="AA34" s="12">
        <v>1</v>
      </c>
      <c r="AB34" s="67">
        <f t="shared" ref="AB34:AB44" si="42">B34-B33</f>
        <v>0</v>
      </c>
      <c r="AC34" s="64">
        <f t="shared" ref="AC34:AC44" si="43">C34-C33</f>
        <v>0</v>
      </c>
      <c r="AD34" s="65">
        <f t="shared" ref="AD34:AD44" si="44">D34-D33</f>
        <v>2</v>
      </c>
      <c r="AE34" s="66">
        <f t="shared" ref="AE34:AE44" si="45">E34-E33</f>
        <v>2</v>
      </c>
      <c r="AF34" s="63">
        <f t="shared" ref="AF34:AF44" si="46">F34-F33</f>
        <v>0</v>
      </c>
      <c r="AG34" s="64">
        <f t="shared" ref="AG34:AG44" si="47">G34-G33</f>
        <v>0</v>
      </c>
      <c r="AH34" s="65">
        <f t="shared" ref="AH34:AH44" si="48">P34-P33</f>
        <v>0</v>
      </c>
      <c r="AI34" s="66">
        <f t="shared" ref="AI34:AI44" si="49">Q34-Q33</f>
        <v>0</v>
      </c>
      <c r="AJ34" s="63">
        <f t="shared" ref="AJ34:AJ44" si="50">R34-R33</f>
        <v>0</v>
      </c>
      <c r="AK34" s="64">
        <f t="shared" ref="AK34:AK44" si="51">S34-S33</f>
        <v>0</v>
      </c>
      <c r="AL34" s="65">
        <f t="shared" ref="AL34:AL44" si="52">L34-L33</f>
        <v>0</v>
      </c>
      <c r="AM34" s="66">
        <f t="shared" ref="AM34:AM44" si="53">M34-M33</f>
        <v>0</v>
      </c>
      <c r="AN34" s="63">
        <f t="shared" ref="AN34:AN44" si="54">N34-N33</f>
        <v>0</v>
      </c>
      <c r="AO34" s="64">
        <f t="shared" ref="AO34:AO44" si="55">O34-O33</f>
        <v>0</v>
      </c>
      <c r="AP34" s="65">
        <f t="shared" ref="AP34:AP44" si="56">P34-P33</f>
        <v>0</v>
      </c>
      <c r="AQ34" s="66">
        <f t="shared" ref="AQ34:AQ44" si="57">Q34-Q33</f>
        <v>0</v>
      </c>
      <c r="AR34" s="63">
        <f t="shared" ref="AR34:AR44" si="58">R34-R33</f>
        <v>0</v>
      </c>
      <c r="AS34" s="64">
        <f t="shared" ref="AS34:AS44" si="59">S34-S33</f>
        <v>0</v>
      </c>
      <c r="AT34" s="65">
        <f t="shared" ref="AT34:AT44" si="60">T34-T33</f>
        <v>0</v>
      </c>
      <c r="AU34" s="65">
        <f t="shared" ref="AU34:AU44" si="61">U34-U33</f>
        <v>0</v>
      </c>
      <c r="AV34" s="63">
        <f t="shared" ref="AV34:AV44" si="62">V34-V33</f>
        <v>0</v>
      </c>
      <c r="AW34" s="64">
        <f t="shared" ref="AW34:AW44" si="63">W34-W33</f>
        <v>0</v>
      </c>
    </row>
    <row r="35" spans="1:49" ht="12.75">
      <c r="A35" s="7">
        <v>2</v>
      </c>
      <c r="B35" s="49">
        <v>25</v>
      </c>
      <c r="C35" s="6">
        <v>2</v>
      </c>
      <c r="D35" s="4">
        <v>2</v>
      </c>
      <c r="E35" s="34">
        <v>3</v>
      </c>
      <c r="F35" s="49">
        <v>1</v>
      </c>
      <c r="G35" s="6">
        <v>2</v>
      </c>
      <c r="H35" s="4">
        <v>0</v>
      </c>
      <c r="I35" s="34">
        <v>0</v>
      </c>
      <c r="J35" s="49">
        <v>0</v>
      </c>
      <c r="K35" s="6">
        <v>0</v>
      </c>
      <c r="L35" s="4">
        <v>0</v>
      </c>
      <c r="M35" s="34">
        <v>0</v>
      </c>
      <c r="N35" s="49">
        <v>0</v>
      </c>
      <c r="O35" s="6">
        <v>0</v>
      </c>
      <c r="P35" s="4">
        <v>0</v>
      </c>
      <c r="Q35" s="34">
        <v>0</v>
      </c>
      <c r="R35" s="49">
        <v>0</v>
      </c>
      <c r="S35" s="6">
        <v>0</v>
      </c>
      <c r="T35" s="4">
        <v>0</v>
      </c>
      <c r="U35" s="15">
        <v>0</v>
      </c>
      <c r="V35" s="49">
        <v>0</v>
      </c>
      <c r="W35" s="6">
        <v>0</v>
      </c>
      <c r="X35" s="924"/>
      <c r="AA35" s="13">
        <v>2</v>
      </c>
      <c r="AB35" s="67">
        <f t="shared" si="42"/>
        <v>25</v>
      </c>
      <c r="AC35" s="64">
        <f t="shared" si="43"/>
        <v>2</v>
      </c>
      <c r="AD35" s="65">
        <f t="shared" si="44"/>
        <v>0</v>
      </c>
      <c r="AE35" s="66">
        <f t="shared" si="45"/>
        <v>1</v>
      </c>
      <c r="AF35" s="63">
        <f t="shared" si="46"/>
        <v>1</v>
      </c>
      <c r="AG35" s="64">
        <f t="shared" si="47"/>
        <v>2</v>
      </c>
      <c r="AH35" s="65">
        <f t="shared" si="48"/>
        <v>0</v>
      </c>
      <c r="AI35" s="66">
        <f t="shared" si="49"/>
        <v>0</v>
      </c>
      <c r="AJ35" s="63">
        <f t="shared" si="50"/>
        <v>0</v>
      </c>
      <c r="AK35" s="64">
        <f t="shared" si="51"/>
        <v>0</v>
      </c>
      <c r="AL35" s="65">
        <f t="shared" si="52"/>
        <v>0</v>
      </c>
      <c r="AM35" s="66">
        <f t="shared" si="53"/>
        <v>0</v>
      </c>
      <c r="AN35" s="63">
        <f t="shared" si="54"/>
        <v>0</v>
      </c>
      <c r="AO35" s="64">
        <f t="shared" si="55"/>
        <v>0</v>
      </c>
      <c r="AP35" s="65">
        <f t="shared" si="56"/>
        <v>0</v>
      </c>
      <c r="AQ35" s="66">
        <f t="shared" si="57"/>
        <v>0</v>
      </c>
      <c r="AR35" s="63">
        <f t="shared" si="58"/>
        <v>0</v>
      </c>
      <c r="AS35" s="64">
        <f t="shared" si="59"/>
        <v>0</v>
      </c>
      <c r="AT35" s="65">
        <f t="shared" si="60"/>
        <v>0</v>
      </c>
      <c r="AU35" s="66">
        <f t="shared" si="61"/>
        <v>0</v>
      </c>
      <c r="AV35" s="63">
        <f t="shared" si="62"/>
        <v>0</v>
      </c>
      <c r="AW35" s="64">
        <f t="shared" si="63"/>
        <v>0</v>
      </c>
    </row>
    <row r="36" spans="1:49" ht="12.75">
      <c r="A36" s="7">
        <v>3</v>
      </c>
      <c r="B36" s="48">
        <v>50</v>
      </c>
      <c r="C36" s="5">
        <v>3</v>
      </c>
      <c r="D36" s="3">
        <v>2</v>
      </c>
      <c r="E36" s="36">
        <v>4</v>
      </c>
      <c r="F36" s="48">
        <v>1</v>
      </c>
      <c r="G36" s="5">
        <v>3</v>
      </c>
      <c r="H36" s="3">
        <v>1</v>
      </c>
      <c r="I36" s="36">
        <v>1</v>
      </c>
      <c r="J36" s="48">
        <v>0</v>
      </c>
      <c r="K36" s="5">
        <v>0</v>
      </c>
      <c r="L36" s="3">
        <v>0</v>
      </c>
      <c r="M36" s="36">
        <v>0</v>
      </c>
      <c r="N36" s="48">
        <v>0</v>
      </c>
      <c r="O36" s="5">
        <v>0</v>
      </c>
      <c r="P36" s="3">
        <v>0</v>
      </c>
      <c r="Q36" s="36">
        <v>0</v>
      </c>
      <c r="R36" s="48">
        <v>0</v>
      </c>
      <c r="S36" s="5">
        <v>0</v>
      </c>
      <c r="T36" s="3">
        <v>0</v>
      </c>
      <c r="U36" s="16">
        <v>0</v>
      </c>
      <c r="V36" s="48">
        <v>0</v>
      </c>
      <c r="W36" s="5">
        <v>0</v>
      </c>
      <c r="X36" s="924"/>
      <c r="AA36" s="13">
        <v>3</v>
      </c>
      <c r="AB36" s="67">
        <f t="shared" si="42"/>
        <v>25</v>
      </c>
      <c r="AC36" s="64">
        <f t="shared" si="43"/>
        <v>1</v>
      </c>
      <c r="AD36" s="65">
        <f t="shared" si="44"/>
        <v>0</v>
      </c>
      <c r="AE36" s="66">
        <f t="shared" si="45"/>
        <v>1</v>
      </c>
      <c r="AF36" s="63">
        <f t="shared" si="46"/>
        <v>0</v>
      </c>
      <c r="AG36" s="64">
        <f t="shared" si="47"/>
        <v>1</v>
      </c>
      <c r="AH36" s="65">
        <f t="shared" si="48"/>
        <v>0</v>
      </c>
      <c r="AI36" s="66">
        <f t="shared" si="49"/>
        <v>0</v>
      </c>
      <c r="AJ36" s="63">
        <f t="shared" si="50"/>
        <v>0</v>
      </c>
      <c r="AK36" s="64">
        <f t="shared" si="51"/>
        <v>0</v>
      </c>
      <c r="AL36" s="65">
        <f t="shared" si="52"/>
        <v>0</v>
      </c>
      <c r="AM36" s="66">
        <f t="shared" si="53"/>
        <v>0</v>
      </c>
      <c r="AN36" s="63">
        <f t="shared" si="54"/>
        <v>0</v>
      </c>
      <c r="AO36" s="64">
        <f t="shared" si="55"/>
        <v>0</v>
      </c>
      <c r="AP36" s="65">
        <f t="shared" si="56"/>
        <v>0</v>
      </c>
      <c r="AQ36" s="66">
        <f t="shared" si="57"/>
        <v>0</v>
      </c>
      <c r="AR36" s="63">
        <f t="shared" si="58"/>
        <v>0</v>
      </c>
      <c r="AS36" s="64">
        <f t="shared" si="59"/>
        <v>0</v>
      </c>
      <c r="AT36" s="65">
        <f t="shared" si="60"/>
        <v>0</v>
      </c>
      <c r="AU36" s="66">
        <f t="shared" si="61"/>
        <v>0</v>
      </c>
      <c r="AV36" s="63">
        <f t="shared" si="62"/>
        <v>0</v>
      </c>
      <c r="AW36" s="64">
        <f t="shared" si="63"/>
        <v>0</v>
      </c>
    </row>
    <row r="37" spans="1:49" ht="12.75">
      <c r="A37" s="7">
        <v>4</v>
      </c>
      <c r="B37" s="49">
        <v>75</v>
      </c>
      <c r="C37" s="6">
        <v>4</v>
      </c>
      <c r="D37" s="4">
        <v>2</v>
      </c>
      <c r="E37" s="34">
        <v>5</v>
      </c>
      <c r="F37" s="49">
        <v>2</v>
      </c>
      <c r="G37" s="6">
        <v>4</v>
      </c>
      <c r="H37" s="4">
        <v>1</v>
      </c>
      <c r="I37" s="34">
        <v>2</v>
      </c>
      <c r="J37" s="49">
        <v>1</v>
      </c>
      <c r="K37" s="6">
        <v>2</v>
      </c>
      <c r="L37" s="4">
        <v>0</v>
      </c>
      <c r="M37" s="34">
        <v>0</v>
      </c>
      <c r="N37" s="49">
        <v>0</v>
      </c>
      <c r="O37" s="6">
        <v>0</v>
      </c>
      <c r="P37" s="4">
        <v>0</v>
      </c>
      <c r="Q37" s="34">
        <v>0</v>
      </c>
      <c r="R37" s="49">
        <v>0</v>
      </c>
      <c r="S37" s="6">
        <v>0</v>
      </c>
      <c r="T37" s="4">
        <v>0</v>
      </c>
      <c r="U37" s="15">
        <v>0</v>
      </c>
      <c r="V37" s="49">
        <v>0</v>
      </c>
      <c r="W37" s="6">
        <v>0</v>
      </c>
      <c r="X37" s="924"/>
      <c r="AA37" s="13">
        <v>4</v>
      </c>
      <c r="AB37" s="67">
        <f t="shared" si="42"/>
        <v>25</v>
      </c>
      <c r="AC37" s="64">
        <f t="shared" si="43"/>
        <v>1</v>
      </c>
      <c r="AD37" s="65">
        <f t="shared" si="44"/>
        <v>0</v>
      </c>
      <c r="AE37" s="66">
        <f t="shared" si="45"/>
        <v>1</v>
      </c>
      <c r="AF37" s="63">
        <f t="shared" si="46"/>
        <v>1</v>
      </c>
      <c r="AG37" s="64">
        <f t="shared" si="47"/>
        <v>1</v>
      </c>
      <c r="AH37" s="65">
        <f t="shared" si="48"/>
        <v>0</v>
      </c>
      <c r="AI37" s="66">
        <f t="shared" si="49"/>
        <v>0</v>
      </c>
      <c r="AJ37" s="63">
        <f t="shared" si="50"/>
        <v>0</v>
      </c>
      <c r="AK37" s="64">
        <f t="shared" si="51"/>
        <v>0</v>
      </c>
      <c r="AL37" s="65">
        <f t="shared" si="52"/>
        <v>0</v>
      </c>
      <c r="AM37" s="66">
        <f t="shared" si="53"/>
        <v>0</v>
      </c>
      <c r="AN37" s="63">
        <f t="shared" si="54"/>
        <v>0</v>
      </c>
      <c r="AO37" s="64">
        <f t="shared" si="55"/>
        <v>0</v>
      </c>
      <c r="AP37" s="65">
        <f t="shared" si="56"/>
        <v>0</v>
      </c>
      <c r="AQ37" s="66">
        <f t="shared" si="57"/>
        <v>0</v>
      </c>
      <c r="AR37" s="63">
        <f t="shared" si="58"/>
        <v>0</v>
      </c>
      <c r="AS37" s="64">
        <f t="shared" si="59"/>
        <v>0</v>
      </c>
      <c r="AT37" s="65">
        <f t="shared" si="60"/>
        <v>0</v>
      </c>
      <c r="AU37" s="66">
        <f t="shared" si="61"/>
        <v>0</v>
      </c>
      <c r="AV37" s="63">
        <f t="shared" si="62"/>
        <v>0</v>
      </c>
      <c r="AW37" s="64">
        <f t="shared" si="63"/>
        <v>0</v>
      </c>
    </row>
    <row r="38" spans="1:49" ht="12.75">
      <c r="A38" s="7">
        <v>5</v>
      </c>
      <c r="B38" s="48">
        <v>100</v>
      </c>
      <c r="C38" s="5">
        <v>5</v>
      </c>
      <c r="D38" s="3">
        <v>3</v>
      </c>
      <c r="E38" s="36">
        <v>6</v>
      </c>
      <c r="F38" s="48">
        <v>3</v>
      </c>
      <c r="G38" s="5">
        <v>6</v>
      </c>
      <c r="H38" s="3">
        <v>1</v>
      </c>
      <c r="I38" s="36">
        <v>3</v>
      </c>
      <c r="J38" s="48">
        <v>1</v>
      </c>
      <c r="K38" s="5">
        <v>3</v>
      </c>
      <c r="L38" s="3">
        <v>1</v>
      </c>
      <c r="M38" s="36">
        <v>2</v>
      </c>
      <c r="N38" s="48">
        <v>0</v>
      </c>
      <c r="O38" s="5">
        <v>0</v>
      </c>
      <c r="P38" s="3">
        <v>0</v>
      </c>
      <c r="Q38" s="36">
        <v>0</v>
      </c>
      <c r="R38" s="48">
        <v>0</v>
      </c>
      <c r="S38" s="5">
        <v>0</v>
      </c>
      <c r="T38" s="3">
        <v>0</v>
      </c>
      <c r="U38" s="16">
        <v>0</v>
      </c>
      <c r="V38" s="48">
        <v>0</v>
      </c>
      <c r="W38" s="5">
        <v>0</v>
      </c>
      <c r="X38" s="924"/>
      <c r="AA38" s="13">
        <v>5</v>
      </c>
      <c r="AB38" s="67">
        <f t="shared" si="42"/>
        <v>25</v>
      </c>
      <c r="AC38" s="64">
        <f t="shared" si="43"/>
        <v>1</v>
      </c>
      <c r="AD38" s="65">
        <f t="shared" si="44"/>
        <v>1</v>
      </c>
      <c r="AE38" s="66">
        <f t="shared" si="45"/>
        <v>1</v>
      </c>
      <c r="AF38" s="63">
        <f t="shared" si="46"/>
        <v>1</v>
      </c>
      <c r="AG38" s="64">
        <f t="shared" si="47"/>
        <v>2</v>
      </c>
      <c r="AH38" s="65">
        <f t="shared" si="48"/>
        <v>0</v>
      </c>
      <c r="AI38" s="66">
        <f t="shared" si="49"/>
        <v>0</v>
      </c>
      <c r="AJ38" s="63">
        <f t="shared" si="50"/>
        <v>0</v>
      </c>
      <c r="AK38" s="64">
        <f t="shared" si="51"/>
        <v>0</v>
      </c>
      <c r="AL38" s="65">
        <f t="shared" si="52"/>
        <v>1</v>
      </c>
      <c r="AM38" s="66">
        <f t="shared" si="53"/>
        <v>2</v>
      </c>
      <c r="AN38" s="63">
        <f t="shared" si="54"/>
        <v>0</v>
      </c>
      <c r="AO38" s="64">
        <f t="shared" si="55"/>
        <v>0</v>
      </c>
      <c r="AP38" s="65">
        <f t="shared" si="56"/>
        <v>0</v>
      </c>
      <c r="AQ38" s="66">
        <f t="shared" si="57"/>
        <v>0</v>
      </c>
      <c r="AR38" s="63">
        <f t="shared" si="58"/>
        <v>0</v>
      </c>
      <c r="AS38" s="64">
        <f t="shared" si="59"/>
        <v>0</v>
      </c>
      <c r="AT38" s="65">
        <f t="shared" si="60"/>
        <v>0</v>
      </c>
      <c r="AU38" s="66">
        <f t="shared" si="61"/>
        <v>0</v>
      </c>
      <c r="AV38" s="63">
        <f t="shared" si="62"/>
        <v>0</v>
      </c>
      <c r="AW38" s="64">
        <f t="shared" si="63"/>
        <v>0</v>
      </c>
    </row>
    <row r="39" spans="1:49" ht="12.75">
      <c r="A39" s="7">
        <v>6</v>
      </c>
      <c r="B39" s="49">
        <v>125</v>
      </c>
      <c r="C39" s="6">
        <v>6</v>
      </c>
      <c r="D39" s="4">
        <v>3</v>
      </c>
      <c r="E39" s="34">
        <v>7</v>
      </c>
      <c r="F39" s="49">
        <v>3</v>
      </c>
      <c r="G39" s="6">
        <v>7</v>
      </c>
      <c r="H39" s="4">
        <v>2</v>
      </c>
      <c r="I39" s="34">
        <v>4</v>
      </c>
      <c r="J39" s="49">
        <v>1</v>
      </c>
      <c r="K39" s="6">
        <v>4</v>
      </c>
      <c r="L39" s="4">
        <v>2</v>
      </c>
      <c r="M39" s="34">
        <v>3</v>
      </c>
      <c r="N39" s="49">
        <v>1</v>
      </c>
      <c r="O39" s="6">
        <v>2</v>
      </c>
      <c r="P39" s="4">
        <v>0</v>
      </c>
      <c r="Q39" s="34">
        <v>0</v>
      </c>
      <c r="R39" s="49">
        <v>0</v>
      </c>
      <c r="S39" s="6">
        <v>0</v>
      </c>
      <c r="T39" s="4">
        <v>0</v>
      </c>
      <c r="U39" s="15">
        <v>0</v>
      </c>
      <c r="V39" s="49">
        <v>0</v>
      </c>
      <c r="W39" s="6">
        <v>0</v>
      </c>
      <c r="X39" s="924"/>
      <c r="AA39" s="13">
        <v>6</v>
      </c>
      <c r="AB39" s="67">
        <f t="shared" si="42"/>
        <v>25</v>
      </c>
      <c r="AC39" s="64">
        <f t="shared" si="43"/>
        <v>1</v>
      </c>
      <c r="AD39" s="65">
        <f t="shared" si="44"/>
        <v>0</v>
      </c>
      <c r="AE39" s="66">
        <f t="shared" si="45"/>
        <v>1</v>
      </c>
      <c r="AF39" s="63">
        <f t="shared" si="46"/>
        <v>0</v>
      </c>
      <c r="AG39" s="64">
        <f t="shared" si="47"/>
        <v>1</v>
      </c>
      <c r="AH39" s="65">
        <f t="shared" si="48"/>
        <v>0</v>
      </c>
      <c r="AI39" s="66">
        <f t="shared" si="49"/>
        <v>0</v>
      </c>
      <c r="AJ39" s="63">
        <f t="shared" si="50"/>
        <v>0</v>
      </c>
      <c r="AK39" s="64">
        <f t="shared" si="51"/>
        <v>0</v>
      </c>
      <c r="AL39" s="65">
        <f t="shared" si="52"/>
        <v>1</v>
      </c>
      <c r="AM39" s="66">
        <f t="shared" si="53"/>
        <v>1</v>
      </c>
      <c r="AN39" s="63">
        <f t="shared" si="54"/>
        <v>1</v>
      </c>
      <c r="AO39" s="64">
        <f t="shared" si="55"/>
        <v>2</v>
      </c>
      <c r="AP39" s="65">
        <f t="shared" si="56"/>
        <v>0</v>
      </c>
      <c r="AQ39" s="66">
        <f t="shared" si="57"/>
        <v>0</v>
      </c>
      <c r="AR39" s="63">
        <f t="shared" si="58"/>
        <v>0</v>
      </c>
      <c r="AS39" s="64">
        <f t="shared" si="59"/>
        <v>0</v>
      </c>
      <c r="AT39" s="65">
        <f t="shared" si="60"/>
        <v>0</v>
      </c>
      <c r="AU39" s="66">
        <f t="shared" si="61"/>
        <v>0</v>
      </c>
      <c r="AV39" s="63">
        <f t="shared" si="62"/>
        <v>0</v>
      </c>
      <c r="AW39" s="64">
        <f t="shared" si="63"/>
        <v>0</v>
      </c>
    </row>
    <row r="40" spans="1:49" ht="12.75">
      <c r="A40" s="7">
        <v>7</v>
      </c>
      <c r="B40" s="48">
        <v>175</v>
      </c>
      <c r="C40" s="5">
        <v>7</v>
      </c>
      <c r="D40" s="3">
        <v>5</v>
      </c>
      <c r="E40" s="36">
        <v>8</v>
      </c>
      <c r="F40" s="48">
        <v>4</v>
      </c>
      <c r="G40" s="5">
        <v>8</v>
      </c>
      <c r="H40" s="3">
        <v>3</v>
      </c>
      <c r="I40" s="36">
        <v>5</v>
      </c>
      <c r="J40" s="48">
        <v>2</v>
      </c>
      <c r="K40" s="5">
        <v>5</v>
      </c>
      <c r="L40" s="3">
        <v>2</v>
      </c>
      <c r="M40" s="36">
        <v>4</v>
      </c>
      <c r="N40" s="48">
        <v>1</v>
      </c>
      <c r="O40" s="5">
        <v>3</v>
      </c>
      <c r="P40" s="3">
        <v>2</v>
      </c>
      <c r="Q40" s="36">
        <v>3</v>
      </c>
      <c r="R40" s="48">
        <v>0</v>
      </c>
      <c r="S40" s="5">
        <v>0</v>
      </c>
      <c r="T40" s="3">
        <v>0</v>
      </c>
      <c r="U40" s="16">
        <v>0</v>
      </c>
      <c r="V40" s="48">
        <v>0</v>
      </c>
      <c r="W40" s="5">
        <v>0</v>
      </c>
      <c r="X40" s="924"/>
      <c r="AA40" s="13">
        <v>7</v>
      </c>
      <c r="AB40" s="67">
        <f t="shared" si="42"/>
        <v>50</v>
      </c>
      <c r="AC40" s="64">
        <f t="shared" si="43"/>
        <v>1</v>
      </c>
      <c r="AD40" s="65">
        <f t="shared" si="44"/>
        <v>2</v>
      </c>
      <c r="AE40" s="66">
        <f t="shared" si="45"/>
        <v>1</v>
      </c>
      <c r="AF40" s="63">
        <f t="shared" si="46"/>
        <v>1</v>
      </c>
      <c r="AG40" s="64">
        <f t="shared" si="47"/>
        <v>1</v>
      </c>
      <c r="AH40" s="65">
        <f t="shared" si="48"/>
        <v>2</v>
      </c>
      <c r="AI40" s="66">
        <f t="shared" si="49"/>
        <v>3</v>
      </c>
      <c r="AJ40" s="63">
        <f t="shared" si="50"/>
        <v>0</v>
      </c>
      <c r="AK40" s="64">
        <f t="shared" si="51"/>
        <v>0</v>
      </c>
      <c r="AL40" s="65">
        <f t="shared" si="52"/>
        <v>0</v>
      </c>
      <c r="AM40" s="66">
        <f t="shared" si="53"/>
        <v>1</v>
      </c>
      <c r="AN40" s="63">
        <f t="shared" si="54"/>
        <v>0</v>
      </c>
      <c r="AO40" s="64">
        <f t="shared" si="55"/>
        <v>1</v>
      </c>
      <c r="AP40" s="65">
        <f t="shared" si="56"/>
        <v>2</v>
      </c>
      <c r="AQ40" s="66">
        <f t="shared" si="57"/>
        <v>3</v>
      </c>
      <c r="AR40" s="63">
        <f t="shared" si="58"/>
        <v>0</v>
      </c>
      <c r="AS40" s="64">
        <f t="shared" si="59"/>
        <v>0</v>
      </c>
      <c r="AT40" s="65">
        <f t="shared" si="60"/>
        <v>0</v>
      </c>
      <c r="AU40" s="66">
        <f t="shared" si="61"/>
        <v>0</v>
      </c>
      <c r="AV40" s="63">
        <f t="shared" si="62"/>
        <v>0</v>
      </c>
      <c r="AW40" s="64">
        <f t="shared" si="63"/>
        <v>0</v>
      </c>
    </row>
    <row r="41" spans="1:49" ht="12.75">
      <c r="A41" s="7">
        <v>8</v>
      </c>
      <c r="B41" s="49">
        <v>225</v>
      </c>
      <c r="C41" s="6">
        <v>8</v>
      </c>
      <c r="D41" s="4">
        <v>5</v>
      </c>
      <c r="E41" s="34">
        <v>10</v>
      </c>
      <c r="F41" s="49">
        <v>5</v>
      </c>
      <c r="G41" s="6">
        <v>10</v>
      </c>
      <c r="H41" s="4">
        <v>4</v>
      </c>
      <c r="I41" s="34">
        <v>6</v>
      </c>
      <c r="J41" s="49">
        <v>3</v>
      </c>
      <c r="K41" s="6">
        <v>6</v>
      </c>
      <c r="L41" s="4">
        <v>3</v>
      </c>
      <c r="M41" s="34">
        <v>6</v>
      </c>
      <c r="N41" s="49">
        <v>1</v>
      </c>
      <c r="O41" s="6">
        <v>4</v>
      </c>
      <c r="P41" s="4">
        <v>3</v>
      </c>
      <c r="Q41" s="34">
        <v>6</v>
      </c>
      <c r="R41" s="49">
        <v>0</v>
      </c>
      <c r="S41" s="6">
        <v>0</v>
      </c>
      <c r="T41" s="4">
        <v>0</v>
      </c>
      <c r="U41" s="15">
        <v>0</v>
      </c>
      <c r="V41" s="49">
        <v>0</v>
      </c>
      <c r="W41" s="6">
        <v>0</v>
      </c>
      <c r="X41" s="924"/>
      <c r="AA41" s="13">
        <v>8</v>
      </c>
      <c r="AB41" s="67">
        <f t="shared" si="42"/>
        <v>50</v>
      </c>
      <c r="AC41" s="64">
        <f t="shared" si="43"/>
        <v>1</v>
      </c>
      <c r="AD41" s="65">
        <f t="shared" si="44"/>
        <v>0</v>
      </c>
      <c r="AE41" s="66">
        <f t="shared" si="45"/>
        <v>2</v>
      </c>
      <c r="AF41" s="63">
        <f t="shared" si="46"/>
        <v>1</v>
      </c>
      <c r="AG41" s="64">
        <f t="shared" si="47"/>
        <v>2</v>
      </c>
      <c r="AH41" s="65">
        <f t="shared" si="48"/>
        <v>1</v>
      </c>
      <c r="AI41" s="66">
        <f t="shared" si="49"/>
        <v>3</v>
      </c>
      <c r="AJ41" s="63">
        <f t="shared" si="50"/>
        <v>0</v>
      </c>
      <c r="AK41" s="64">
        <f t="shared" si="51"/>
        <v>0</v>
      </c>
      <c r="AL41" s="65">
        <f t="shared" si="52"/>
        <v>1</v>
      </c>
      <c r="AM41" s="66">
        <f t="shared" si="53"/>
        <v>2</v>
      </c>
      <c r="AN41" s="63">
        <f t="shared" si="54"/>
        <v>0</v>
      </c>
      <c r="AO41" s="64">
        <f t="shared" si="55"/>
        <v>1</v>
      </c>
      <c r="AP41" s="65">
        <f t="shared" si="56"/>
        <v>1</v>
      </c>
      <c r="AQ41" s="66">
        <f t="shared" si="57"/>
        <v>3</v>
      </c>
      <c r="AR41" s="63">
        <f t="shared" si="58"/>
        <v>0</v>
      </c>
      <c r="AS41" s="64">
        <f t="shared" si="59"/>
        <v>0</v>
      </c>
      <c r="AT41" s="65">
        <f t="shared" si="60"/>
        <v>0</v>
      </c>
      <c r="AU41" s="66">
        <f t="shared" si="61"/>
        <v>0</v>
      </c>
      <c r="AV41" s="63">
        <f t="shared" si="62"/>
        <v>0</v>
      </c>
      <c r="AW41" s="64">
        <f t="shared" si="63"/>
        <v>0</v>
      </c>
    </row>
    <row r="42" spans="1:49" ht="12.75">
      <c r="A42" s="7">
        <v>9</v>
      </c>
      <c r="B42" s="48">
        <v>250</v>
      </c>
      <c r="C42" s="5">
        <v>10</v>
      </c>
      <c r="D42" s="3">
        <v>5</v>
      </c>
      <c r="E42" s="36">
        <v>11</v>
      </c>
      <c r="F42" s="48">
        <v>6</v>
      </c>
      <c r="G42" s="5">
        <v>11</v>
      </c>
      <c r="H42" s="3">
        <v>4</v>
      </c>
      <c r="I42" s="36">
        <v>7</v>
      </c>
      <c r="J42" s="48">
        <v>4</v>
      </c>
      <c r="K42" s="5">
        <v>7</v>
      </c>
      <c r="L42" s="3">
        <v>4</v>
      </c>
      <c r="M42" s="36">
        <v>7</v>
      </c>
      <c r="N42" s="48">
        <v>2</v>
      </c>
      <c r="O42" s="5">
        <v>5</v>
      </c>
      <c r="P42" s="3">
        <v>4</v>
      </c>
      <c r="Q42" s="36">
        <v>7</v>
      </c>
      <c r="R42" s="48">
        <v>2</v>
      </c>
      <c r="S42" s="5">
        <v>3</v>
      </c>
      <c r="T42" s="3">
        <v>0</v>
      </c>
      <c r="U42" s="16">
        <v>0</v>
      </c>
      <c r="V42" s="48">
        <v>0</v>
      </c>
      <c r="W42" s="5">
        <v>0</v>
      </c>
      <c r="X42" s="924"/>
      <c r="AA42" s="13">
        <v>9</v>
      </c>
      <c r="AB42" s="67">
        <f t="shared" si="42"/>
        <v>25</v>
      </c>
      <c r="AC42" s="64">
        <f t="shared" si="43"/>
        <v>2</v>
      </c>
      <c r="AD42" s="65">
        <f t="shared" si="44"/>
        <v>0</v>
      </c>
      <c r="AE42" s="66">
        <f t="shared" si="45"/>
        <v>1</v>
      </c>
      <c r="AF42" s="63">
        <f t="shared" si="46"/>
        <v>1</v>
      </c>
      <c r="AG42" s="64">
        <f t="shared" si="47"/>
        <v>1</v>
      </c>
      <c r="AH42" s="65">
        <f t="shared" si="48"/>
        <v>1</v>
      </c>
      <c r="AI42" s="66">
        <f t="shared" si="49"/>
        <v>1</v>
      </c>
      <c r="AJ42" s="63">
        <f t="shared" si="50"/>
        <v>2</v>
      </c>
      <c r="AK42" s="64">
        <f t="shared" si="51"/>
        <v>3</v>
      </c>
      <c r="AL42" s="65">
        <f t="shared" si="52"/>
        <v>1</v>
      </c>
      <c r="AM42" s="66">
        <f t="shared" si="53"/>
        <v>1</v>
      </c>
      <c r="AN42" s="63">
        <f t="shared" si="54"/>
        <v>1</v>
      </c>
      <c r="AO42" s="64">
        <f t="shared" si="55"/>
        <v>1</v>
      </c>
      <c r="AP42" s="65">
        <f t="shared" si="56"/>
        <v>1</v>
      </c>
      <c r="AQ42" s="66">
        <f t="shared" si="57"/>
        <v>1</v>
      </c>
      <c r="AR42" s="63">
        <f t="shared" si="58"/>
        <v>2</v>
      </c>
      <c r="AS42" s="64">
        <f t="shared" si="59"/>
        <v>3</v>
      </c>
      <c r="AT42" s="65">
        <f t="shared" si="60"/>
        <v>0</v>
      </c>
      <c r="AU42" s="66">
        <f t="shared" si="61"/>
        <v>0</v>
      </c>
      <c r="AV42" s="63">
        <f t="shared" si="62"/>
        <v>0</v>
      </c>
      <c r="AW42" s="64">
        <f t="shared" si="63"/>
        <v>0</v>
      </c>
    </row>
    <row r="43" spans="1:49" ht="12.75">
      <c r="A43" s="7">
        <v>10</v>
      </c>
      <c r="B43" s="49">
        <v>275</v>
      </c>
      <c r="C43" s="6">
        <v>11</v>
      </c>
      <c r="D43" s="4">
        <v>6</v>
      </c>
      <c r="E43" s="34">
        <v>13</v>
      </c>
      <c r="F43" s="49">
        <v>7</v>
      </c>
      <c r="G43" s="6">
        <v>13</v>
      </c>
      <c r="H43" s="4">
        <v>4</v>
      </c>
      <c r="I43" s="34">
        <v>8</v>
      </c>
      <c r="J43" s="49">
        <v>4</v>
      </c>
      <c r="K43" s="6">
        <v>8</v>
      </c>
      <c r="L43" s="4">
        <v>4</v>
      </c>
      <c r="M43" s="34">
        <v>8</v>
      </c>
      <c r="N43" s="49">
        <v>2</v>
      </c>
      <c r="O43" s="6">
        <v>6</v>
      </c>
      <c r="P43" s="4">
        <v>4</v>
      </c>
      <c r="Q43" s="34">
        <v>8</v>
      </c>
      <c r="R43" s="49">
        <v>3</v>
      </c>
      <c r="S43" s="6">
        <v>4</v>
      </c>
      <c r="T43" s="4">
        <v>2</v>
      </c>
      <c r="U43" s="15">
        <v>3</v>
      </c>
      <c r="V43" s="49">
        <v>0</v>
      </c>
      <c r="W43" s="6">
        <v>0</v>
      </c>
      <c r="X43" s="924"/>
      <c r="AA43" s="13">
        <v>10</v>
      </c>
      <c r="AB43" s="67">
        <f t="shared" si="42"/>
        <v>25</v>
      </c>
      <c r="AC43" s="64">
        <f t="shared" si="43"/>
        <v>1</v>
      </c>
      <c r="AD43" s="65">
        <f t="shared" si="44"/>
        <v>1</v>
      </c>
      <c r="AE43" s="66">
        <f t="shared" si="45"/>
        <v>2</v>
      </c>
      <c r="AF43" s="63">
        <f t="shared" si="46"/>
        <v>1</v>
      </c>
      <c r="AG43" s="64">
        <f t="shared" si="47"/>
        <v>2</v>
      </c>
      <c r="AH43" s="65">
        <f t="shared" si="48"/>
        <v>0</v>
      </c>
      <c r="AI43" s="66">
        <f t="shared" si="49"/>
        <v>1</v>
      </c>
      <c r="AJ43" s="63">
        <f t="shared" si="50"/>
        <v>1</v>
      </c>
      <c r="AK43" s="64">
        <f t="shared" si="51"/>
        <v>1</v>
      </c>
      <c r="AL43" s="65">
        <f t="shared" si="52"/>
        <v>0</v>
      </c>
      <c r="AM43" s="66">
        <f t="shared" si="53"/>
        <v>1</v>
      </c>
      <c r="AN43" s="63">
        <f t="shared" si="54"/>
        <v>0</v>
      </c>
      <c r="AO43" s="64">
        <f t="shared" si="55"/>
        <v>1</v>
      </c>
      <c r="AP43" s="65">
        <f t="shared" si="56"/>
        <v>0</v>
      </c>
      <c r="AQ43" s="66">
        <f t="shared" si="57"/>
        <v>1</v>
      </c>
      <c r="AR43" s="63">
        <f t="shared" si="58"/>
        <v>1</v>
      </c>
      <c r="AS43" s="64">
        <f t="shared" si="59"/>
        <v>1</v>
      </c>
      <c r="AT43" s="65">
        <f t="shared" si="60"/>
        <v>2</v>
      </c>
      <c r="AU43" s="66">
        <f t="shared" si="61"/>
        <v>3</v>
      </c>
      <c r="AV43" s="63">
        <f t="shared" si="62"/>
        <v>0</v>
      </c>
      <c r="AW43" s="64">
        <f t="shared" si="63"/>
        <v>0</v>
      </c>
    </row>
    <row r="44" spans="1:49" ht="12.75">
      <c r="A44" s="188">
        <v>11</v>
      </c>
      <c r="B44" s="918">
        <v>275</v>
      </c>
      <c r="C44" s="20">
        <v>11</v>
      </c>
      <c r="D44" s="21">
        <v>7</v>
      </c>
      <c r="E44" s="37">
        <v>13</v>
      </c>
      <c r="F44" s="918">
        <v>8</v>
      </c>
      <c r="G44" s="20">
        <v>13</v>
      </c>
      <c r="H44" s="21">
        <v>4</v>
      </c>
      <c r="I44" s="37">
        <v>8</v>
      </c>
      <c r="J44" s="918">
        <v>4</v>
      </c>
      <c r="K44" s="20">
        <v>8</v>
      </c>
      <c r="L44" s="21">
        <v>5</v>
      </c>
      <c r="M44" s="37">
        <v>9</v>
      </c>
      <c r="N44" s="918">
        <v>2</v>
      </c>
      <c r="O44" s="20">
        <v>6</v>
      </c>
      <c r="P44" s="21">
        <v>4</v>
      </c>
      <c r="Q44" s="37">
        <v>8</v>
      </c>
      <c r="R44" s="918">
        <v>4</v>
      </c>
      <c r="S44" s="20">
        <v>4</v>
      </c>
      <c r="T44" s="21">
        <v>2</v>
      </c>
      <c r="U44" s="23">
        <v>3</v>
      </c>
      <c r="V44" s="918">
        <v>1</v>
      </c>
      <c r="W44" s="20">
        <v>2</v>
      </c>
      <c r="X44" s="924"/>
      <c r="AA44" s="19">
        <v>11</v>
      </c>
      <c r="AB44" s="919">
        <f t="shared" si="42"/>
        <v>0</v>
      </c>
      <c r="AC44" s="920">
        <f t="shared" si="43"/>
        <v>0</v>
      </c>
      <c r="AD44" s="921">
        <f t="shared" si="44"/>
        <v>1</v>
      </c>
      <c r="AE44" s="922">
        <f t="shared" si="45"/>
        <v>0</v>
      </c>
      <c r="AF44" s="923">
        <f t="shared" si="46"/>
        <v>1</v>
      </c>
      <c r="AG44" s="920">
        <f t="shared" si="47"/>
        <v>0</v>
      </c>
      <c r="AH44" s="921">
        <f t="shared" si="48"/>
        <v>0</v>
      </c>
      <c r="AI44" s="922">
        <f t="shared" si="49"/>
        <v>0</v>
      </c>
      <c r="AJ44" s="923">
        <f t="shared" si="50"/>
        <v>1</v>
      </c>
      <c r="AK44" s="920">
        <f t="shared" si="51"/>
        <v>0</v>
      </c>
      <c r="AL44" s="921">
        <f t="shared" si="52"/>
        <v>1</v>
      </c>
      <c r="AM44" s="922">
        <f t="shared" si="53"/>
        <v>1</v>
      </c>
      <c r="AN44" s="923">
        <f t="shared" si="54"/>
        <v>0</v>
      </c>
      <c r="AO44" s="920">
        <f t="shared" si="55"/>
        <v>0</v>
      </c>
      <c r="AP44" s="921">
        <f t="shared" si="56"/>
        <v>0</v>
      </c>
      <c r="AQ44" s="922">
        <f t="shared" si="57"/>
        <v>0</v>
      </c>
      <c r="AR44" s="923">
        <f t="shared" si="58"/>
        <v>1</v>
      </c>
      <c r="AS44" s="920">
        <f t="shared" si="59"/>
        <v>0</v>
      </c>
      <c r="AT44" s="65">
        <f t="shared" si="60"/>
        <v>0</v>
      </c>
      <c r="AU44" s="66">
        <f t="shared" si="61"/>
        <v>0</v>
      </c>
      <c r="AV44" s="63">
        <f t="shared" si="62"/>
        <v>1</v>
      </c>
      <c r="AW44" s="64">
        <f t="shared" si="63"/>
        <v>2</v>
      </c>
    </row>
    <row r="45" spans="1:49">
      <c r="P45" s="142"/>
      <c r="Q45" s="142"/>
      <c r="R45" s="142"/>
      <c r="AF45" s="563"/>
      <c r="AG45" s="563"/>
    </row>
    <row r="46" spans="1:49" ht="19.5" thickBot="1">
      <c r="A46" s="1030" t="s">
        <v>365</v>
      </c>
      <c r="B46" s="1031"/>
      <c r="C46" s="1031"/>
      <c r="D46" s="1031"/>
      <c r="E46" s="1031"/>
      <c r="F46" s="1031"/>
      <c r="G46" s="1031"/>
      <c r="H46" s="1031"/>
      <c r="I46" s="1031"/>
      <c r="J46" s="1031"/>
      <c r="K46" s="1031"/>
      <c r="L46" s="1031"/>
      <c r="M46" s="1031"/>
      <c r="O46" s="1027" t="s">
        <v>367</v>
      </c>
      <c r="P46" s="1028"/>
      <c r="Q46" s="1028"/>
      <c r="R46" s="1028"/>
      <c r="S46" s="1028"/>
      <c r="T46" s="1028"/>
      <c r="U46" s="1028"/>
      <c r="V46" s="1028"/>
      <c r="W46" s="1028"/>
      <c r="X46" s="1028"/>
      <c r="Y46" s="1028"/>
      <c r="Z46" s="1028"/>
      <c r="AA46" s="1028"/>
    </row>
    <row r="47" spans="1:49" ht="34.5" thickBot="1">
      <c r="A47" s="765" t="s">
        <v>291</v>
      </c>
      <c r="B47" s="760" t="s">
        <v>561</v>
      </c>
      <c r="C47" s="673" t="s">
        <v>553</v>
      </c>
      <c r="D47" s="759" t="s">
        <v>559</v>
      </c>
      <c r="E47" s="673" t="s">
        <v>554</v>
      </c>
      <c r="F47" s="759" t="s">
        <v>558</v>
      </c>
      <c r="G47" s="673" t="s">
        <v>555</v>
      </c>
      <c r="H47" s="759" t="s">
        <v>560</v>
      </c>
      <c r="I47" s="673" t="s">
        <v>556</v>
      </c>
      <c r="J47" s="759" t="s">
        <v>562</v>
      </c>
      <c r="K47" s="673" t="s">
        <v>557</v>
      </c>
      <c r="L47" s="759" t="s">
        <v>564</v>
      </c>
      <c r="M47" s="677" t="s">
        <v>563</v>
      </c>
      <c r="O47" s="765" t="s">
        <v>291</v>
      </c>
      <c r="P47" s="486" t="s">
        <v>561</v>
      </c>
      <c r="Q47" s="562" t="s">
        <v>15</v>
      </c>
      <c r="R47" s="559" t="s">
        <v>559</v>
      </c>
      <c r="S47" s="562" t="s">
        <v>21</v>
      </c>
      <c r="T47" s="559" t="s">
        <v>558</v>
      </c>
      <c r="U47" s="562" t="s">
        <v>22</v>
      </c>
      <c r="V47" s="768" t="s">
        <v>560</v>
      </c>
      <c r="W47" s="560" t="s">
        <v>593</v>
      </c>
      <c r="X47" s="559" t="s">
        <v>562</v>
      </c>
      <c r="Y47" s="562" t="s">
        <v>23</v>
      </c>
      <c r="Z47" s="559" t="s">
        <v>564</v>
      </c>
      <c r="AA47" s="562" t="s">
        <v>24</v>
      </c>
    </row>
    <row r="48" spans="1:49">
      <c r="A48" s="51">
        <v>0</v>
      </c>
      <c r="B48" s="664">
        <v>0</v>
      </c>
      <c r="C48" s="38">
        <v>0</v>
      </c>
      <c r="D48" s="39">
        <v>0</v>
      </c>
      <c r="E48" s="40">
        <v>0</v>
      </c>
      <c r="F48" s="47">
        <v>0</v>
      </c>
      <c r="G48" s="38">
        <v>0</v>
      </c>
      <c r="H48" s="39">
        <v>0</v>
      </c>
      <c r="I48" s="40">
        <v>0</v>
      </c>
      <c r="J48" s="47">
        <v>0</v>
      </c>
      <c r="K48" s="38">
        <v>0</v>
      </c>
      <c r="L48" s="39">
        <v>0</v>
      </c>
      <c r="M48" s="665">
        <v>0</v>
      </c>
      <c r="O48" s="51">
        <v>0</v>
      </c>
      <c r="P48" s="656">
        <f t="shared" ref="P48:AA48" si="64">B48</f>
        <v>0</v>
      </c>
      <c r="Q48" s="27">
        <f t="shared" si="64"/>
        <v>0</v>
      </c>
      <c r="R48" s="556">
        <f t="shared" si="64"/>
        <v>0</v>
      </c>
      <c r="S48" s="29">
        <f t="shared" si="64"/>
        <v>0</v>
      </c>
      <c r="T48" s="557">
        <f t="shared" si="64"/>
        <v>0</v>
      </c>
      <c r="U48" s="27">
        <f t="shared" si="64"/>
        <v>0</v>
      </c>
      <c r="V48" s="556">
        <f t="shared" si="64"/>
        <v>0</v>
      </c>
      <c r="W48" s="29">
        <f t="shared" si="64"/>
        <v>0</v>
      </c>
      <c r="X48" s="557">
        <f t="shared" si="64"/>
        <v>0</v>
      </c>
      <c r="Y48" s="27">
        <f t="shared" si="64"/>
        <v>0</v>
      </c>
      <c r="Z48" s="556">
        <f t="shared" si="64"/>
        <v>0</v>
      </c>
      <c r="AA48" s="669">
        <f t="shared" si="64"/>
        <v>0</v>
      </c>
    </row>
    <row r="49" spans="1:33">
      <c r="A49" s="7">
        <v>1</v>
      </c>
      <c r="B49" s="457">
        <v>0</v>
      </c>
      <c r="C49" s="5">
        <v>0</v>
      </c>
      <c r="D49" s="3">
        <v>0</v>
      </c>
      <c r="E49" s="36">
        <v>0</v>
      </c>
      <c r="F49" s="48">
        <v>0</v>
      </c>
      <c r="G49" s="5">
        <v>0</v>
      </c>
      <c r="H49" s="3">
        <v>0</v>
      </c>
      <c r="I49" s="36">
        <v>0</v>
      </c>
      <c r="J49" s="48">
        <v>0</v>
      </c>
      <c r="K49" s="5">
        <v>0</v>
      </c>
      <c r="L49" s="3">
        <v>0</v>
      </c>
      <c r="M49" s="666">
        <v>0</v>
      </c>
      <c r="O49" s="7">
        <v>1</v>
      </c>
      <c r="P49" s="67">
        <f t="shared" ref="P49:P58" si="65">B49-B48</f>
        <v>0</v>
      </c>
      <c r="Q49" s="64">
        <f t="shared" ref="Q49:Q58" si="66">C49-C48</f>
        <v>0</v>
      </c>
      <c r="R49" s="65">
        <f t="shared" ref="R49:R58" si="67">D49-D48</f>
        <v>0</v>
      </c>
      <c r="S49" s="66">
        <f t="shared" ref="S49:S58" si="68">E49-E48</f>
        <v>0</v>
      </c>
      <c r="T49" s="63">
        <f t="shared" ref="T49:T58" si="69">F49-F48</f>
        <v>0</v>
      </c>
      <c r="U49" s="64">
        <f t="shared" ref="U49:U58" si="70">G49-G48</f>
        <v>0</v>
      </c>
      <c r="V49" s="65">
        <f t="shared" ref="V49:V58" si="71">H49-H48</f>
        <v>0</v>
      </c>
      <c r="W49" s="66">
        <f t="shared" ref="W49:W58" si="72">I49-I48</f>
        <v>0</v>
      </c>
      <c r="X49" s="63">
        <f t="shared" ref="X49:X58" si="73">J49-J48</f>
        <v>0</v>
      </c>
      <c r="Y49" s="64">
        <f t="shared" ref="Y49:Y58" si="74">K49-K48</f>
        <v>0</v>
      </c>
      <c r="Z49" s="65">
        <f t="shared" ref="Z49:Z58" si="75">L49-L48</f>
        <v>0</v>
      </c>
      <c r="AA49" s="68">
        <f t="shared" ref="AA49:AA58" si="76">M49-M48</f>
        <v>0</v>
      </c>
    </row>
    <row r="50" spans="1:33">
      <c r="A50" s="7">
        <v>2</v>
      </c>
      <c r="B50" s="456">
        <v>0</v>
      </c>
      <c r="C50" s="6">
        <v>0</v>
      </c>
      <c r="D50" s="4">
        <v>0</v>
      </c>
      <c r="E50" s="34">
        <v>0</v>
      </c>
      <c r="F50" s="49">
        <v>0</v>
      </c>
      <c r="G50" s="6">
        <v>0</v>
      </c>
      <c r="H50" s="4">
        <v>0</v>
      </c>
      <c r="I50" s="34">
        <v>0</v>
      </c>
      <c r="J50" s="49">
        <v>0</v>
      </c>
      <c r="K50" s="6">
        <v>0</v>
      </c>
      <c r="L50" s="4">
        <v>0</v>
      </c>
      <c r="M50" s="667">
        <v>0</v>
      </c>
      <c r="O50" s="7">
        <v>2</v>
      </c>
      <c r="P50" s="67">
        <f t="shared" si="65"/>
        <v>0</v>
      </c>
      <c r="Q50" s="64">
        <f t="shared" si="66"/>
        <v>0</v>
      </c>
      <c r="R50" s="65">
        <f t="shared" si="67"/>
        <v>0</v>
      </c>
      <c r="S50" s="66">
        <f t="shared" si="68"/>
        <v>0</v>
      </c>
      <c r="T50" s="63">
        <f t="shared" si="69"/>
        <v>0</v>
      </c>
      <c r="U50" s="64">
        <f t="shared" si="70"/>
        <v>0</v>
      </c>
      <c r="V50" s="65">
        <f t="shared" si="71"/>
        <v>0</v>
      </c>
      <c r="W50" s="66">
        <f t="shared" si="72"/>
        <v>0</v>
      </c>
      <c r="X50" s="63">
        <f t="shared" si="73"/>
        <v>0</v>
      </c>
      <c r="Y50" s="64">
        <f t="shared" si="74"/>
        <v>0</v>
      </c>
      <c r="Z50" s="65">
        <f t="shared" si="75"/>
        <v>0</v>
      </c>
      <c r="AA50" s="68">
        <f t="shared" si="76"/>
        <v>0</v>
      </c>
    </row>
    <row r="51" spans="1:33">
      <c r="A51" s="7">
        <v>3</v>
      </c>
      <c r="B51" s="457">
        <v>2</v>
      </c>
      <c r="C51" s="5">
        <v>2</v>
      </c>
      <c r="D51" s="3">
        <v>0</v>
      </c>
      <c r="E51" s="36">
        <v>0</v>
      </c>
      <c r="F51" s="48">
        <v>0</v>
      </c>
      <c r="G51" s="5">
        <v>0</v>
      </c>
      <c r="H51" s="3">
        <v>0</v>
      </c>
      <c r="I51" s="36">
        <v>0</v>
      </c>
      <c r="J51" s="48">
        <v>0</v>
      </c>
      <c r="K51" s="5">
        <v>0</v>
      </c>
      <c r="L51" s="3">
        <v>0</v>
      </c>
      <c r="M51" s="666">
        <v>0</v>
      </c>
      <c r="O51" s="7">
        <v>3</v>
      </c>
      <c r="P51" s="67">
        <f t="shared" si="65"/>
        <v>2</v>
      </c>
      <c r="Q51" s="64">
        <f t="shared" si="66"/>
        <v>2</v>
      </c>
      <c r="R51" s="65">
        <f t="shared" si="67"/>
        <v>0</v>
      </c>
      <c r="S51" s="66">
        <f t="shared" si="68"/>
        <v>0</v>
      </c>
      <c r="T51" s="63">
        <f t="shared" si="69"/>
        <v>0</v>
      </c>
      <c r="U51" s="64">
        <f t="shared" si="70"/>
        <v>0</v>
      </c>
      <c r="V51" s="65">
        <f t="shared" si="71"/>
        <v>0</v>
      </c>
      <c r="W51" s="66">
        <f t="shared" si="72"/>
        <v>0</v>
      </c>
      <c r="X51" s="63">
        <f t="shared" si="73"/>
        <v>0</v>
      </c>
      <c r="Y51" s="64">
        <f t="shared" si="74"/>
        <v>0</v>
      </c>
      <c r="Z51" s="65">
        <f t="shared" si="75"/>
        <v>0</v>
      </c>
      <c r="AA51" s="68">
        <f t="shared" si="76"/>
        <v>0</v>
      </c>
    </row>
    <row r="52" spans="1:33">
      <c r="A52" s="7">
        <v>4</v>
      </c>
      <c r="B52" s="456">
        <v>2</v>
      </c>
      <c r="C52" s="6">
        <v>2</v>
      </c>
      <c r="D52" s="4">
        <v>2</v>
      </c>
      <c r="E52" s="34">
        <v>1</v>
      </c>
      <c r="F52" s="49">
        <v>0</v>
      </c>
      <c r="G52" s="6">
        <v>0</v>
      </c>
      <c r="H52" s="4">
        <v>0</v>
      </c>
      <c r="I52" s="34">
        <v>0</v>
      </c>
      <c r="J52" s="49">
        <v>0</v>
      </c>
      <c r="K52" s="6">
        <v>0</v>
      </c>
      <c r="L52" s="4">
        <v>0</v>
      </c>
      <c r="M52" s="667">
        <v>0</v>
      </c>
      <c r="O52" s="7">
        <v>4</v>
      </c>
      <c r="P52" s="67">
        <f t="shared" si="65"/>
        <v>0</v>
      </c>
      <c r="Q52" s="64">
        <f t="shared" si="66"/>
        <v>0</v>
      </c>
      <c r="R52" s="65">
        <f t="shared" si="67"/>
        <v>2</v>
      </c>
      <c r="S52" s="66">
        <f t="shared" si="68"/>
        <v>1</v>
      </c>
      <c r="T52" s="63">
        <f t="shared" si="69"/>
        <v>0</v>
      </c>
      <c r="U52" s="64">
        <f t="shared" si="70"/>
        <v>0</v>
      </c>
      <c r="V52" s="65">
        <f t="shared" si="71"/>
        <v>0</v>
      </c>
      <c r="W52" s="66">
        <f t="shared" si="72"/>
        <v>0</v>
      </c>
      <c r="X52" s="63">
        <f t="shared" si="73"/>
        <v>0</v>
      </c>
      <c r="Y52" s="64">
        <f t="shared" si="74"/>
        <v>0</v>
      </c>
      <c r="Z52" s="65">
        <f t="shared" si="75"/>
        <v>0</v>
      </c>
      <c r="AA52" s="68">
        <f t="shared" si="76"/>
        <v>0</v>
      </c>
    </row>
    <row r="53" spans="1:33">
      <c r="A53" s="7">
        <v>5</v>
      </c>
      <c r="B53" s="457">
        <v>4</v>
      </c>
      <c r="C53" s="5">
        <v>3</v>
      </c>
      <c r="D53" s="3">
        <v>2</v>
      </c>
      <c r="E53" s="36">
        <v>1</v>
      </c>
      <c r="F53" s="48">
        <v>0</v>
      </c>
      <c r="G53" s="5">
        <v>0</v>
      </c>
      <c r="H53" s="3">
        <v>2</v>
      </c>
      <c r="I53" s="36">
        <v>2</v>
      </c>
      <c r="J53" s="48">
        <v>0</v>
      </c>
      <c r="K53" s="5">
        <v>0</v>
      </c>
      <c r="L53" s="3">
        <v>0</v>
      </c>
      <c r="M53" s="666">
        <v>0</v>
      </c>
      <c r="O53" s="7">
        <v>5</v>
      </c>
      <c r="P53" s="67">
        <f t="shared" si="65"/>
        <v>2</v>
      </c>
      <c r="Q53" s="64">
        <f t="shared" si="66"/>
        <v>1</v>
      </c>
      <c r="R53" s="65">
        <f t="shared" si="67"/>
        <v>0</v>
      </c>
      <c r="S53" s="66">
        <f t="shared" si="68"/>
        <v>0</v>
      </c>
      <c r="T53" s="63">
        <f t="shared" si="69"/>
        <v>0</v>
      </c>
      <c r="U53" s="64">
        <f t="shared" si="70"/>
        <v>0</v>
      </c>
      <c r="V53" s="65">
        <f t="shared" si="71"/>
        <v>2</v>
      </c>
      <c r="W53" s="66">
        <f t="shared" si="72"/>
        <v>2</v>
      </c>
      <c r="X53" s="63">
        <f t="shared" si="73"/>
        <v>0</v>
      </c>
      <c r="Y53" s="64">
        <f t="shared" si="74"/>
        <v>0</v>
      </c>
      <c r="Z53" s="65">
        <f t="shared" si="75"/>
        <v>0</v>
      </c>
      <c r="AA53" s="68">
        <f t="shared" si="76"/>
        <v>0</v>
      </c>
    </row>
    <row r="54" spans="1:33">
      <c r="A54" s="7">
        <v>6</v>
      </c>
      <c r="B54" s="456">
        <v>4</v>
      </c>
      <c r="C54" s="6">
        <v>3</v>
      </c>
      <c r="D54" s="4">
        <v>4</v>
      </c>
      <c r="E54" s="34">
        <v>1</v>
      </c>
      <c r="F54" s="49">
        <v>1</v>
      </c>
      <c r="G54" s="6">
        <v>2</v>
      </c>
      <c r="H54" s="4">
        <v>2</v>
      </c>
      <c r="I54" s="34">
        <v>2</v>
      </c>
      <c r="J54" s="49">
        <v>0</v>
      </c>
      <c r="K54" s="6">
        <v>0</v>
      </c>
      <c r="L54" s="4">
        <v>0</v>
      </c>
      <c r="M54" s="667">
        <v>0</v>
      </c>
      <c r="O54" s="7">
        <v>6</v>
      </c>
      <c r="P54" s="67">
        <f t="shared" si="65"/>
        <v>0</v>
      </c>
      <c r="Q54" s="64">
        <f t="shared" si="66"/>
        <v>0</v>
      </c>
      <c r="R54" s="65">
        <f t="shared" si="67"/>
        <v>2</v>
      </c>
      <c r="S54" s="66">
        <f t="shared" si="68"/>
        <v>0</v>
      </c>
      <c r="T54" s="63">
        <f t="shared" si="69"/>
        <v>1</v>
      </c>
      <c r="U54" s="64">
        <f t="shared" si="70"/>
        <v>2</v>
      </c>
      <c r="V54" s="65">
        <f t="shared" si="71"/>
        <v>0</v>
      </c>
      <c r="W54" s="66">
        <f t="shared" si="72"/>
        <v>0</v>
      </c>
      <c r="X54" s="63">
        <f t="shared" si="73"/>
        <v>0</v>
      </c>
      <c r="Y54" s="64">
        <f t="shared" si="74"/>
        <v>0</v>
      </c>
      <c r="Z54" s="65">
        <f t="shared" si="75"/>
        <v>0</v>
      </c>
      <c r="AA54" s="68">
        <f t="shared" si="76"/>
        <v>0</v>
      </c>
    </row>
    <row r="55" spans="1:33">
      <c r="A55" s="7">
        <v>7</v>
      </c>
      <c r="B55" s="457">
        <v>6</v>
      </c>
      <c r="C55" s="5">
        <v>4</v>
      </c>
      <c r="D55" s="3">
        <v>4</v>
      </c>
      <c r="E55" s="36">
        <v>1</v>
      </c>
      <c r="F55" s="48">
        <v>2</v>
      </c>
      <c r="G55" s="5">
        <v>2</v>
      </c>
      <c r="H55" s="3">
        <v>2</v>
      </c>
      <c r="I55" s="36">
        <v>3</v>
      </c>
      <c r="J55" s="48">
        <v>1</v>
      </c>
      <c r="K55" s="5">
        <v>1</v>
      </c>
      <c r="L55" s="3">
        <v>0</v>
      </c>
      <c r="M55" s="666">
        <v>0</v>
      </c>
      <c r="O55" s="7">
        <v>7</v>
      </c>
      <c r="P55" s="67">
        <f t="shared" si="65"/>
        <v>2</v>
      </c>
      <c r="Q55" s="64">
        <f t="shared" si="66"/>
        <v>1</v>
      </c>
      <c r="R55" s="65">
        <f t="shared" si="67"/>
        <v>0</v>
      </c>
      <c r="S55" s="66">
        <f t="shared" si="68"/>
        <v>0</v>
      </c>
      <c r="T55" s="63">
        <f t="shared" si="69"/>
        <v>1</v>
      </c>
      <c r="U55" s="64">
        <f t="shared" si="70"/>
        <v>0</v>
      </c>
      <c r="V55" s="65">
        <f t="shared" si="71"/>
        <v>0</v>
      </c>
      <c r="W55" s="66">
        <f t="shared" si="72"/>
        <v>1</v>
      </c>
      <c r="X55" s="63">
        <f t="shared" si="73"/>
        <v>1</v>
      </c>
      <c r="Y55" s="64">
        <f t="shared" si="74"/>
        <v>1</v>
      </c>
      <c r="Z55" s="65">
        <f t="shared" si="75"/>
        <v>0</v>
      </c>
      <c r="AA55" s="68">
        <f t="shared" si="76"/>
        <v>0</v>
      </c>
    </row>
    <row r="56" spans="1:33">
      <c r="A56" s="7">
        <v>8</v>
      </c>
      <c r="B56" s="456">
        <v>6</v>
      </c>
      <c r="C56" s="6">
        <v>5</v>
      </c>
      <c r="D56" s="4">
        <v>6</v>
      </c>
      <c r="E56" s="34">
        <v>1</v>
      </c>
      <c r="F56" s="49">
        <v>3</v>
      </c>
      <c r="G56" s="6">
        <v>3</v>
      </c>
      <c r="H56" s="4">
        <v>4</v>
      </c>
      <c r="I56" s="34">
        <v>3</v>
      </c>
      <c r="J56" s="49">
        <v>2</v>
      </c>
      <c r="K56" s="6">
        <v>1</v>
      </c>
      <c r="L56" s="4">
        <v>2</v>
      </c>
      <c r="M56" s="667">
        <v>2</v>
      </c>
      <c r="O56" s="7">
        <v>8</v>
      </c>
      <c r="P56" s="67">
        <f t="shared" si="65"/>
        <v>0</v>
      </c>
      <c r="Q56" s="64">
        <f t="shared" si="66"/>
        <v>1</v>
      </c>
      <c r="R56" s="65">
        <f t="shared" si="67"/>
        <v>2</v>
      </c>
      <c r="S56" s="66">
        <f t="shared" si="68"/>
        <v>0</v>
      </c>
      <c r="T56" s="63">
        <f t="shared" si="69"/>
        <v>1</v>
      </c>
      <c r="U56" s="64">
        <f t="shared" si="70"/>
        <v>1</v>
      </c>
      <c r="V56" s="65">
        <f t="shared" si="71"/>
        <v>2</v>
      </c>
      <c r="W56" s="66">
        <f t="shared" si="72"/>
        <v>0</v>
      </c>
      <c r="X56" s="63">
        <f t="shared" si="73"/>
        <v>1</v>
      </c>
      <c r="Y56" s="64">
        <f t="shared" si="74"/>
        <v>0</v>
      </c>
      <c r="Z56" s="65">
        <f t="shared" si="75"/>
        <v>2</v>
      </c>
      <c r="AA56" s="68">
        <f t="shared" si="76"/>
        <v>2</v>
      </c>
    </row>
    <row r="57" spans="1:33">
      <c r="A57" s="7">
        <v>9</v>
      </c>
      <c r="B57" s="457">
        <v>6</v>
      </c>
      <c r="C57" s="5">
        <v>6</v>
      </c>
      <c r="D57" s="3">
        <v>6</v>
      </c>
      <c r="E57" s="36">
        <v>1</v>
      </c>
      <c r="F57" s="48">
        <v>4</v>
      </c>
      <c r="G57" s="5">
        <v>3</v>
      </c>
      <c r="H57" s="3">
        <v>4</v>
      </c>
      <c r="I57" s="36">
        <v>4</v>
      </c>
      <c r="J57" s="48">
        <v>4</v>
      </c>
      <c r="K57" s="5">
        <v>2</v>
      </c>
      <c r="L57" s="3">
        <v>2</v>
      </c>
      <c r="M57" s="666">
        <v>3</v>
      </c>
      <c r="O57" s="7">
        <v>9</v>
      </c>
      <c r="P57" s="67">
        <f t="shared" si="65"/>
        <v>0</v>
      </c>
      <c r="Q57" s="64">
        <f t="shared" si="66"/>
        <v>1</v>
      </c>
      <c r="R57" s="65">
        <f t="shared" si="67"/>
        <v>0</v>
      </c>
      <c r="S57" s="66">
        <f t="shared" si="68"/>
        <v>0</v>
      </c>
      <c r="T57" s="63">
        <f t="shared" si="69"/>
        <v>1</v>
      </c>
      <c r="U57" s="64">
        <f t="shared" si="70"/>
        <v>0</v>
      </c>
      <c r="V57" s="65">
        <f t="shared" si="71"/>
        <v>0</v>
      </c>
      <c r="W57" s="66">
        <f t="shared" si="72"/>
        <v>1</v>
      </c>
      <c r="X57" s="63">
        <f t="shared" si="73"/>
        <v>2</v>
      </c>
      <c r="Y57" s="64">
        <f t="shared" si="74"/>
        <v>1</v>
      </c>
      <c r="Z57" s="65">
        <f t="shared" si="75"/>
        <v>0</v>
      </c>
      <c r="AA57" s="68">
        <f t="shared" si="76"/>
        <v>1</v>
      </c>
    </row>
    <row r="58" spans="1:33" ht="12" thickBot="1">
      <c r="A58" s="8">
        <v>10</v>
      </c>
      <c r="B58" s="458">
        <v>6</v>
      </c>
      <c r="C58" s="42">
        <v>6</v>
      </c>
      <c r="D58" s="43">
        <v>6</v>
      </c>
      <c r="E58" s="44">
        <v>1</v>
      </c>
      <c r="F58" s="50">
        <v>5</v>
      </c>
      <c r="G58" s="42">
        <v>4</v>
      </c>
      <c r="H58" s="43">
        <v>5</v>
      </c>
      <c r="I58" s="44">
        <v>4</v>
      </c>
      <c r="J58" s="50">
        <v>5</v>
      </c>
      <c r="K58" s="42">
        <v>3</v>
      </c>
      <c r="L58" s="43">
        <v>3</v>
      </c>
      <c r="M58" s="668">
        <v>3</v>
      </c>
      <c r="O58" s="8">
        <v>10</v>
      </c>
      <c r="P58" s="69">
        <f t="shared" si="65"/>
        <v>0</v>
      </c>
      <c r="Q58" s="70">
        <f t="shared" si="66"/>
        <v>0</v>
      </c>
      <c r="R58" s="71">
        <f t="shared" si="67"/>
        <v>0</v>
      </c>
      <c r="S58" s="72">
        <f t="shared" si="68"/>
        <v>0</v>
      </c>
      <c r="T58" s="73">
        <f t="shared" si="69"/>
        <v>1</v>
      </c>
      <c r="U58" s="70">
        <f t="shared" si="70"/>
        <v>1</v>
      </c>
      <c r="V58" s="71">
        <f t="shared" si="71"/>
        <v>1</v>
      </c>
      <c r="W58" s="72">
        <f t="shared" si="72"/>
        <v>0</v>
      </c>
      <c r="X58" s="73">
        <f t="shared" si="73"/>
        <v>1</v>
      </c>
      <c r="Y58" s="70">
        <f t="shared" si="74"/>
        <v>1</v>
      </c>
      <c r="Z58" s="71">
        <f t="shared" si="75"/>
        <v>1</v>
      </c>
      <c r="AA58" s="74">
        <f t="shared" si="76"/>
        <v>0</v>
      </c>
    </row>
    <row r="59" spans="1:33" ht="12" thickBot="1">
      <c r="A59" s="8">
        <v>11</v>
      </c>
      <c r="B59" s="458">
        <v>6</v>
      </c>
      <c r="C59" s="42">
        <v>6</v>
      </c>
      <c r="D59" s="43">
        <v>6</v>
      </c>
      <c r="E59" s="44">
        <v>1</v>
      </c>
      <c r="F59" s="50">
        <v>5</v>
      </c>
      <c r="G59" s="42">
        <v>4</v>
      </c>
      <c r="H59" s="43">
        <v>5</v>
      </c>
      <c r="I59" s="44">
        <v>4</v>
      </c>
      <c r="J59" s="50">
        <v>5</v>
      </c>
      <c r="K59" s="42">
        <v>3</v>
      </c>
      <c r="L59" s="43">
        <v>3</v>
      </c>
      <c r="M59" s="668">
        <v>3</v>
      </c>
      <c r="O59" s="8">
        <v>11</v>
      </c>
      <c r="P59" s="69">
        <f t="shared" ref="P59" si="77">B59-B58</f>
        <v>0</v>
      </c>
      <c r="Q59" s="70">
        <f t="shared" ref="Q59" si="78">C59-C58</f>
        <v>0</v>
      </c>
      <c r="R59" s="71">
        <f t="shared" ref="R59" si="79">D59-D58</f>
        <v>0</v>
      </c>
      <c r="S59" s="72">
        <f t="shared" ref="S59" si="80">E59-E58</f>
        <v>0</v>
      </c>
      <c r="T59" s="73">
        <f t="shared" ref="T59" si="81">F59-F58</f>
        <v>0</v>
      </c>
      <c r="U59" s="70">
        <f t="shared" ref="U59" si="82">G59-G58</f>
        <v>0</v>
      </c>
      <c r="V59" s="71">
        <f t="shared" ref="V59" si="83">H59-H58</f>
        <v>0</v>
      </c>
      <c r="W59" s="72">
        <f t="shared" ref="W59" si="84">I59-I58</f>
        <v>0</v>
      </c>
      <c r="X59" s="73">
        <f t="shared" ref="X59" si="85">J59-J58</f>
        <v>0</v>
      </c>
      <c r="Y59" s="70">
        <f t="shared" ref="Y59" si="86">K59-K58</f>
        <v>0</v>
      </c>
      <c r="Z59" s="71">
        <f t="shared" ref="Z59" si="87">L59-L58</f>
        <v>0</v>
      </c>
      <c r="AA59" s="74">
        <f t="shared" ref="AA59" si="88">M59-M58</f>
        <v>0</v>
      </c>
      <c r="AF59" s="563"/>
      <c r="AG59" s="563"/>
    </row>
    <row r="60" spans="1:33" ht="12" thickBot="1">
      <c r="P60" s="142"/>
      <c r="Q60" s="142"/>
      <c r="R60" s="142"/>
      <c r="AF60" s="563"/>
      <c r="AG60" s="563"/>
    </row>
    <row r="61" spans="1:33" ht="30" customHeight="1" thickBot="1">
      <c r="A61" s="1275" t="s">
        <v>405</v>
      </c>
      <c r="B61" s="1040"/>
      <c r="C61" s="1040"/>
      <c r="D61" s="1040"/>
      <c r="E61" s="1041"/>
      <c r="G61" s="1276" t="s">
        <v>368</v>
      </c>
      <c r="H61" s="1277"/>
      <c r="I61" s="1277"/>
      <c r="J61" s="1277"/>
      <c r="K61" s="1277"/>
    </row>
    <row r="62" spans="1:33" ht="23.25" thickBot="1">
      <c r="A62" s="769" t="s">
        <v>291</v>
      </c>
      <c r="B62" s="17" t="s">
        <v>198</v>
      </c>
      <c r="C62" s="18" t="s">
        <v>15</v>
      </c>
      <c r="D62" s="17" t="s">
        <v>197</v>
      </c>
      <c r="E62" s="17" t="s">
        <v>21</v>
      </c>
      <c r="G62" s="769" t="s">
        <v>291</v>
      </c>
      <c r="H62" s="655" t="s">
        <v>198</v>
      </c>
      <c r="I62" s="18" t="s">
        <v>15</v>
      </c>
      <c r="J62" s="17" t="s">
        <v>197</v>
      </c>
      <c r="K62" s="57" t="s">
        <v>21</v>
      </c>
    </row>
    <row r="63" spans="1:33">
      <c r="A63" s="13">
        <v>0</v>
      </c>
      <c r="B63" s="2">
        <v>0</v>
      </c>
      <c r="C63" s="46">
        <v>0</v>
      </c>
      <c r="D63" s="4">
        <v>0</v>
      </c>
      <c r="E63" s="15">
        <v>0</v>
      </c>
      <c r="G63" s="13">
        <v>0</v>
      </c>
      <c r="H63" s="656">
        <f>B63</f>
        <v>0</v>
      </c>
      <c r="I63" s="27">
        <f>C63</f>
        <v>0</v>
      </c>
      <c r="J63" s="28">
        <f>D63</f>
        <v>0</v>
      </c>
      <c r="K63" s="669">
        <f>E63</f>
        <v>0</v>
      </c>
    </row>
    <row r="64" spans="1:33">
      <c r="A64" s="12">
        <v>1</v>
      </c>
      <c r="B64" s="11">
        <v>0</v>
      </c>
      <c r="C64" s="58">
        <v>0</v>
      </c>
      <c r="D64" s="10">
        <v>1</v>
      </c>
      <c r="E64" s="14">
        <v>2</v>
      </c>
      <c r="G64" s="12">
        <v>1</v>
      </c>
      <c r="H64" s="658">
        <f t="shared" ref="H64:H73" si="89">B64-B63</f>
        <v>0</v>
      </c>
      <c r="I64" s="31">
        <f t="shared" ref="I64:I73" si="90">C64-C63</f>
        <v>0</v>
      </c>
      <c r="J64" s="32">
        <f t="shared" ref="J64:J73" si="91">D64-D63</f>
        <v>1</v>
      </c>
      <c r="K64" s="670">
        <f t="shared" ref="K64:K73" si="92">E64-E63</f>
        <v>2</v>
      </c>
    </row>
    <row r="65" spans="1:11">
      <c r="A65" s="13">
        <v>2</v>
      </c>
      <c r="B65" s="2">
        <v>0</v>
      </c>
      <c r="C65" s="46">
        <v>0</v>
      </c>
      <c r="D65" s="4">
        <v>1</v>
      </c>
      <c r="E65" s="15">
        <v>3</v>
      </c>
      <c r="G65" s="13">
        <v>2</v>
      </c>
      <c r="H65" s="658">
        <f t="shared" si="89"/>
        <v>0</v>
      </c>
      <c r="I65" s="31">
        <f t="shared" si="90"/>
        <v>0</v>
      </c>
      <c r="J65" s="32">
        <f t="shared" si="91"/>
        <v>0</v>
      </c>
      <c r="K65" s="670">
        <f t="shared" si="92"/>
        <v>1</v>
      </c>
    </row>
    <row r="66" spans="1:11">
      <c r="A66" s="13">
        <v>3</v>
      </c>
      <c r="B66" s="1">
        <v>1</v>
      </c>
      <c r="C66" s="45">
        <v>1</v>
      </c>
      <c r="D66" s="3">
        <v>1</v>
      </c>
      <c r="E66" s="14">
        <v>4</v>
      </c>
      <c r="G66" s="13">
        <v>3</v>
      </c>
      <c r="H66" s="658">
        <f t="shared" si="89"/>
        <v>1</v>
      </c>
      <c r="I66" s="31">
        <f t="shared" si="90"/>
        <v>1</v>
      </c>
      <c r="J66" s="32">
        <f t="shared" si="91"/>
        <v>0</v>
      </c>
      <c r="K66" s="670">
        <f t="shared" si="92"/>
        <v>1</v>
      </c>
    </row>
    <row r="67" spans="1:11">
      <c r="A67" s="13">
        <v>4</v>
      </c>
      <c r="B67" s="2">
        <v>1</v>
      </c>
      <c r="C67" s="46">
        <v>2</v>
      </c>
      <c r="D67" s="4">
        <v>1</v>
      </c>
      <c r="E67" s="15">
        <v>5</v>
      </c>
      <c r="G67" s="13">
        <v>4</v>
      </c>
      <c r="H67" s="658">
        <f t="shared" si="89"/>
        <v>0</v>
      </c>
      <c r="I67" s="31">
        <f t="shared" si="90"/>
        <v>1</v>
      </c>
      <c r="J67" s="32">
        <f t="shared" si="91"/>
        <v>0</v>
      </c>
      <c r="K67" s="670">
        <f t="shared" si="92"/>
        <v>1</v>
      </c>
    </row>
    <row r="68" spans="1:11">
      <c r="A68" s="13">
        <v>5</v>
      </c>
      <c r="B68" s="1">
        <v>1</v>
      </c>
      <c r="C68" s="45">
        <v>2</v>
      </c>
      <c r="D68" s="3">
        <v>1</v>
      </c>
      <c r="E68" s="14">
        <v>6</v>
      </c>
      <c r="G68" s="13">
        <v>5</v>
      </c>
      <c r="H68" s="658">
        <f t="shared" si="89"/>
        <v>0</v>
      </c>
      <c r="I68" s="31">
        <f t="shared" si="90"/>
        <v>0</v>
      </c>
      <c r="J68" s="32">
        <f t="shared" si="91"/>
        <v>0</v>
      </c>
      <c r="K68" s="670">
        <f t="shared" si="92"/>
        <v>1</v>
      </c>
    </row>
    <row r="69" spans="1:11">
      <c r="A69" s="13">
        <v>6</v>
      </c>
      <c r="B69" s="2">
        <v>1</v>
      </c>
      <c r="C69" s="46">
        <v>3</v>
      </c>
      <c r="D69" s="4">
        <v>1</v>
      </c>
      <c r="E69" s="15">
        <v>7</v>
      </c>
      <c r="G69" s="13">
        <v>6</v>
      </c>
      <c r="H69" s="658">
        <f t="shared" si="89"/>
        <v>0</v>
      </c>
      <c r="I69" s="31">
        <f t="shared" si="90"/>
        <v>1</v>
      </c>
      <c r="J69" s="32">
        <f t="shared" si="91"/>
        <v>0</v>
      </c>
      <c r="K69" s="670">
        <f t="shared" si="92"/>
        <v>1</v>
      </c>
    </row>
    <row r="70" spans="1:11">
      <c r="A70" s="13">
        <v>7</v>
      </c>
      <c r="B70" s="1">
        <v>1</v>
      </c>
      <c r="C70" s="45">
        <v>3</v>
      </c>
      <c r="D70" s="3">
        <v>1</v>
      </c>
      <c r="E70" s="14">
        <v>8</v>
      </c>
      <c r="G70" s="13">
        <v>7</v>
      </c>
      <c r="H70" s="658">
        <f t="shared" si="89"/>
        <v>0</v>
      </c>
      <c r="I70" s="31">
        <f t="shared" si="90"/>
        <v>0</v>
      </c>
      <c r="J70" s="32">
        <f t="shared" si="91"/>
        <v>0</v>
      </c>
      <c r="K70" s="670">
        <f t="shared" si="92"/>
        <v>1</v>
      </c>
    </row>
    <row r="71" spans="1:11">
      <c r="A71" s="13">
        <v>8</v>
      </c>
      <c r="B71" s="2">
        <v>1</v>
      </c>
      <c r="C71" s="46">
        <v>4</v>
      </c>
      <c r="D71" s="4">
        <v>1</v>
      </c>
      <c r="E71" s="15">
        <v>9</v>
      </c>
      <c r="G71" s="13">
        <v>8</v>
      </c>
      <c r="H71" s="658">
        <f t="shared" si="89"/>
        <v>0</v>
      </c>
      <c r="I71" s="31">
        <f t="shared" si="90"/>
        <v>1</v>
      </c>
      <c r="J71" s="32">
        <f t="shared" si="91"/>
        <v>0</v>
      </c>
      <c r="K71" s="670">
        <f t="shared" si="92"/>
        <v>1</v>
      </c>
    </row>
    <row r="72" spans="1:11">
      <c r="A72" s="13">
        <v>9</v>
      </c>
      <c r="B72" s="1">
        <v>1</v>
      </c>
      <c r="C72" s="45">
        <v>5</v>
      </c>
      <c r="D72" s="3">
        <v>1</v>
      </c>
      <c r="E72" s="14">
        <v>10</v>
      </c>
      <c r="G72" s="13">
        <v>9</v>
      </c>
      <c r="H72" s="658">
        <f t="shared" si="89"/>
        <v>0</v>
      </c>
      <c r="I72" s="31">
        <f t="shared" si="90"/>
        <v>1</v>
      </c>
      <c r="J72" s="32">
        <f t="shared" si="91"/>
        <v>0</v>
      </c>
      <c r="K72" s="670">
        <f t="shared" si="92"/>
        <v>1</v>
      </c>
    </row>
    <row r="73" spans="1:11" ht="12" thickBot="1">
      <c r="A73" s="19">
        <v>10</v>
      </c>
      <c r="B73" s="22">
        <v>1</v>
      </c>
      <c r="C73" s="59">
        <v>6</v>
      </c>
      <c r="D73" s="21">
        <v>1</v>
      </c>
      <c r="E73" s="23">
        <v>11</v>
      </c>
      <c r="G73" s="19">
        <v>10</v>
      </c>
      <c r="H73" s="660">
        <f t="shared" si="89"/>
        <v>0</v>
      </c>
      <c r="I73" s="661">
        <f t="shared" si="90"/>
        <v>1</v>
      </c>
      <c r="J73" s="662">
        <f t="shared" si="91"/>
        <v>0</v>
      </c>
      <c r="K73" s="671">
        <f t="shared" si="92"/>
        <v>1</v>
      </c>
    </row>
    <row r="74" spans="1:11" ht="12" thickBot="1">
      <c r="A74" s="19">
        <v>11</v>
      </c>
      <c r="B74" s="22">
        <v>1</v>
      </c>
      <c r="C74" s="59">
        <v>6</v>
      </c>
      <c r="D74" s="21">
        <v>1</v>
      </c>
      <c r="E74" s="23">
        <v>11</v>
      </c>
      <c r="G74" s="19">
        <v>11</v>
      </c>
      <c r="H74" s="660">
        <f t="shared" ref="H74" si="93">B74-B73</f>
        <v>0</v>
      </c>
      <c r="I74" s="661">
        <f t="shared" ref="I74" si="94">C74-C73</f>
        <v>0</v>
      </c>
      <c r="J74" s="662">
        <f t="shared" ref="J74" si="95">D74-D73</f>
        <v>0</v>
      </c>
      <c r="K74" s="671">
        <f t="shared" ref="K74" si="96">E74-E73</f>
        <v>0</v>
      </c>
    </row>
  </sheetData>
  <sheetProtection selectLockedCells="1"/>
  <mergeCells count="10">
    <mergeCell ref="O46:AA46"/>
    <mergeCell ref="A1:M1"/>
    <mergeCell ref="A61:E61"/>
    <mergeCell ref="O1:AA1"/>
    <mergeCell ref="A46:M46"/>
    <mergeCell ref="G61:K61"/>
    <mergeCell ref="A16:M16"/>
    <mergeCell ref="O16:AA16"/>
    <mergeCell ref="A31:W31"/>
    <mergeCell ref="AA31:AW31"/>
  </mergeCells>
  <pageMargins left="0.7" right="0.7" top="0.75" bottom="0.75" header="0.3" footer="0.3"/>
  <pageSetup paperSize="9" orientation="portrait" r:id="rId1"/>
  <tableParts count="10">
    <tablePart r:id="rId2"/>
    <tablePart r:id="rId3"/>
    <tablePart r:id="rId4"/>
    <tablePart r:id="rId5"/>
    <tablePart r:id="rId6"/>
    <tablePart r:id="rId7"/>
    <tablePart r:id="rId8"/>
    <tablePart r:id="rId9"/>
    <tablePart r:id="rId10"/>
    <tablePart r:id="rId11"/>
  </tableParts>
</worksheet>
</file>

<file path=xl/worksheets/sheet9.xml><?xml version="1.0" encoding="utf-8"?>
<worksheet xmlns="http://schemas.openxmlformats.org/spreadsheetml/2006/main" xmlns:r="http://schemas.openxmlformats.org/officeDocument/2006/relationships">
  <sheetPr codeName="Feuil3">
    <tabColor rgb="FFFF0000"/>
  </sheetPr>
  <dimension ref="A1:BO59"/>
  <sheetViews>
    <sheetView showGridLines="0" zoomScaleNormal="100" workbookViewId="0">
      <selection activeCell="T21" sqref="T21"/>
    </sheetView>
  </sheetViews>
  <sheetFormatPr baseColWidth="10" defaultColWidth="11.42578125" defaultRowHeight="11.25"/>
  <cols>
    <col min="1" max="1" width="4.7109375" style="143" customWidth="1"/>
    <col min="2" max="2" width="8.7109375" style="143" customWidth="1"/>
    <col min="3" max="3" width="4.7109375" style="143" customWidth="1"/>
    <col min="4" max="4" width="8.7109375" style="143" customWidth="1"/>
    <col min="5" max="5" width="4.7109375" style="143" customWidth="1"/>
    <col min="6" max="6" width="8.7109375" style="143" customWidth="1"/>
    <col min="7" max="7" width="4.7109375" style="143" customWidth="1"/>
    <col min="8" max="8" width="8.7109375" style="143" customWidth="1"/>
    <col min="9" max="9" width="4.7109375" style="143" customWidth="1"/>
    <col min="10" max="10" width="8.7109375" style="143" customWidth="1"/>
    <col min="11" max="11" width="4.7109375" style="143" customWidth="1"/>
    <col min="12" max="12" width="8.7109375" style="143" customWidth="1"/>
    <col min="13" max="13" width="4.7109375" style="143" customWidth="1"/>
    <col min="14" max="14" width="8.7109375" style="143" customWidth="1"/>
    <col min="15" max="15" width="4.7109375" style="143" customWidth="1"/>
    <col min="16" max="16" width="8.7109375" style="143" customWidth="1"/>
    <col min="17" max="17" width="4.7109375" style="143" customWidth="1"/>
    <col min="18" max="18" width="8.7109375" style="143" customWidth="1"/>
    <col min="19" max="19" width="4.7109375" style="143" customWidth="1"/>
    <col min="20" max="20" width="8.7109375" style="143" customWidth="1"/>
    <col min="21" max="21" width="4.7109375" style="143" customWidth="1"/>
    <col min="22" max="22" width="8.7109375" style="143" customWidth="1"/>
    <col min="23" max="23" width="4.7109375" style="143" customWidth="1"/>
    <col min="24" max="24" width="8.7109375" style="143" customWidth="1"/>
    <col min="25" max="25" width="4.7109375" style="143" customWidth="1"/>
    <col min="26" max="26" width="8.7109375" style="143" customWidth="1"/>
    <col min="27" max="27" width="4.7109375" style="143" customWidth="1"/>
    <col min="28" max="28" width="8.7109375" style="143" customWidth="1"/>
    <col min="29" max="29" width="4.7109375" style="143" customWidth="1"/>
    <col min="30" max="30" width="8.7109375" style="143" customWidth="1"/>
    <col min="31" max="31" width="4.7109375" style="143" customWidth="1"/>
    <col min="32" max="32" width="8.7109375" style="143" customWidth="1"/>
    <col min="33" max="33" width="4.7109375" style="143" customWidth="1"/>
    <col min="34" max="34" width="8.7109375" style="143" customWidth="1"/>
    <col min="35" max="35" width="4.7109375" style="143" customWidth="1"/>
    <col min="36" max="36" width="8.7109375" style="143" customWidth="1"/>
    <col min="37" max="37" width="4.7109375" style="143" customWidth="1"/>
    <col min="38" max="38" width="8.7109375" style="143" customWidth="1"/>
    <col min="39" max="39" width="4.7109375" style="143" customWidth="1"/>
    <col min="40" max="40" width="8.7109375" style="143" customWidth="1"/>
    <col min="41" max="41" width="4.7109375" style="143" customWidth="1"/>
    <col min="42" max="42" width="8.7109375" style="143" customWidth="1"/>
    <col min="43" max="43" width="4.7109375" style="143" customWidth="1"/>
    <col min="44" max="67" width="6.7109375" style="143" customWidth="1"/>
    <col min="68" max="16384" width="11.42578125" style="143"/>
  </cols>
  <sheetData>
    <row r="1" spans="1:37" ht="30" customHeight="1" thickBot="1">
      <c r="A1" s="1272" t="s">
        <v>402</v>
      </c>
      <c r="B1" s="1273"/>
      <c r="C1" s="1273"/>
      <c r="D1" s="1273"/>
      <c r="E1" s="1273"/>
      <c r="F1" s="1273"/>
      <c r="G1" s="1273"/>
      <c r="H1" s="1273"/>
      <c r="I1" s="1273"/>
      <c r="J1" s="1273"/>
      <c r="K1" s="1274"/>
      <c r="M1" s="1272" t="s">
        <v>369</v>
      </c>
      <c r="N1" s="1273"/>
      <c r="O1" s="1273"/>
      <c r="P1" s="1273"/>
      <c r="Q1" s="1273"/>
      <c r="R1" s="1273"/>
      <c r="S1" s="1273"/>
      <c r="T1" s="1273"/>
      <c r="U1" s="1273"/>
      <c r="V1" s="1273"/>
      <c r="W1" s="1274"/>
      <c r="Y1" s="1272" t="s">
        <v>209</v>
      </c>
      <c r="Z1" s="1273"/>
      <c r="AA1" s="1273"/>
      <c r="AB1" s="1273"/>
      <c r="AC1" s="1273"/>
      <c r="AD1" s="1274"/>
      <c r="AF1" s="1272" t="s">
        <v>208</v>
      </c>
      <c r="AG1" s="1278"/>
      <c r="AH1" s="1278"/>
      <c r="AI1" s="1278"/>
      <c r="AJ1" s="1278"/>
      <c r="AK1" s="1279"/>
    </row>
    <row r="2" spans="1:37" ht="45.75" thickBot="1">
      <c r="A2" s="144" t="s">
        <v>17</v>
      </c>
      <c r="B2" s="17" t="s">
        <v>190</v>
      </c>
      <c r="C2" s="17" t="s">
        <v>15</v>
      </c>
      <c r="D2" s="17" t="s">
        <v>191</v>
      </c>
      <c r="E2" s="17" t="s">
        <v>21</v>
      </c>
      <c r="F2" s="17" t="s">
        <v>192</v>
      </c>
      <c r="G2" s="17" t="s">
        <v>22</v>
      </c>
      <c r="H2" s="17" t="s">
        <v>193</v>
      </c>
      <c r="I2" s="17" t="s">
        <v>23</v>
      </c>
      <c r="J2" s="17" t="s">
        <v>194</v>
      </c>
      <c r="K2" s="57" t="s">
        <v>24</v>
      </c>
      <c r="M2" s="144" t="s">
        <v>17</v>
      </c>
      <c r="N2" s="17" t="s">
        <v>190</v>
      </c>
      <c r="O2" s="17" t="s">
        <v>15</v>
      </c>
      <c r="P2" s="17" t="s">
        <v>191</v>
      </c>
      <c r="Q2" s="17" t="s">
        <v>21</v>
      </c>
      <c r="R2" s="17" t="s">
        <v>192</v>
      </c>
      <c r="S2" s="17" t="s">
        <v>22</v>
      </c>
      <c r="T2" s="17" t="s">
        <v>193</v>
      </c>
      <c r="U2" s="17" t="s">
        <v>23</v>
      </c>
      <c r="V2" s="17" t="s">
        <v>194</v>
      </c>
      <c r="W2" s="57" t="s">
        <v>24</v>
      </c>
      <c r="Y2" s="12" t="s">
        <v>639</v>
      </c>
      <c r="Z2" s="558" t="s">
        <v>190</v>
      </c>
      <c r="AA2" s="559" t="s">
        <v>191</v>
      </c>
      <c r="AB2" s="559" t="s">
        <v>192</v>
      </c>
      <c r="AC2" s="559" t="s">
        <v>193</v>
      </c>
      <c r="AD2" s="560" t="s">
        <v>194</v>
      </c>
      <c r="AF2" s="12" t="s">
        <v>640</v>
      </c>
      <c r="AG2" s="558" t="s">
        <v>190</v>
      </c>
      <c r="AH2" s="559" t="s">
        <v>191</v>
      </c>
      <c r="AI2" s="559" t="s">
        <v>192</v>
      </c>
      <c r="AJ2" s="559" t="s">
        <v>193</v>
      </c>
      <c r="AK2" s="560" t="s">
        <v>194</v>
      </c>
    </row>
    <row r="3" spans="1:37">
      <c r="A3" s="51">
        <v>0</v>
      </c>
      <c r="B3" s="146">
        <f>IF(Paramètres!$L$46=0,0,VLOOKUP(Paramètres!$L$47,SPELLFACTORY_Spells[#All],2))</f>
        <v>0</v>
      </c>
      <c r="C3" s="9">
        <f>IF($B3=0,0,IF(SUM(Paramètres!$K$6:$K$45)&lt;&gt;Paramètres!$K$3,0,VLOOKUP(MATCH(1,Paramètres!$K$6:$K$45,0),LABO_Spells[#All],2)))</f>
        <v>0</v>
      </c>
      <c r="D3" s="151">
        <f>IF(Paramètres!$L$46=0,0,VLOOKUP(Paramètres!$L$47,SPELLFACTORY_Spells[#All],3))</f>
        <v>0</v>
      </c>
      <c r="E3" s="35">
        <f>IF($D3=0,0,IF(SUM(Paramètres!$K$6:$K$45)&lt;&gt;Paramètres!$K$3,0,VLOOKUP(MATCH(1,Paramètres!$K$6:$K$45,0),LABO_Spells[#All],3)))</f>
        <v>0</v>
      </c>
      <c r="F3" s="146">
        <f>IF(Paramètres!$L$46=0,0,VLOOKUP(Paramètres!$L$47,SPELLFACTORY_Spells[#All],4))</f>
        <v>0</v>
      </c>
      <c r="G3" s="9">
        <f>IF($F3=0,0,IF(SUM(Paramètres!$K$6:$K$45)&lt;&gt;Paramètres!$K$3,0,VLOOKUP(MATCH(1,Paramètres!$K$6:$K$45,0),LABO_Spells[#All],4)))</f>
        <v>0</v>
      </c>
      <c r="H3" s="151">
        <f>IF(Paramètres!$L$46=0,0,VLOOKUP(Paramètres!$L$47,SPELLFACTORY_Spells[#All],5))</f>
        <v>0</v>
      </c>
      <c r="I3" s="35">
        <f>IF($H3=0,0,IF(SUM(Paramètres!$K$6:$K$45)&lt;&gt;Paramètres!$K$3,0,VLOOKUP(MATCH(1,Paramètres!$K$6:$K$45,0),LABO_Spells[#All],5)))</f>
        <v>0</v>
      </c>
      <c r="J3" s="146">
        <f>IF(Paramètres!$L$46=0,0,VLOOKUP(Paramètres!$L$47,SPELLFACTORY_Spells[#All],6))</f>
        <v>0</v>
      </c>
      <c r="K3" s="9">
        <f>IF($J3=0,0,IF(SUM(Paramètres!$K$6:$K$45)&lt;&gt;Paramètres!$K$3,0,VLOOKUP(MATCH(1,Paramètres!$K$6:$K$45,0),LABO_Spells[#All],6)))</f>
        <v>0</v>
      </c>
      <c r="M3" s="51">
        <v>0</v>
      </c>
      <c r="N3" s="148">
        <f t="shared" ref="N3:W3" si="0">B3</f>
        <v>0</v>
      </c>
      <c r="O3" s="149">
        <f t="shared" si="0"/>
        <v>0</v>
      </c>
      <c r="P3" s="153">
        <f>D3</f>
        <v>0</v>
      </c>
      <c r="Q3" s="154">
        <f t="shared" si="0"/>
        <v>0</v>
      </c>
      <c r="R3" s="150">
        <f t="shared" si="0"/>
        <v>0</v>
      </c>
      <c r="S3" s="149">
        <f t="shared" si="0"/>
        <v>0</v>
      </c>
      <c r="T3" s="153">
        <f t="shared" si="0"/>
        <v>0</v>
      </c>
      <c r="U3" s="154">
        <f t="shared" si="0"/>
        <v>0</v>
      </c>
      <c r="V3" s="150">
        <f t="shared" si="0"/>
        <v>0</v>
      </c>
      <c r="W3" s="149">
        <f t="shared" si="0"/>
        <v>0</v>
      </c>
      <c r="Y3" s="13">
        <v>0</v>
      </c>
      <c r="Z3" s="645">
        <v>0</v>
      </c>
      <c r="AA3" s="34">
        <v>0</v>
      </c>
      <c r="AB3" s="6">
        <v>0</v>
      </c>
      <c r="AC3" s="34">
        <v>0</v>
      </c>
      <c r="AD3" s="46">
        <v>0</v>
      </c>
      <c r="AF3" s="13">
        <v>0</v>
      </c>
      <c r="AG3" s="645">
        <v>0</v>
      </c>
      <c r="AH3" s="34">
        <v>0</v>
      </c>
      <c r="AI3" s="6">
        <v>0</v>
      </c>
      <c r="AJ3" s="34">
        <v>0</v>
      </c>
      <c r="AK3" s="46">
        <v>0</v>
      </c>
    </row>
    <row r="4" spans="1:37">
      <c r="A4" s="145">
        <v>1</v>
      </c>
      <c r="B4" s="146">
        <f>IF(Paramètres!$L$46=0,0,VLOOKUP(Paramètres!$L$47,SPELLFACTORY_Spells[#All],2))</f>
        <v>0</v>
      </c>
      <c r="C4" s="147">
        <f>IF($B4=0,0,IF(SUM(Paramètres!$K$6:$K$45)&lt;&gt;Paramètres!$K$3,0,VLOOKUP(MATCH(1,Paramètres!$K$6:$K$45,0),LABO_Spells[#All],2)))</f>
        <v>0</v>
      </c>
      <c r="D4" s="10">
        <f>IF(Paramètres!$L$46=0,0,VLOOKUP(Paramètres!$L$47,SPELLFACTORY_Spells[#All],3))</f>
        <v>0</v>
      </c>
      <c r="E4" s="152">
        <f>IF($D4=0,0,IF(SUM(Paramètres!$K$6:$K$45)&lt;&gt;Paramètres!$K$3,0,VLOOKUP(MATCH(1,Paramètres!$K$6:$K$45,0),LABO_Spells[#All],3)))</f>
        <v>0</v>
      </c>
      <c r="F4" s="11">
        <f>IF(Paramètres!$L$46=0,0,VLOOKUP(Paramètres!$L$47,SPELLFACTORY_Spells[#All],4))</f>
        <v>0</v>
      </c>
      <c r="G4" s="147">
        <f>IF($F4=0,0,IF(SUM(Paramètres!$K$6:$K$45)&lt;&gt;Paramètres!$K$3,0,VLOOKUP(MATCH(1,Paramètres!$K$6:$K$45,0),LABO_Spells[#All],4)))</f>
        <v>0</v>
      </c>
      <c r="H4" s="10">
        <f>IF(Paramètres!$L$46=0,0,VLOOKUP(Paramètres!$L$47,SPELLFACTORY_Spells[#All],5))</f>
        <v>0</v>
      </c>
      <c r="I4" s="152">
        <f>IF($H4=0,0,IF(SUM(Paramètres!$K$6:$K$45)&lt;&gt;Paramètres!$K$3,0,VLOOKUP(MATCH(1,Paramètres!$K$6:$K$45,0),LABO_Spells[#All],5)))</f>
        <v>0</v>
      </c>
      <c r="J4" s="146">
        <f>IF(Paramètres!$L$46=0,0,VLOOKUP(Paramètres!$L$47,SPELLFACTORY_Spells[#All],6))</f>
        <v>0</v>
      </c>
      <c r="K4" s="147">
        <f>IF($J4=0,0,IF(SUM(Paramètres!$K$6:$K$45)&lt;&gt;Paramètres!$K$3,0,VLOOKUP(MATCH(1,Paramètres!$K$6:$K$45,0),LABO_Spells[#All],6)))</f>
        <v>0</v>
      </c>
      <c r="M4" s="145">
        <v>1</v>
      </c>
      <c r="N4" s="67">
        <f t="shared" ref="N4:W4" si="1">B4-B3</f>
        <v>0</v>
      </c>
      <c r="O4" s="64">
        <f t="shared" si="1"/>
        <v>0</v>
      </c>
      <c r="P4" s="65">
        <f t="shared" si="1"/>
        <v>0</v>
      </c>
      <c r="Q4" s="66">
        <f t="shared" si="1"/>
        <v>0</v>
      </c>
      <c r="R4" s="63">
        <f t="shared" si="1"/>
        <v>0</v>
      </c>
      <c r="S4" s="64">
        <f t="shared" si="1"/>
        <v>0</v>
      </c>
      <c r="T4" s="65">
        <f t="shared" si="1"/>
        <v>0</v>
      </c>
      <c r="U4" s="66">
        <f t="shared" si="1"/>
        <v>0</v>
      </c>
      <c r="V4" s="63">
        <f t="shared" si="1"/>
        <v>0</v>
      </c>
      <c r="W4" s="64">
        <f t="shared" si="1"/>
        <v>0</v>
      </c>
      <c r="Y4" s="13">
        <v>1</v>
      </c>
      <c r="Z4" s="646">
        <v>1</v>
      </c>
      <c r="AA4" s="36">
        <v>0</v>
      </c>
      <c r="AB4" s="5">
        <v>0</v>
      </c>
      <c r="AC4" s="36">
        <v>0</v>
      </c>
      <c r="AD4" s="45">
        <v>0</v>
      </c>
      <c r="AF4" s="13">
        <v>1</v>
      </c>
      <c r="AG4" s="646">
        <v>2</v>
      </c>
      <c r="AH4" s="36">
        <v>1</v>
      </c>
      <c r="AI4" s="5">
        <v>1</v>
      </c>
      <c r="AJ4" s="36">
        <v>1</v>
      </c>
      <c r="AK4" s="45">
        <v>1</v>
      </c>
    </row>
    <row r="5" spans="1:37">
      <c r="A5" s="7">
        <v>2</v>
      </c>
      <c r="B5" s="146">
        <f>IF(Paramètres!$L$46=0,0,VLOOKUP(Paramètres!$L$47,SPELLFACTORY_Spells[#All],2))</f>
        <v>0</v>
      </c>
      <c r="C5" s="147">
        <f>IF($B5=0,0,IF(SUM(Paramètres!$K$6:$K$45)&lt;&gt;Paramètres!$K$3,0,VLOOKUP(MATCH(1,Paramètres!$K$6:$K$45,0),LABO_Spells[#All],2)))</f>
        <v>0</v>
      </c>
      <c r="D5" s="4">
        <f>IF(Paramètres!$L$46=0,0,VLOOKUP(Paramètres!$L$47,SPELLFACTORY_Spells[#All],3))</f>
        <v>0</v>
      </c>
      <c r="E5" s="152">
        <f>IF($D5=0,0,IF(SUM(Paramètres!$K$6:$K$45)&lt;&gt;Paramètres!$K$3,0,VLOOKUP(MATCH(1,Paramètres!$K$6:$K$45,0),LABO_Spells[#All],3)))</f>
        <v>0</v>
      </c>
      <c r="F5" s="2">
        <f>IF(Paramètres!$L$46=0,0,VLOOKUP(Paramètres!$L$47,SPELLFACTORY_Spells[#All],4))</f>
        <v>0</v>
      </c>
      <c r="G5" s="147">
        <f>IF($F5=0,0,IF(SUM(Paramètres!$K$6:$K$45)&lt;&gt;Paramètres!$K$3,0,VLOOKUP(MATCH(1,Paramètres!$K$6:$K$45,0),LABO_Spells[#All],4)))</f>
        <v>0</v>
      </c>
      <c r="H5" s="4">
        <f>IF(Paramètres!$L$46=0,0,VLOOKUP(Paramètres!$L$47,SPELLFACTORY_Spells[#All],5))</f>
        <v>0</v>
      </c>
      <c r="I5" s="152">
        <f>IF($H5=0,0,IF(SUM(Paramètres!$K$6:$K$45)&lt;&gt;Paramètres!$K$3,0,VLOOKUP(MATCH(1,Paramètres!$K$6:$K$45,0),LABO_Spells[#All],5)))</f>
        <v>0</v>
      </c>
      <c r="J5" s="146">
        <f>IF(Paramètres!$L$46=0,0,VLOOKUP(Paramètres!$L$47,SPELLFACTORY_Spells[#All],6))</f>
        <v>0</v>
      </c>
      <c r="K5" s="147">
        <f>IF($J5=0,0,IF(SUM(Paramètres!$K$6:$K$45)&lt;&gt;Paramètres!$K$3,0,VLOOKUP(MATCH(1,Paramètres!$K$6:$K$45,0),LABO_Spells[#All],6)))</f>
        <v>0</v>
      </c>
      <c r="M5" s="7">
        <v>2</v>
      </c>
      <c r="N5" s="67">
        <f t="shared" ref="N5:N13" si="2">B5-B4</f>
        <v>0</v>
      </c>
      <c r="O5" s="64">
        <f t="shared" ref="O5:O13" si="3">C5-C4</f>
        <v>0</v>
      </c>
      <c r="P5" s="65">
        <f t="shared" ref="P5:P13" si="4">D5-D4</f>
        <v>0</v>
      </c>
      <c r="Q5" s="66">
        <f t="shared" ref="Q5:Q13" si="5">E5-E4</f>
        <v>0</v>
      </c>
      <c r="R5" s="63">
        <f t="shared" ref="R5:R13" si="6">F5-F4</f>
        <v>0</v>
      </c>
      <c r="S5" s="64">
        <f t="shared" ref="S5:S13" si="7">G5-G4</f>
        <v>0</v>
      </c>
      <c r="T5" s="65">
        <f t="shared" ref="T5:T13" si="8">H5-H4</f>
        <v>0</v>
      </c>
      <c r="U5" s="66">
        <f t="shared" ref="U5:U13" si="9">I5-I4</f>
        <v>0</v>
      </c>
      <c r="V5" s="63">
        <f t="shared" ref="V5:V13" si="10">J5-J4</f>
        <v>0</v>
      </c>
      <c r="W5" s="64">
        <f t="shared" ref="W5:W13" si="11">K5-K4</f>
        <v>0</v>
      </c>
      <c r="Y5" s="13">
        <v>2</v>
      </c>
      <c r="Z5" s="645">
        <v>1</v>
      </c>
      <c r="AA5" s="34">
        <v>1</v>
      </c>
      <c r="AB5" s="6">
        <v>0</v>
      </c>
      <c r="AC5" s="34">
        <v>0</v>
      </c>
      <c r="AD5" s="46">
        <v>0</v>
      </c>
      <c r="AF5" s="13">
        <v>2</v>
      </c>
      <c r="AG5" s="645">
        <v>3</v>
      </c>
      <c r="AH5" s="34">
        <v>2</v>
      </c>
      <c r="AI5" s="6">
        <v>1</v>
      </c>
      <c r="AJ5" s="34">
        <v>1</v>
      </c>
      <c r="AK5" s="46">
        <v>1</v>
      </c>
    </row>
    <row r="6" spans="1:37">
      <c r="A6" s="7">
        <v>3</v>
      </c>
      <c r="B6" s="146">
        <f>IF(Paramètres!$L$46=0,0,VLOOKUP(Paramètres!$L$47,SPELLFACTORY_Spells[#All],2))</f>
        <v>0</v>
      </c>
      <c r="C6" s="147">
        <f>IF($B6=0,0,IF(SUM(Paramètres!$K$6:$K$45)&lt;&gt;Paramètres!$K$3,0,VLOOKUP(MATCH(1,Paramètres!$K$6:$K$45,0),LABO_Spells[#All],2)))</f>
        <v>0</v>
      </c>
      <c r="D6" s="3">
        <f>IF(Paramètres!$L$46=0,0,VLOOKUP(Paramètres!$L$47,SPELLFACTORY_Spells[#All],3))</f>
        <v>0</v>
      </c>
      <c r="E6" s="152">
        <f>IF($D6=0,0,IF(SUM(Paramètres!$K$6:$K$45)&lt;&gt;Paramètres!$K$3,0,VLOOKUP(MATCH(1,Paramètres!$K$6:$K$45,0),LABO_Spells[#All],3)))</f>
        <v>0</v>
      </c>
      <c r="F6" s="1">
        <f>IF(Paramètres!$L$46=0,0,VLOOKUP(Paramètres!$L$47,SPELLFACTORY_Spells[#All],4))</f>
        <v>0</v>
      </c>
      <c r="G6" s="147">
        <f>IF($F6=0,0,IF(SUM(Paramètres!$K$6:$K$45)&lt;&gt;Paramètres!$K$3,0,VLOOKUP(MATCH(1,Paramètres!$K$6:$K$45,0),LABO_Spells[#All],4)))</f>
        <v>0</v>
      </c>
      <c r="H6" s="3">
        <f>IF(Paramètres!$L$46=0,0,VLOOKUP(Paramètres!$L$47,SPELLFACTORY_Spells[#All],5))</f>
        <v>0</v>
      </c>
      <c r="I6" s="152">
        <f>IF($H6=0,0,IF(SUM(Paramètres!$K$6:$K$45)&lt;&gt;Paramètres!$K$3,0,VLOOKUP(MATCH(1,Paramètres!$K$6:$K$45,0),LABO_Spells[#All],5)))</f>
        <v>0</v>
      </c>
      <c r="J6" s="146">
        <f>IF(Paramètres!$L$46=0,0,VLOOKUP(Paramètres!$L$47,SPELLFACTORY_Spells[#All],6))</f>
        <v>0</v>
      </c>
      <c r="K6" s="147">
        <f>IF($J6=0,0,IF(SUM(Paramètres!$K$6:$K$45)&lt;&gt;Paramètres!$K$3,0,VLOOKUP(MATCH(1,Paramètres!$K$6:$K$45,0),LABO_Spells[#All],6)))</f>
        <v>0</v>
      </c>
      <c r="M6" s="7">
        <v>3</v>
      </c>
      <c r="N6" s="67">
        <f t="shared" si="2"/>
        <v>0</v>
      </c>
      <c r="O6" s="64">
        <f t="shared" si="3"/>
        <v>0</v>
      </c>
      <c r="P6" s="65">
        <f t="shared" si="4"/>
        <v>0</v>
      </c>
      <c r="Q6" s="66">
        <f t="shared" si="5"/>
        <v>0</v>
      </c>
      <c r="R6" s="63">
        <f t="shared" si="6"/>
        <v>0</v>
      </c>
      <c r="S6" s="64">
        <f t="shared" si="7"/>
        <v>0</v>
      </c>
      <c r="T6" s="65">
        <f t="shared" si="8"/>
        <v>0</v>
      </c>
      <c r="U6" s="66">
        <f t="shared" si="9"/>
        <v>0</v>
      </c>
      <c r="V6" s="63">
        <f t="shared" si="10"/>
        <v>0</v>
      </c>
      <c r="W6" s="64">
        <f t="shared" si="11"/>
        <v>0</v>
      </c>
      <c r="Y6" s="13">
        <v>3</v>
      </c>
      <c r="Z6" s="646">
        <v>1</v>
      </c>
      <c r="AA6" s="36">
        <v>1</v>
      </c>
      <c r="AB6" s="5">
        <v>1</v>
      </c>
      <c r="AC6" s="36">
        <v>0</v>
      </c>
      <c r="AD6" s="45">
        <v>0</v>
      </c>
      <c r="AF6" s="13">
        <v>3</v>
      </c>
      <c r="AG6" s="646">
        <v>4</v>
      </c>
      <c r="AH6" s="36">
        <v>3</v>
      </c>
      <c r="AI6" s="5">
        <v>2</v>
      </c>
      <c r="AJ6" s="36">
        <v>1</v>
      </c>
      <c r="AK6" s="45">
        <v>1</v>
      </c>
    </row>
    <row r="7" spans="1:37">
      <c r="A7" s="7">
        <v>4</v>
      </c>
      <c r="B7" s="146">
        <f>IF(Paramètres!$L$46=0,0,VLOOKUP(Paramètres!$L$47,SPELLFACTORY_Spells[#All],2))</f>
        <v>0</v>
      </c>
      <c r="C7" s="147">
        <f>IF($B7=0,0,IF(SUM(Paramètres!$K$6:$K$45)&lt;&gt;Paramètres!$K$3,0,VLOOKUP(MATCH(1,Paramètres!$K$6:$K$45,0),LABO_Spells[#All],2)))</f>
        <v>0</v>
      </c>
      <c r="D7" s="3">
        <f>IF(Paramètres!$L$46=0,0,VLOOKUP(Paramètres!$L$47,SPELLFACTORY_Spells[#All],3))</f>
        <v>0</v>
      </c>
      <c r="E7" s="152">
        <f>IF($D7=0,0,IF(SUM(Paramètres!$K$6:$K$45)&lt;&gt;Paramètres!$K$3,0,VLOOKUP(MATCH(1,Paramètres!$K$6:$K$45,0),LABO_Spells[#All],3)))</f>
        <v>0</v>
      </c>
      <c r="F7" s="2">
        <f>IF(Paramètres!$L$46=0,0,VLOOKUP(Paramètres!$L$47,SPELLFACTORY_Spells[#All],4))</f>
        <v>0</v>
      </c>
      <c r="G7" s="147">
        <f>IF($F7=0,0,IF(SUM(Paramètres!$K$6:$K$45)&lt;&gt;Paramètres!$K$3,0,VLOOKUP(MATCH(1,Paramètres!$K$6:$K$45,0),LABO_Spells[#All],4)))</f>
        <v>0</v>
      </c>
      <c r="H7" s="4">
        <f>IF(Paramètres!$L$46=0,0,VLOOKUP(Paramètres!$L$47,SPELLFACTORY_Spells[#All],5))</f>
        <v>0</v>
      </c>
      <c r="I7" s="152">
        <f>IF($H7=0,0,IF(SUM(Paramètres!$K$6:$K$45)&lt;&gt;Paramètres!$K$3,0,VLOOKUP(MATCH(1,Paramètres!$K$6:$K$45,0),LABO_Spells[#All],5)))</f>
        <v>0</v>
      </c>
      <c r="J7" s="146">
        <f>IF(Paramètres!$L$46=0,0,VLOOKUP(Paramètres!$L$47,SPELLFACTORY_Spells[#All],6))</f>
        <v>0</v>
      </c>
      <c r="K7" s="147">
        <f>IF($J7=0,0,IF(SUM(Paramètres!$K$6:$K$45)&lt;&gt;Paramètres!$K$3,0,VLOOKUP(MATCH(1,Paramètres!$K$6:$K$45,0),LABO_Spells[#All],6)))</f>
        <v>0</v>
      </c>
      <c r="M7" s="7">
        <v>4</v>
      </c>
      <c r="N7" s="67">
        <f t="shared" si="2"/>
        <v>0</v>
      </c>
      <c r="O7" s="64">
        <f t="shared" si="3"/>
        <v>0</v>
      </c>
      <c r="P7" s="65">
        <f t="shared" si="4"/>
        <v>0</v>
      </c>
      <c r="Q7" s="66">
        <f t="shared" si="5"/>
        <v>0</v>
      </c>
      <c r="R7" s="63">
        <f t="shared" si="6"/>
        <v>0</v>
      </c>
      <c r="S7" s="64">
        <f t="shared" si="7"/>
        <v>0</v>
      </c>
      <c r="T7" s="65">
        <f t="shared" si="8"/>
        <v>0</v>
      </c>
      <c r="U7" s="66">
        <f t="shared" si="9"/>
        <v>0</v>
      </c>
      <c r="V7" s="63">
        <f t="shared" si="10"/>
        <v>0</v>
      </c>
      <c r="W7" s="64">
        <f t="shared" si="11"/>
        <v>0</v>
      </c>
      <c r="Y7" s="13">
        <v>4</v>
      </c>
      <c r="Z7" s="645">
        <v>1</v>
      </c>
      <c r="AA7" s="34">
        <v>1</v>
      </c>
      <c r="AB7" s="6">
        <v>1</v>
      </c>
      <c r="AC7" s="34">
        <v>1</v>
      </c>
      <c r="AD7" s="46">
        <v>1</v>
      </c>
      <c r="AF7" s="13">
        <v>4</v>
      </c>
      <c r="AG7" s="645">
        <v>4</v>
      </c>
      <c r="AH7" s="34">
        <v>3</v>
      </c>
      <c r="AI7" s="6">
        <v>3</v>
      </c>
      <c r="AJ7" s="34">
        <v>1</v>
      </c>
      <c r="AK7" s="46">
        <v>1</v>
      </c>
    </row>
    <row r="8" spans="1:37">
      <c r="A8" s="7">
        <v>5</v>
      </c>
      <c r="B8" s="146">
        <f>IF(Paramètres!$L$46=0,0,VLOOKUP(Paramètres!$L$47,SPELLFACTORY_Spells[#All],2))</f>
        <v>0</v>
      </c>
      <c r="C8" s="147">
        <f>IF($B8=0,0,IF(SUM(Paramètres!$K$6:$K$45)&lt;&gt;Paramètres!$K$3,0,VLOOKUP(MATCH(1,Paramètres!$K$6:$K$45,0),LABO_Spells[#All],2)))</f>
        <v>0</v>
      </c>
      <c r="D8" s="3">
        <f>IF(Paramètres!$L$46=0,0,VLOOKUP(Paramètres!$L$47,SPELLFACTORY_Spells[#All],3))</f>
        <v>0</v>
      </c>
      <c r="E8" s="152">
        <f>IF($D8=0,0,IF(SUM(Paramètres!$K$6:$K$45)&lt;&gt;Paramètres!$K$3,0,VLOOKUP(MATCH(1,Paramètres!$K$6:$K$45,0),LABO_Spells[#All],3)))</f>
        <v>0</v>
      </c>
      <c r="F8" s="1">
        <f>IF(Paramètres!$L$46=0,0,VLOOKUP(Paramètres!$L$47,SPELLFACTORY_Spells[#All],4))</f>
        <v>0</v>
      </c>
      <c r="G8" s="147">
        <f>IF($F8=0,0,IF(SUM(Paramètres!$K$6:$K$45)&lt;&gt;Paramètres!$K$3,0,VLOOKUP(MATCH(1,Paramètres!$K$6:$K$45,0),LABO_Spells[#All],4)))</f>
        <v>0</v>
      </c>
      <c r="H8" s="3">
        <f>IF(Paramètres!$L$46=0,0,VLOOKUP(Paramètres!$L$47,SPELLFACTORY_Spells[#All],5))</f>
        <v>0</v>
      </c>
      <c r="I8" s="152">
        <f>IF($H8=0,0,IF(SUM(Paramètres!$K$6:$K$45)&lt;&gt;Paramètres!$K$3,0,VLOOKUP(MATCH(1,Paramètres!$K$6:$K$45,0),LABO_Spells[#All],5)))</f>
        <v>0</v>
      </c>
      <c r="J8" s="146">
        <f>IF(Paramètres!$L$46=0,0,VLOOKUP(Paramètres!$L$47,SPELLFACTORY_Spells[#All],6))</f>
        <v>0</v>
      </c>
      <c r="K8" s="147">
        <f>IF($J8=0,0,IF(SUM(Paramètres!$K$6:$K$45)&lt;&gt;Paramètres!$K$3,0,VLOOKUP(MATCH(1,Paramètres!$K$6:$K$45,0),LABO_Spells[#All],6)))</f>
        <v>0</v>
      </c>
      <c r="M8" s="7">
        <v>5</v>
      </c>
      <c r="N8" s="67">
        <f t="shared" si="2"/>
        <v>0</v>
      </c>
      <c r="O8" s="64">
        <f t="shared" si="3"/>
        <v>0</v>
      </c>
      <c r="P8" s="65">
        <f t="shared" si="4"/>
        <v>0</v>
      </c>
      <c r="Q8" s="66">
        <f t="shared" si="5"/>
        <v>0</v>
      </c>
      <c r="R8" s="63">
        <f t="shared" si="6"/>
        <v>0</v>
      </c>
      <c r="S8" s="64">
        <f t="shared" si="7"/>
        <v>0</v>
      </c>
      <c r="T8" s="65">
        <f t="shared" si="8"/>
        <v>0</v>
      </c>
      <c r="U8" s="66">
        <f t="shared" si="9"/>
        <v>0</v>
      </c>
      <c r="V8" s="63">
        <f t="shared" si="10"/>
        <v>0</v>
      </c>
      <c r="W8" s="64">
        <f t="shared" si="11"/>
        <v>0</v>
      </c>
      <c r="Y8" s="13">
        <v>5</v>
      </c>
      <c r="Z8" s="646">
        <v>1</v>
      </c>
      <c r="AA8" s="36">
        <v>1</v>
      </c>
      <c r="AB8" s="5">
        <v>1</v>
      </c>
      <c r="AC8" s="36">
        <v>1</v>
      </c>
      <c r="AD8" s="45">
        <v>1</v>
      </c>
      <c r="AF8" s="13">
        <v>5</v>
      </c>
      <c r="AG8" s="646">
        <v>4</v>
      </c>
      <c r="AH8" s="36">
        <v>4</v>
      </c>
      <c r="AI8" s="5">
        <v>4</v>
      </c>
      <c r="AJ8" s="36">
        <v>1</v>
      </c>
      <c r="AK8" s="45">
        <v>1</v>
      </c>
    </row>
    <row r="9" spans="1:37">
      <c r="A9" s="7">
        <v>6</v>
      </c>
      <c r="B9" s="146">
        <f>IF(Paramètres!$L$46=0,0,VLOOKUP(Paramètres!$L$47,SPELLFACTORY_Spells[#All],2))</f>
        <v>0</v>
      </c>
      <c r="C9" s="147">
        <f>IF($B9=0,0,IF(SUM(Paramètres!$K$6:$K$45)&lt;&gt;Paramètres!$K$3,0,VLOOKUP(MATCH(1,Paramètres!$K$6:$K$45,0),LABO_Spells[#All],2)))</f>
        <v>0</v>
      </c>
      <c r="D9" s="151">
        <f>IF(Paramètres!$L$46=0,0,VLOOKUP(Paramètres!$L$47,SPELLFACTORY_Spells[#All],3))</f>
        <v>0</v>
      </c>
      <c r="E9" s="152">
        <f>IF($D9=0,0,IF(SUM(Paramètres!$K$6:$K$45)&lt;&gt;Paramètres!$K$3,0,VLOOKUP(MATCH(1,Paramètres!$K$6:$K$45,0),LABO_Spells[#All],3)))</f>
        <v>0</v>
      </c>
      <c r="F9" s="2">
        <f>IF(Paramètres!$L$46=0,0,VLOOKUP(Paramètres!$L$47,SPELLFACTORY_Spells[#All],4))</f>
        <v>0</v>
      </c>
      <c r="G9" s="147">
        <f>IF($F9=0,0,IF(SUM(Paramètres!$K$6:$K$45)&lt;&gt;Paramètres!$K$3,0,VLOOKUP(MATCH(1,Paramètres!$K$6:$K$45,0),LABO_Spells[#All],4)))</f>
        <v>0</v>
      </c>
      <c r="H9" s="151">
        <f>IF(Paramètres!$L$46=0,0,VLOOKUP(Paramètres!$L$47,SPELLFACTORY_Spells[#All],5))</f>
        <v>0</v>
      </c>
      <c r="I9" s="152">
        <f>IF($H9=0,0,IF(SUM(Paramètres!$K$6:$K$45)&lt;&gt;Paramètres!$K$3,0,VLOOKUP(MATCH(1,Paramètres!$K$6:$K$45,0),LABO_Spells[#All],5)))</f>
        <v>0</v>
      </c>
      <c r="J9" s="146">
        <f>IF(Paramètres!$L$46=0,0,VLOOKUP(Paramètres!$L$47,SPELLFACTORY_Spells[#All],6))</f>
        <v>0</v>
      </c>
      <c r="K9" s="147">
        <f>IF($J9=0,0,IF(SUM(Paramètres!$K$6:$K$45)&lt;&gt;Paramètres!$K$3,0,VLOOKUP(MATCH(1,Paramètres!$K$6:$K$45,0),LABO_Spells[#All],6)))</f>
        <v>0</v>
      </c>
      <c r="M9" s="7">
        <v>6</v>
      </c>
      <c r="N9" s="67">
        <f t="shared" si="2"/>
        <v>0</v>
      </c>
      <c r="O9" s="64">
        <f t="shared" si="3"/>
        <v>0</v>
      </c>
      <c r="P9" s="65">
        <f t="shared" si="4"/>
        <v>0</v>
      </c>
      <c r="Q9" s="66">
        <f t="shared" si="5"/>
        <v>0</v>
      </c>
      <c r="R9" s="63">
        <f t="shared" si="6"/>
        <v>0</v>
      </c>
      <c r="S9" s="64">
        <f t="shared" si="7"/>
        <v>0</v>
      </c>
      <c r="T9" s="65">
        <f t="shared" si="8"/>
        <v>0</v>
      </c>
      <c r="U9" s="66">
        <f t="shared" si="9"/>
        <v>0</v>
      </c>
      <c r="V9" s="63">
        <f t="shared" si="10"/>
        <v>0</v>
      </c>
      <c r="W9" s="64">
        <f t="shared" si="11"/>
        <v>0</v>
      </c>
      <c r="Y9" s="13">
        <v>6</v>
      </c>
      <c r="Z9" s="645">
        <v>1</v>
      </c>
      <c r="AA9" s="34">
        <v>1</v>
      </c>
      <c r="AB9" s="6">
        <v>1</v>
      </c>
      <c r="AC9" s="34">
        <v>1</v>
      </c>
      <c r="AD9" s="46">
        <v>1</v>
      </c>
      <c r="AF9" s="13">
        <v>6</v>
      </c>
      <c r="AG9" s="645">
        <v>5</v>
      </c>
      <c r="AH9" s="34">
        <v>5</v>
      </c>
      <c r="AI9" s="6">
        <v>5</v>
      </c>
      <c r="AJ9" s="34">
        <v>2</v>
      </c>
      <c r="AK9" s="46">
        <v>1</v>
      </c>
    </row>
    <row r="10" spans="1:37">
      <c r="A10" s="7">
        <v>7</v>
      </c>
      <c r="B10" s="146">
        <f>IF(Paramètres!$L$46=0,0,VLOOKUP(Paramètres!$L$47,SPELLFACTORY_Spells[#All],2))</f>
        <v>0</v>
      </c>
      <c r="C10" s="147">
        <f>IF($B10=0,0,IF(SUM(Paramètres!$K$6:$K$45)&lt;&gt;Paramètres!$K$3,0,VLOOKUP(MATCH(1,Paramètres!$K$6:$K$45,0),LABO_Spells[#All],2)))</f>
        <v>0</v>
      </c>
      <c r="D10" s="3">
        <f>IF(Paramètres!$L$46=0,0,VLOOKUP(Paramètres!$L$47,SPELLFACTORY_Spells[#All],3))</f>
        <v>0</v>
      </c>
      <c r="E10" s="152">
        <f>IF($D10=0,0,IF(SUM(Paramètres!$K$6:$K$45)&lt;&gt;Paramètres!$K$3,0,VLOOKUP(MATCH(1,Paramètres!$K$6:$K$45,0),LABO_Spells[#All],3)))</f>
        <v>0</v>
      </c>
      <c r="F10" s="1">
        <f>IF(Paramètres!$L$46=0,0,VLOOKUP(Paramètres!$L$47,SPELLFACTORY_Spells[#All],4))</f>
        <v>0</v>
      </c>
      <c r="G10" s="147">
        <f>IF($F10=0,0,IF(SUM(Paramètres!$K$6:$K$45)&lt;&gt;Paramètres!$K$3,0,VLOOKUP(MATCH(1,Paramètres!$K$6:$K$45,0),LABO_Spells[#All],4)))</f>
        <v>0</v>
      </c>
      <c r="H10" s="3">
        <f>IF(Paramètres!$L$46=0,0,VLOOKUP(Paramètres!$L$47,SPELLFACTORY_Spells[#All],5))</f>
        <v>0</v>
      </c>
      <c r="I10" s="152">
        <f>IF($H10=0,0,IF(SUM(Paramètres!$K$6:$K$45)&lt;&gt;Paramètres!$K$3,0,VLOOKUP(MATCH(1,Paramètres!$K$6:$K$45,0),LABO_Spells[#All],5)))</f>
        <v>0</v>
      </c>
      <c r="J10" s="146">
        <f>IF(Paramètres!$L$46=0,0,VLOOKUP(Paramètres!$L$47,SPELLFACTORY_Spells[#All],6))</f>
        <v>0</v>
      </c>
      <c r="K10" s="147">
        <f>IF($J10=0,0,IF(SUM(Paramètres!$K$6:$K$45)&lt;&gt;Paramètres!$K$3,0,VLOOKUP(MATCH(1,Paramètres!$K$6:$K$45,0),LABO_Spells[#All],6)))</f>
        <v>0</v>
      </c>
      <c r="M10" s="7">
        <v>7</v>
      </c>
      <c r="N10" s="67">
        <f t="shared" si="2"/>
        <v>0</v>
      </c>
      <c r="O10" s="64">
        <f t="shared" si="3"/>
        <v>0</v>
      </c>
      <c r="P10" s="65">
        <f t="shared" si="4"/>
        <v>0</v>
      </c>
      <c r="Q10" s="66">
        <f t="shared" si="5"/>
        <v>0</v>
      </c>
      <c r="R10" s="63">
        <f t="shared" si="6"/>
        <v>0</v>
      </c>
      <c r="S10" s="64">
        <f t="shared" si="7"/>
        <v>0</v>
      </c>
      <c r="T10" s="65">
        <f t="shared" si="8"/>
        <v>0</v>
      </c>
      <c r="U10" s="66">
        <f t="shared" si="9"/>
        <v>0</v>
      </c>
      <c r="V10" s="63">
        <f t="shared" si="10"/>
        <v>0</v>
      </c>
      <c r="W10" s="64">
        <f t="shared" si="11"/>
        <v>0</v>
      </c>
      <c r="Y10" s="19">
        <v>7</v>
      </c>
      <c r="Z10" s="647">
        <v>1</v>
      </c>
      <c r="AA10" s="37">
        <v>1</v>
      </c>
      <c r="AB10" s="20">
        <v>1</v>
      </c>
      <c r="AC10" s="37">
        <v>1</v>
      </c>
      <c r="AD10" s="59">
        <v>1</v>
      </c>
      <c r="AF10" s="13">
        <v>7</v>
      </c>
      <c r="AG10" s="646">
        <v>6</v>
      </c>
      <c r="AH10" s="36">
        <v>6</v>
      </c>
      <c r="AI10" s="5">
        <v>5</v>
      </c>
      <c r="AJ10" s="36">
        <v>2</v>
      </c>
      <c r="AK10" s="45">
        <v>1</v>
      </c>
    </row>
    <row r="11" spans="1:37">
      <c r="A11" s="7">
        <v>8</v>
      </c>
      <c r="B11" s="146">
        <f>IF(Paramètres!$L$46=0,0,VLOOKUP(Paramètres!$L$47,SPELLFACTORY_Spells[#All],2))</f>
        <v>0</v>
      </c>
      <c r="C11" s="147">
        <f>IF($B11=0,0,IF(SUM(Paramètres!$K$6:$K$45)&lt;&gt;Paramètres!$K$3,0,VLOOKUP(MATCH(1,Paramètres!$K$6:$K$45,0),LABO_Spells[#All],2)))</f>
        <v>0</v>
      </c>
      <c r="D11" s="4">
        <f>IF(Paramètres!$L$46=0,0,VLOOKUP(Paramètres!$L$47,SPELLFACTORY_Spells[#All],3))</f>
        <v>0</v>
      </c>
      <c r="E11" s="152">
        <f>IF($D11=0,0,IF(SUM(Paramètres!$K$6:$K$45)&lt;&gt;Paramètres!$K$3,0,VLOOKUP(MATCH(1,Paramètres!$K$6:$K$45,0),LABO_Spells[#All],3)))</f>
        <v>0</v>
      </c>
      <c r="F11" s="2">
        <f>IF(Paramètres!$L$46=0,0,VLOOKUP(Paramètres!$L$47,SPELLFACTORY_Spells[#All],4))</f>
        <v>0</v>
      </c>
      <c r="G11" s="147">
        <f>IF($F11=0,0,IF(SUM(Paramètres!$K$6:$K$45)&lt;&gt;Paramètres!$K$3,0,VLOOKUP(MATCH(1,Paramètres!$K$6:$K$45,0),LABO_Spells[#All],4)))</f>
        <v>0</v>
      </c>
      <c r="H11" s="4">
        <f>IF(Paramètres!$L$46=0,0,VLOOKUP(Paramètres!$L$47,SPELLFACTORY_Spells[#All],5))</f>
        <v>0</v>
      </c>
      <c r="I11" s="152">
        <f>IF($H11=0,0,IF(SUM(Paramètres!$K$6:$K$45)&lt;&gt;Paramètres!$K$3,0,VLOOKUP(MATCH(1,Paramètres!$K$6:$K$45,0),LABO_Spells[#All],5)))</f>
        <v>0</v>
      </c>
      <c r="J11" s="146">
        <f>IF(Paramètres!$L$46=0,0,VLOOKUP(Paramètres!$L$47,SPELLFACTORY_Spells[#All],6))</f>
        <v>0</v>
      </c>
      <c r="K11" s="147">
        <f>IF($J11=0,0,IF(SUM(Paramètres!$K$6:$K$45)&lt;&gt;Paramètres!$K$3,0,VLOOKUP(MATCH(1,Paramètres!$K$6:$K$45,0),LABO_Spells[#All],6)))</f>
        <v>0</v>
      </c>
      <c r="M11" s="7">
        <v>8</v>
      </c>
      <c r="N11" s="67">
        <f t="shared" si="2"/>
        <v>0</v>
      </c>
      <c r="O11" s="64">
        <f t="shared" si="3"/>
        <v>0</v>
      </c>
      <c r="P11" s="65">
        <f t="shared" si="4"/>
        <v>0</v>
      </c>
      <c r="Q11" s="66">
        <f t="shared" si="5"/>
        <v>0</v>
      </c>
      <c r="R11" s="63">
        <f t="shared" si="6"/>
        <v>0</v>
      </c>
      <c r="S11" s="64">
        <f t="shared" si="7"/>
        <v>0</v>
      </c>
      <c r="T11" s="65">
        <f t="shared" si="8"/>
        <v>0</v>
      </c>
      <c r="U11" s="66">
        <f t="shared" si="9"/>
        <v>0</v>
      </c>
      <c r="V11" s="63">
        <f t="shared" si="10"/>
        <v>0</v>
      </c>
      <c r="W11" s="64">
        <f t="shared" si="11"/>
        <v>0</v>
      </c>
      <c r="AF11" s="13">
        <v>8</v>
      </c>
      <c r="AG11" s="645">
        <v>7</v>
      </c>
      <c r="AH11" s="34">
        <v>6</v>
      </c>
      <c r="AI11" s="6">
        <v>5</v>
      </c>
      <c r="AJ11" s="34">
        <v>3</v>
      </c>
      <c r="AK11" s="46">
        <v>5</v>
      </c>
    </row>
    <row r="12" spans="1:37">
      <c r="A12" s="7">
        <v>9</v>
      </c>
      <c r="B12" s="1">
        <f>IF(Paramètres!$L$46=0,0,VLOOKUP(Paramètres!$L$47,SPELLFACTORY_Spells[#All],2))</f>
        <v>0</v>
      </c>
      <c r="C12" s="147">
        <f>IF($B12=0,0,IF(SUM(Paramètres!$K$6:$K$45)&lt;&gt;Paramètres!$K$3,0,VLOOKUP(MATCH(1,Paramètres!$K$6:$K$45,0),LABO_Spells[#All],2)))</f>
        <v>0</v>
      </c>
      <c r="D12" s="3">
        <f>IF(Paramètres!$L$46=0,0,VLOOKUP(Paramètres!$L$47,SPELLFACTORY_Spells[#All],3))</f>
        <v>0</v>
      </c>
      <c r="E12" s="152">
        <f>IF($D12=0,0,IF(SUM(Paramètres!$K$6:$K$45)&lt;&gt;Paramètres!$K$3,0,VLOOKUP(MATCH(1,Paramètres!$K$6:$K$45,0),LABO_Spells[#All],3)))</f>
        <v>0</v>
      </c>
      <c r="F12" s="1">
        <f>IF(Paramètres!$L$46=0,0,VLOOKUP(Paramètres!$L$47,SPELLFACTORY_Spells[#All],4))</f>
        <v>0</v>
      </c>
      <c r="G12" s="5">
        <f>IF($F12=0,0,IF(SUM(Paramètres!$K$6:$K$45)&lt;&gt;Paramètres!$K$3,0,VLOOKUP(MATCH(1,Paramètres!$K$6:$K$45,0),LABO_Spells[#All],4)))</f>
        <v>0</v>
      </c>
      <c r="H12" s="3">
        <f>IF(Paramètres!$L$46=0,0,VLOOKUP(Paramètres!$L$47,SPELLFACTORY_Spells[#All],5))</f>
        <v>0</v>
      </c>
      <c r="I12" s="36">
        <f>IF($H12=0,0,IF(SUM(Paramètres!$K$6:$K$45)&lt;&gt;Paramètres!$K$3,0,VLOOKUP(MATCH(1,Paramètres!$K$6:$K$45,0),LABO_Spells[#All],5)))</f>
        <v>0</v>
      </c>
      <c r="J12" s="146">
        <f>IF(Paramètres!$L$46=0,0,VLOOKUP(Paramètres!$L$47,SPELLFACTORY_Spells[#All],6))</f>
        <v>0</v>
      </c>
      <c r="K12" s="147">
        <f>IF($J12=0,0,IF(SUM(Paramètres!$K$6:$K$45)&lt;&gt;Paramètres!$K$3,0,VLOOKUP(MATCH(1,Paramètres!$K$6:$K$45,0),LABO_Spells[#All],6)))</f>
        <v>0</v>
      </c>
      <c r="M12" s="7">
        <v>9</v>
      </c>
      <c r="N12" s="67">
        <f t="shared" si="2"/>
        <v>0</v>
      </c>
      <c r="O12" s="64">
        <f t="shared" si="3"/>
        <v>0</v>
      </c>
      <c r="P12" s="65">
        <f t="shared" si="4"/>
        <v>0</v>
      </c>
      <c r="Q12" s="66">
        <f t="shared" si="5"/>
        <v>0</v>
      </c>
      <c r="R12" s="63">
        <f t="shared" si="6"/>
        <v>0</v>
      </c>
      <c r="S12" s="64">
        <f t="shared" si="7"/>
        <v>0</v>
      </c>
      <c r="T12" s="65">
        <f t="shared" si="8"/>
        <v>0</v>
      </c>
      <c r="U12" s="66">
        <f t="shared" si="9"/>
        <v>0</v>
      </c>
      <c r="V12" s="63">
        <f t="shared" si="10"/>
        <v>0</v>
      </c>
      <c r="W12" s="64">
        <f t="shared" si="11"/>
        <v>0</v>
      </c>
      <c r="AF12" s="19">
        <v>9</v>
      </c>
      <c r="AG12" s="647">
        <v>7</v>
      </c>
      <c r="AH12" s="37">
        <v>6</v>
      </c>
      <c r="AI12" s="20">
        <v>5</v>
      </c>
      <c r="AJ12" s="37">
        <v>3</v>
      </c>
      <c r="AK12" s="59">
        <v>5</v>
      </c>
    </row>
    <row r="13" spans="1:37" ht="12" thickBot="1">
      <c r="A13" s="8">
        <v>10</v>
      </c>
      <c r="B13" s="22">
        <f>IF(Paramètres!$L$46=0,0,VLOOKUP(Paramètres!$L$47,SPELLFACTORY_Spells[#All],2))</f>
        <v>0</v>
      </c>
      <c r="C13" s="147">
        <f>IF($B13=0,0,IF(SUM(Paramètres!$K$6:$K$45)&lt;&gt;Paramètres!$K$3,0,VLOOKUP(MATCH(1,Paramètres!$K$6:$K$45,0),LABO_Spells[#All],2)))</f>
        <v>0</v>
      </c>
      <c r="D13" s="21">
        <f>IF(Paramètres!$L$46=0,0,VLOOKUP(Paramètres!$L$47,SPELLFACTORY_Spells[#All],3))</f>
        <v>0</v>
      </c>
      <c r="E13" s="152">
        <f>IF($D13=0,0,IF(SUM(Paramètres!$K$6:$K$45)&lt;&gt;Paramètres!$K$3,0,VLOOKUP(MATCH(1,Paramètres!$K$6:$K$45,0),LABO_Spells[#All],3)))</f>
        <v>0</v>
      </c>
      <c r="F13" s="22">
        <f>IF(Paramètres!$L$46=0,0,VLOOKUP(Paramètres!$L$47,SPELLFACTORY_Spells[#All],4))</f>
        <v>0</v>
      </c>
      <c r="G13" s="20">
        <f>IF($F13=0,0,IF(SUM(Paramètres!$K$6:$K$45)&lt;&gt;Paramètres!$K$3,0,VLOOKUP(MATCH(1,Paramètres!$K$6:$K$45,0),LABO_Spells[#All],4)))</f>
        <v>0</v>
      </c>
      <c r="H13" s="21">
        <f>IF(Paramètres!$L$46=0,0,VLOOKUP(Paramètres!$L$47,SPELLFACTORY_Spells[#All],5))</f>
        <v>0</v>
      </c>
      <c r="I13" s="37">
        <f>IF($H13=0,0,IF(SUM(Paramètres!$K$6:$K$45)&lt;&gt;Paramètres!$K$3,0,VLOOKUP(MATCH(1,Paramètres!$K$6:$K$45,0),LABO_Spells[#All],5)))</f>
        <v>0</v>
      </c>
      <c r="J13" s="146">
        <f>IF(Paramètres!$L$46=0,0,VLOOKUP(Paramètres!$L$47,SPELLFACTORY_Spells[#All],6))</f>
        <v>0</v>
      </c>
      <c r="K13" s="147">
        <f>IF($J13=0,0,IF(SUM(Paramètres!$K$6:$K$45)&lt;&gt;Paramètres!$K$3,0,VLOOKUP(MATCH(1,Paramètres!$K$6:$K$45,0),LABO_Spells[#All],6)))</f>
        <v>0</v>
      </c>
      <c r="M13" s="8">
        <v>10</v>
      </c>
      <c r="N13" s="67">
        <f t="shared" si="2"/>
        <v>0</v>
      </c>
      <c r="O13" s="64">
        <f t="shared" si="3"/>
        <v>0</v>
      </c>
      <c r="P13" s="65">
        <f t="shared" si="4"/>
        <v>0</v>
      </c>
      <c r="Q13" s="66">
        <f t="shared" si="5"/>
        <v>0</v>
      </c>
      <c r="R13" s="63">
        <f t="shared" si="6"/>
        <v>0</v>
      </c>
      <c r="S13" s="64">
        <f t="shared" si="7"/>
        <v>0</v>
      </c>
      <c r="T13" s="65">
        <f t="shared" si="8"/>
        <v>0</v>
      </c>
      <c r="U13" s="66">
        <f t="shared" si="9"/>
        <v>0</v>
      </c>
      <c r="V13" s="63">
        <f t="shared" si="10"/>
        <v>0</v>
      </c>
      <c r="W13" s="64">
        <f t="shared" si="11"/>
        <v>0</v>
      </c>
    </row>
    <row r="14" spans="1:37">
      <c r="A14" s="188">
        <v>11</v>
      </c>
      <c r="B14" s="22">
        <f>IF(Paramètres!$L$46=0,0,VLOOKUP(Paramètres!$L$47,SPELLFACTORY_Spells[#All],2))</f>
        <v>0</v>
      </c>
      <c r="C14" s="147">
        <f>IF($B14=0,0,IF(SUM(Paramètres!$K$6:$K$45)&lt;&gt;Paramètres!$K$3,0,VLOOKUP(MATCH(1,Paramètres!$K$6:$K$45,0),LABO_Spells[#All],2)))</f>
        <v>0</v>
      </c>
      <c r="D14" s="21">
        <f>IF(Paramètres!$L$46=0,0,VLOOKUP(Paramètres!$L$47,SPELLFACTORY_Spells[#All],3))</f>
        <v>0</v>
      </c>
      <c r="E14" s="152">
        <f>IF($D14=0,0,IF(SUM(Paramètres!$K$6:$K$45)&lt;&gt;Paramètres!$K$3,0,VLOOKUP(MATCH(1,Paramètres!$K$6:$K$45,0),LABO_Spells[#All],3)))</f>
        <v>0</v>
      </c>
      <c r="F14" s="22">
        <f>IF(Paramètres!$L$46=0,0,VLOOKUP(Paramètres!$L$47,SPELLFACTORY_Spells[#All],4))</f>
        <v>0</v>
      </c>
      <c r="G14" s="20">
        <f>IF($F14=0,0,IF(SUM(Paramètres!$K$6:$K$45)&lt;&gt;Paramètres!$K$3,0,VLOOKUP(MATCH(1,Paramètres!$K$6:$K$45,0),LABO_Spells[#All],4)))</f>
        <v>0</v>
      </c>
      <c r="H14" s="21">
        <f>IF(Paramètres!$L$46=0,0,VLOOKUP(Paramètres!$L$47,SPELLFACTORY_Spells[#All],5))</f>
        <v>0</v>
      </c>
      <c r="I14" s="37">
        <f>IF($H14=0,0,IF(SUM(Paramètres!$K$6:$K$45)&lt;&gt;Paramètres!$K$3,0,VLOOKUP(MATCH(1,Paramètres!$K$6:$K$45,0),LABO_Spells[#All],5)))</f>
        <v>0</v>
      </c>
      <c r="J14" s="146">
        <f>IF(Paramètres!$L$46=0,0,VLOOKUP(Paramètres!$L$47,SPELLFACTORY_Spells[#All],6))</f>
        <v>0</v>
      </c>
      <c r="K14" s="147">
        <f>IF($J14=0,0,IF(SUM(Paramètres!$K$6:$K$45)&lt;&gt;Paramètres!$K$3,0,VLOOKUP(MATCH(1,Paramètres!$K$6:$K$45,0),LABO_Spells[#All],6)))</f>
        <v>0</v>
      </c>
      <c r="M14" s="188">
        <v>11</v>
      </c>
      <c r="N14" s="919">
        <f t="shared" ref="N14" si="12">B14-B13</f>
        <v>0</v>
      </c>
      <c r="O14" s="920">
        <f t="shared" ref="O14" si="13">C14-C13</f>
        <v>0</v>
      </c>
      <c r="P14" s="921">
        <f t="shared" ref="P14" si="14">D14-D13</f>
        <v>0</v>
      </c>
      <c r="Q14" s="922">
        <f t="shared" ref="Q14" si="15">E14-E13</f>
        <v>0</v>
      </c>
      <c r="R14" s="923">
        <f t="shared" ref="R14" si="16">F14-F13</f>
        <v>0</v>
      </c>
      <c r="S14" s="920">
        <f t="shared" ref="S14" si="17">G14-G13</f>
        <v>0</v>
      </c>
      <c r="T14" s="921">
        <f t="shared" ref="T14" si="18">H14-H13</f>
        <v>0</v>
      </c>
      <c r="U14" s="922">
        <f t="shared" ref="U14" si="19">I14-I13</f>
        <v>0</v>
      </c>
      <c r="V14" s="923">
        <f t="shared" ref="V14" si="20">J14-J13</f>
        <v>0</v>
      </c>
      <c r="W14" s="920">
        <f t="shared" ref="W14" si="21">K14-K13</f>
        <v>0</v>
      </c>
    </row>
    <row r="15" spans="1:37" ht="12" thickBot="1"/>
    <row r="16" spans="1:37" ht="19.5" customHeight="1" thickBot="1">
      <c r="A16" s="1272" t="s">
        <v>706</v>
      </c>
      <c r="B16" s="1273"/>
      <c r="C16" s="1273"/>
      <c r="D16" s="1273"/>
      <c r="E16" s="1273"/>
      <c r="F16" s="1273"/>
      <c r="G16" s="1274"/>
      <c r="I16" s="1272" t="s">
        <v>705</v>
      </c>
      <c r="J16" s="1273"/>
      <c r="K16" s="1273"/>
      <c r="L16" s="1273"/>
      <c r="M16" s="1273"/>
      <c r="N16" s="1273"/>
      <c r="O16" s="1274"/>
      <c r="Q16" s="1272" t="s">
        <v>702</v>
      </c>
      <c r="R16" s="1273"/>
      <c r="S16" s="1273"/>
      <c r="T16" s="1274"/>
      <c r="V16" s="1272" t="s">
        <v>208</v>
      </c>
      <c r="W16" s="1273"/>
      <c r="X16" s="1273"/>
      <c r="Y16" s="1274"/>
    </row>
    <row r="17" spans="1:67" ht="57" thickBot="1">
      <c r="A17" s="144" t="s">
        <v>17</v>
      </c>
      <c r="B17" s="17" t="s">
        <v>707</v>
      </c>
      <c r="C17" s="17" t="s">
        <v>15</v>
      </c>
      <c r="D17" s="17" t="s">
        <v>719</v>
      </c>
      <c r="E17" s="17" t="s">
        <v>21</v>
      </c>
      <c r="F17" s="17" t="s">
        <v>708</v>
      </c>
      <c r="G17" s="17" t="s">
        <v>22</v>
      </c>
      <c r="I17" s="144" t="s">
        <v>17</v>
      </c>
      <c r="J17" s="17" t="s">
        <v>707</v>
      </c>
      <c r="K17" s="17" t="s">
        <v>15</v>
      </c>
      <c r="L17" s="17" t="s">
        <v>719</v>
      </c>
      <c r="M17" s="17" t="s">
        <v>21</v>
      </c>
      <c r="N17" s="17" t="s">
        <v>708</v>
      </c>
      <c r="O17" s="17" t="s">
        <v>22</v>
      </c>
      <c r="Q17" s="12" t="s">
        <v>704</v>
      </c>
      <c r="R17" s="558" t="s">
        <v>707</v>
      </c>
      <c r="S17" s="559" t="s">
        <v>719</v>
      </c>
      <c r="T17" s="559" t="s">
        <v>708</v>
      </c>
      <c r="V17" s="12" t="s">
        <v>640</v>
      </c>
      <c r="W17" s="558" t="s">
        <v>707</v>
      </c>
      <c r="X17" s="559" t="s">
        <v>719</v>
      </c>
      <c r="Y17" s="559" t="s">
        <v>708</v>
      </c>
    </row>
    <row r="18" spans="1:67">
      <c r="A18" s="51">
        <v>0</v>
      </c>
      <c r="B18" s="805">
        <f>IF(Paramètres!$M$46=0,0,VLOOKUP(Paramètres!$M$47,SPELLFACTORY_DarkSpells[#All],2))</f>
        <v>0</v>
      </c>
      <c r="C18" s="806">
        <f>IF($B18=0,0,IF(SUM(Paramètres!$K$6:$K$45)&lt;&gt;Paramètres!$K$3,0,VLOOKUP(MATCH(1,Paramètres!$K$6:$K$45,0),LABO_Dark_Spells[#All],2)))</f>
        <v>0</v>
      </c>
      <c r="D18" s="807">
        <f>IF(Paramètres!$M$46=0,0,VLOOKUP(Paramètres!$M$47,SPELLFACTORY_DarkSpells[#All],3))</f>
        <v>0</v>
      </c>
      <c r="E18" s="808">
        <f>IF($D18=0,0,IF(SUM(Paramètres!$K$6:$K$45)&lt;&gt;Paramètres!$K$3,0,VLOOKUP(MATCH(1,Paramètres!$K$6:$K$45,0),LABO_Dark_Spells[#All],3)))</f>
        <v>0</v>
      </c>
      <c r="F18" s="805">
        <f>IF(Paramètres!$M$46=0,0,VLOOKUP(Paramètres!$M$47,SPELLFACTORY_DarkSpells[#All],4))</f>
        <v>0</v>
      </c>
      <c r="G18" s="806">
        <f>IF($F18=0,0,IF(SUM(Paramètres!$K$6:$K$45)&lt;&gt;Paramètres!$K$3,0,VLOOKUP(MATCH(1,Paramètres!$K$6:$K$45,0),LABO_Dark_Spells[#All],4)))</f>
        <v>0</v>
      </c>
      <c r="I18" s="51">
        <v>0</v>
      </c>
      <c r="J18" s="148">
        <f t="shared" ref="J18" si="22">B18</f>
        <v>0</v>
      </c>
      <c r="K18" s="149">
        <f t="shared" ref="K18" si="23">C18</f>
        <v>0</v>
      </c>
      <c r="L18" s="153">
        <f>D18</f>
        <v>0</v>
      </c>
      <c r="M18" s="154">
        <f t="shared" ref="M18" si="24">E18</f>
        <v>0</v>
      </c>
      <c r="N18" s="150">
        <f t="shared" ref="N18" si="25">F18</f>
        <v>0</v>
      </c>
      <c r="O18" s="149">
        <f t="shared" ref="O18" si="26">G18</f>
        <v>0</v>
      </c>
      <c r="Q18" s="13">
        <v>0</v>
      </c>
      <c r="R18" s="645">
        <v>0</v>
      </c>
      <c r="S18" s="34">
        <v>0</v>
      </c>
      <c r="T18" s="6">
        <v>0</v>
      </c>
      <c r="V18" s="13">
        <v>0</v>
      </c>
      <c r="W18" s="645">
        <v>0</v>
      </c>
      <c r="X18" s="34">
        <v>0</v>
      </c>
      <c r="Y18" s="6">
        <v>0</v>
      </c>
    </row>
    <row r="19" spans="1:67">
      <c r="A19" s="145">
        <v>1</v>
      </c>
      <c r="B19" s="805">
        <f>IF(Paramètres!$M$46=0,0,VLOOKUP(Paramètres!$M$47,SPELLFACTORY_DarkSpells[#All],2))</f>
        <v>0</v>
      </c>
      <c r="C19" s="806">
        <f>IF($B19=0,0,IF(SUM(Paramètres!$K$6:$K$45)&lt;&gt;Paramètres!$K$3,0,VLOOKUP(MATCH(1,Paramètres!$K$6:$K$45,0),LABO_Dark_Spells[#All],2)))</f>
        <v>0</v>
      </c>
      <c r="D19" s="807">
        <f>IF(Paramètres!$M$46=0,0,VLOOKUP(Paramètres!$M$47,SPELLFACTORY_DarkSpells[#All],3))</f>
        <v>0</v>
      </c>
      <c r="E19" s="808">
        <f>IF($D19=0,0,IF(SUM(Paramètres!$K$6:$K$45)&lt;&gt;Paramètres!$K$3,0,VLOOKUP(MATCH(1,Paramètres!$K$6:$K$45,0),LABO_Dark_Spells[#All],3)))</f>
        <v>0</v>
      </c>
      <c r="F19" s="805">
        <f>IF(Paramètres!$M$46=0,0,VLOOKUP(Paramètres!$M$47,SPELLFACTORY_DarkSpells[#All],4))</f>
        <v>0</v>
      </c>
      <c r="G19" s="806">
        <f>IF($F19=0,0,IF(SUM(Paramètres!$K$6:$K$45)&lt;&gt;Paramètres!$K$3,0,VLOOKUP(MATCH(1,Paramètres!$K$6:$K$45,0),LABO_Dark_Spells[#All],4)))</f>
        <v>0</v>
      </c>
      <c r="I19" s="145">
        <v>1</v>
      </c>
      <c r="J19" s="67">
        <f t="shared" ref="J19:J28" si="27">B19-B18</f>
        <v>0</v>
      </c>
      <c r="K19" s="64">
        <f t="shared" ref="K19:K28" si="28">C19-C18</f>
        <v>0</v>
      </c>
      <c r="L19" s="65">
        <f t="shared" ref="L19:L28" si="29">D19-D18</f>
        <v>0</v>
      </c>
      <c r="M19" s="66">
        <f t="shared" ref="M19:M28" si="30">E19-E18</f>
        <v>0</v>
      </c>
      <c r="N19" s="63">
        <f t="shared" ref="N19:N28" si="31">F19-F18</f>
        <v>0</v>
      </c>
      <c r="O19" s="64">
        <f t="shared" ref="O19:O28" si="32">G19-G18</f>
        <v>0</v>
      </c>
      <c r="Q19" s="13">
        <v>1</v>
      </c>
      <c r="R19" s="646">
        <v>1</v>
      </c>
      <c r="S19" s="36">
        <v>0</v>
      </c>
      <c r="T19" s="5">
        <v>0</v>
      </c>
      <c r="V19" s="13">
        <v>1</v>
      </c>
      <c r="W19" s="646">
        <v>0</v>
      </c>
      <c r="X19" s="36">
        <v>0</v>
      </c>
      <c r="Y19" s="5">
        <v>0</v>
      </c>
    </row>
    <row r="20" spans="1:67">
      <c r="A20" s="7">
        <v>2</v>
      </c>
      <c r="B20" s="805">
        <f>IF(Paramètres!$M$46=0,0,VLOOKUP(Paramètres!$M$47,SPELLFACTORY_DarkSpells[#All],2))</f>
        <v>0</v>
      </c>
      <c r="C20" s="806">
        <f>IF($B20=0,0,IF(SUM(Paramètres!$K$6:$K$45)&lt;&gt;Paramètres!$K$3,0,VLOOKUP(MATCH(1,Paramètres!$K$6:$K$45,0),LABO_Dark_Spells[#All],2)))</f>
        <v>0</v>
      </c>
      <c r="D20" s="807">
        <f>IF(Paramètres!$M$46=0,0,VLOOKUP(Paramètres!$M$47,SPELLFACTORY_DarkSpells[#All],3))</f>
        <v>0</v>
      </c>
      <c r="E20" s="808">
        <f>IF($D20=0,0,IF(SUM(Paramètres!$K$6:$K$45)&lt;&gt;Paramètres!$K$3,0,VLOOKUP(MATCH(1,Paramètres!$K$6:$K$45,0),LABO_Dark_Spells[#All],3)))</f>
        <v>0</v>
      </c>
      <c r="F20" s="805">
        <f>IF(Paramètres!$M$46=0,0,VLOOKUP(Paramètres!$M$47,SPELLFACTORY_DarkSpells[#All],4))</f>
        <v>0</v>
      </c>
      <c r="G20" s="806">
        <f>IF($F20=0,0,IF(SUM(Paramètres!$K$6:$K$45)&lt;&gt;Paramètres!$K$3,0,VLOOKUP(MATCH(1,Paramètres!$K$6:$K$45,0),LABO_Dark_Spells[#All],4)))</f>
        <v>0</v>
      </c>
      <c r="I20" s="7">
        <v>2</v>
      </c>
      <c r="J20" s="67">
        <f t="shared" si="27"/>
        <v>0</v>
      </c>
      <c r="K20" s="64">
        <f t="shared" si="28"/>
        <v>0</v>
      </c>
      <c r="L20" s="65">
        <f t="shared" si="29"/>
        <v>0</v>
      </c>
      <c r="M20" s="66">
        <f t="shared" si="30"/>
        <v>0</v>
      </c>
      <c r="N20" s="63">
        <f t="shared" si="31"/>
        <v>0</v>
      </c>
      <c r="O20" s="64">
        <f t="shared" si="32"/>
        <v>0</v>
      </c>
      <c r="Q20" s="13">
        <v>2</v>
      </c>
      <c r="R20" s="645">
        <v>1</v>
      </c>
      <c r="S20" s="34">
        <v>1</v>
      </c>
      <c r="T20" s="6">
        <v>0</v>
      </c>
      <c r="V20" s="13">
        <v>2</v>
      </c>
      <c r="W20" s="645">
        <v>0</v>
      </c>
      <c r="X20" s="34">
        <v>0</v>
      </c>
      <c r="Y20" s="6">
        <v>0</v>
      </c>
    </row>
    <row r="21" spans="1:67">
      <c r="A21" s="7">
        <v>3</v>
      </c>
      <c r="B21" s="805">
        <f>IF(Paramètres!$M$46=0,0,VLOOKUP(Paramètres!$M$47,SPELLFACTORY_DarkSpells[#All],2))</f>
        <v>0</v>
      </c>
      <c r="C21" s="806">
        <f>IF($B21=0,0,IF(SUM(Paramètres!$K$6:$K$45)&lt;&gt;Paramètres!$K$3,0,VLOOKUP(MATCH(1,Paramètres!$K$6:$K$45,0),LABO_Dark_Spells[#All],2)))</f>
        <v>0</v>
      </c>
      <c r="D21" s="807">
        <f>IF(Paramètres!$M$46=0,0,VLOOKUP(Paramètres!$M$47,SPELLFACTORY_DarkSpells[#All],3))</f>
        <v>0</v>
      </c>
      <c r="E21" s="808">
        <f>IF($D21=0,0,IF(SUM(Paramètres!$K$6:$K$45)&lt;&gt;Paramètres!$K$3,0,VLOOKUP(MATCH(1,Paramètres!$K$6:$K$45,0),LABO_Dark_Spells[#All],3)))</f>
        <v>0</v>
      </c>
      <c r="F21" s="805">
        <f>IF(Paramètres!$M$46=0,0,VLOOKUP(Paramètres!$M$47,SPELLFACTORY_DarkSpells[#All],4))</f>
        <v>0</v>
      </c>
      <c r="G21" s="806">
        <f>IF($F21=0,0,IF(SUM(Paramètres!$K$6:$K$45)&lt;&gt;Paramètres!$K$3,0,VLOOKUP(MATCH(1,Paramètres!$K$6:$K$45,0),LABO_Dark_Spells[#All],4)))</f>
        <v>0</v>
      </c>
      <c r="I21" s="7">
        <v>3</v>
      </c>
      <c r="J21" s="67">
        <f t="shared" si="27"/>
        <v>0</v>
      </c>
      <c r="K21" s="64">
        <f t="shared" si="28"/>
        <v>0</v>
      </c>
      <c r="L21" s="65">
        <f t="shared" si="29"/>
        <v>0</v>
      </c>
      <c r="M21" s="66">
        <f t="shared" si="30"/>
        <v>0</v>
      </c>
      <c r="N21" s="63">
        <f t="shared" si="31"/>
        <v>0</v>
      </c>
      <c r="O21" s="64">
        <f t="shared" si="32"/>
        <v>0</v>
      </c>
      <c r="Q21" s="13">
        <v>3</v>
      </c>
      <c r="R21" s="646">
        <v>1</v>
      </c>
      <c r="S21" s="36">
        <v>1</v>
      </c>
      <c r="T21" s="5">
        <v>1</v>
      </c>
      <c r="V21" s="13">
        <v>3</v>
      </c>
      <c r="W21" s="646">
        <v>0</v>
      </c>
      <c r="X21" s="36">
        <v>0</v>
      </c>
      <c r="Y21" s="5">
        <v>0</v>
      </c>
    </row>
    <row r="22" spans="1:67">
      <c r="A22" s="7">
        <v>4</v>
      </c>
      <c r="B22" s="805">
        <f>IF(Paramètres!$M$46=0,0,VLOOKUP(Paramètres!$M$47,SPELLFACTORY_DarkSpells[#All],2))</f>
        <v>0</v>
      </c>
      <c r="C22" s="806">
        <f>IF($B22=0,0,IF(SUM(Paramètres!$K$6:$K$45)&lt;&gt;Paramètres!$K$3,0,VLOOKUP(MATCH(1,Paramètres!$K$6:$K$45,0),LABO_Dark_Spells[#All],2)))</f>
        <v>0</v>
      </c>
      <c r="D22" s="807">
        <f>IF(Paramètres!$M$46=0,0,VLOOKUP(Paramètres!$M$47,SPELLFACTORY_DarkSpells[#All],3))</f>
        <v>0</v>
      </c>
      <c r="E22" s="808">
        <f>IF($D22=0,0,IF(SUM(Paramètres!$K$6:$K$45)&lt;&gt;Paramètres!$K$3,0,VLOOKUP(MATCH(1,Paramètres!$K$6:$K$45,0),LABO_Dark_Spells[#All],3)))</f>
        <v>0</v>
      </c>
      <c r="F22" s="805">
        <f>IF(Paramètres!$M$46=0,0,VLOOKUP(Paramètres!$M$47,SPELLFACTORY_DarkSpells[#All],4))</f>
        <v>0</v>
      </c>
      <c r="G22" s="806">
        <f>IF($F22=0,0,IF(SUM(Paramètres!$K$6:$K$45)&lt;&gt;Paramètres!$K$3,0,VLOOKUP(MATCH(1,Paramètres!$K$6:$K$45,0),LABO_Dark_Spells[#All],4)))</f>
        <v>0</v>
      </c>
      <c r="I22" s="7">
        <v>4</v>
      </c>
      <c r="J22" s="67">
        <f t="shared" si="27"/>
        <v>0</v>
      </c>
      <c r="K22" s="64">
        <f t="shared" si="28"/>
        <v>0</v>
      </c>
      <c r="L22" s="65">
        <f t="shared" si="29"/>
        <v>0</v>
      </c>
      <c r="M22" s="66">
        <f t="shared" si="30"/>
        <v>0</v>
      </c>
      <c r="N22" s="63">
        <f t="shared" si="31"/>
        <v>0</v>
      </c>
      <c r="O22" s="64">
        <f t="shared" si="32"/>
        <v>0</v>
      </c>
      <c r="Q22" s="13">
        <v>4</v>
      </c>
      <c r="R22" s="645">
        <v>1</v>
      </c>
      <c r="S22" s="34">
        <v>1</v>
      </c>
      <c r="T22" s="6">
        <v>1</v>
      </c>
      <c r="V22" s="13">
        <v>4</v>
      </c>
      <c r="W22" s="645">
        <v>0</v>
      </c>
      <c r="X22" s="34">
        <v>0</v>
      </c>
      <c r="Y22" s="6">
        <v>0</v>
      </c>
    </row>
    <row r="23" spans="1:67">
      <c r="A23" s="7">
        <v>5</v>
      </c>
      <c r="B23" s="805">
        <f>IF(Paramètres!$M$46=0,0,VLOOKUP(Paramètres!$M$47,SPELLFACTORY_DarkSpells[#All],2))</f>
        <v>0</v>
      </c>
      <c r="C23" s="806">
        <f>IF($B23=0,0,IF(SUM(Paramètres!$K$6:$K$45)&lt;&gt;Paramètres!$K$3,0,VLOOKUP(MATCH(1,Paramètres!$K$6:$K$45,0),LABO_Dark_Spells[#All],2)))</f>
        <v>0</v>
      </c>
      <c r="D23" s="807">
        <f>IF(Paramètres!$M$46=0,0,VLOOKUP(Paramètres!$M$47,SPELLFACTORY_DarkSpells[#All],3))</f>
        <v>0</v>
      </c>
      <c r="E23" s="808">
        <f>IF($D23=0,0,IF(SUM(Paramètres!$K$6:$K$45)&lt;&gt;Paramètres!$K$3,0,VLOOKUP(MATCH(1,Paramètres!$K$6:$K$45,0),LABO_Dark_Spells[#All],3)))</f>
        <v>0</v>
      </c>
      <c r="F23" s="805">
        <f>IF(Paramètres!$M$46=0,0,VLOOKUP(Paramètres!$M$47,SPELLFACTORY_DarkSpells[#All],4))</f>
        <v>0</v>
      </c>
      <c r="G23" s="806">
        <f>IF($F23=0,0,IF(SUM(Paramètres!$K$6:$K$45)&lt;&gt;Paramètres!$K$3,0,VLOOKUP(MATCH(1,Paramètres!$K$6:$K$45,0),LABO_Dark_Spells[#All],4)))</f>
        <v>0</v>
      </c>
      <c r="I23" s="7">
        <v>5</v>
      </c>
      <c r="J23" s="67">
        <f t="shared" si="27"/>
        <v>0</v>
      </c>
      <c r="K23" s="64">
        <f t="shared" si="28"/>
        <v>0</v>
      </c>
      <c r="L23" s="65">
        <f t="shared" si="29"/>
        <v>0</v>
      </c>
      <c r="M23" s="66">
        <f t="shared" si="30"/>
        <v>0</v>
      </c>
      <c r="N23" s="63">
        <f t="shared" si="31"/>
        <v>0</v>
      </c>
      <c r="O23" s="64">
        <f t="shared" si="32"/>
        <v>0</v>
      </c>
      <c r="Q23" s="13">
        <v>5</v>
      </c>
      <c r="R23" s="646">
        <v>1</v>
      </c>
      <c r="S23" s="36">
        <v>1</v>
      </c>
      <c r="T23" s="5">
        <v>1</v>
      </c>
      <c r="V23" s="13">
        <v>5</v>
      </c>
      <c r="W23" s="646">
        <v>0</v>
      </c>
      <c r="X23" s="36">
        <v>0</v>
      </c>
      <c r="Y23" s="5">
        <v>0</v>
      </c>
    </row>
    <row r="24" spans="1:67">
      <c r="A24" s="7">
        <v>6</v>
      </c>
      <c r="B24" s="805">
        <f>IF(Paramètres!$M$46=0,0,VLOOKUP(Paramètres!$M$47,SPELLFACTORY_DarkSpells[#All],2))</f>
        <v>0</v>
      </c>
      <c r="C24" s="806">
        <f>IF($B24=0,0,IF(SUM(Paramètres!$K$6:$K$45)&lt;&gt;Paramètres!$K$3,0,VLOOKUP(MATCH(1,Paramètres!$K$6:$K$45,0),LABO_Dark_Spells[#All],2)))</f>
        <v>0</v>
      </c>
      <c r="D24" s="807">
        <f>IF(Paramètres!$M$46=0,0,VLOOKUP(Paramètres!$M$47,SPELLFACTORY_DarkSpells[#All],3))</f>
        <v>0</v>
      </c>
      <c r="E24" s="808">
        <f>IF($D24=0,0,IF(SUM(Paramètres!$K$6:$K$45)&lt;&gt;Paramètres!$K$3,0,VLOOKUP(MATCH(1,Paramètres!$K$6:$K$45,0),LABO_Dark_Spells[#All],3)))</f>
        <v>0</v>
      </c>
      <c r="F24" s="805">
        <f>IF(Paramètres!$M$46=0,0,VLOOKUP(Paramètres!$M$47,SPELLFACTORY_DarkSpells[#All],4))</f>
        <v>0</v>
      </c>
      <c r="G24" s="806">
        <f>IF($F24=0,0,IF(SUM(Paramètres!$K$6:$K$45)&lt;&gt;Paramètres!$K$3,0,VLOOKUP(MATCH(1,Paramètres!$K$6:$K$45,0),LABO_Dark_Spells[#All],4)))</f>
        <v>0</v>
      </c>
      <c r="I24" s="7">
        <v>6</v>
      </c>
      <c r="J24" s="67">
        <f t="shared" si="27"/>
        <v>0</v>
      </c>
      <c r="K24" s="64">
        <f t="shared" si="28"/>
        <v>0</v>
      </c>
      <c r="L24" s="65">
        <f t="shared" si="29"/>
        <v>0</v>
      </c>
      <c r="M24" s="66">
        <f t="shared" si="30"/>
        <v>0</v>
      </c>
      <c r="N24" s="63">
        <f t="shared" si="31"/>
        <v>0</v>
      </c>
      <c r="O24" s="64">
        <f t="shared" si="32"/>
        <v>0</v>
      </c>
      <c r="Q24" s="13">
        <v>6</v>
      </c>
      <c r="R24" s="645">
        <v>1</v>
      </c>
      <c r="S24" s="34">
        <v>1</v>
      </c>
      <c r="T24" s="6">
        <v>1</v>
      </c>
      <c r="V24" s="13">
        <v>6</v>
      </c>
      <c r="W24" s="645">
        <v>2</v>
      </c>
      <c r="X24" s="34">
        <v>2</v>
      </c>
      <c r="Y24" s="6">
        <v>0</v>
      </c>
    </row>
    <row r="25" spans="1:67">
      <c r="A25" s="7">
        <v>7</v>
      </c>
      <c r="B25" s="805">
        <f>IF(Paramètres!$M$46=0,0,VLOOKUP(Paramètres!$M$47,SPELLFACTORY_DarkSpells[#All],2))</f>
        <v>0</v>
      </c>
      <c r="C25" s="806">
        <f>IF($B25=0,0,IF(SUM(Paramètres!$K$6:$K$45)&lt;&gt;Paramètres!$K$3,0,VLOOKUP(MATCH(1,Paramètres!$K$6:$K$45,0),LABO_Dark_Spells[#All],2)))</f>
        <v>0</v>
      </c>
      <c r="D25" s="807">
        <f>IF(Paramètres!$M$46=0,0,VLOOKUP(Paramètres!$M$47,SPELLFACTORY_DarkSpells[#All],3))</f>
        <v>0</v>
      </c>
      <c r="E25" s="808">
        <f>IF($D25=0,0,IF(SUM(Paramètres!$K$6:$K$45)&lt;&gt;Paramètres!$K$3,0,VLOOKUP(MATCH(1,Paramètres!$K$6:$K$45,0),LABO_Dark_Spells[#All],3)))</f>
        <v>0</v>
      </c>
      <c r="F25" s="805">
        <f>IF(Paramètres!$M$46=0,0,VLOOKUP(Paramètres!$M$47,SPELLFACTORY_DarkSpells[#All],4))</f>
        <v>0</v>
      </c>
      <c r="G25" s="806">
        <f>IF($F25=0,0,IF(SUM(Paramètres!$K$6:$K$45)&lt;&gt;Paramètres!$K$3,0,VLOOKUP(MATCH(1,Paramètres!$K$6:$K$45,0),LABO_Dark_Spells[#All],4)))</f>
        <v>0</v>
      </c>
      <c r="I25" s="7">
        <v>7</v>
      </c>
      <c r="J25" s="67">
        <f t="shared" si="27"/>
        <v>0</v>
      </c>
      <c r="K25" s="64">
        <f t="shared" si="28"/>
        <v>0</v>
      </c>
      <c r="L25" s="65">
        <f t="shared" si="29"/>
        <v>0</v>
      </c>
      <c r="M25" s="66">
        <f t="shared" si="30"/>
        <v>0</v>
      </c>
      <c r="N25" s="63">
        <f t="shared" si="31"/>
        <v>0</v>
      </c>
      <c r="O25" s="64">
        <f t="shared" si="32"/>
        <v>0</v>
      </c>
      <c r="V25" s="13">
        <v>7</v>
      </c>
      <c r="W25" s="646">
        <v>3</v>
      </c>
      <c r="X25" s="36">
        <v>3</v>
      </c>
      <c r="Y25" s="5">
        <v>2</v>
      </c>
    </row>
    <row r="26" spans="1:67">
      <c r="A26" s="7">
        <v>8</v>
      </c>
      <c r="B26" s="805">
        <f>IF(Paramètres!$M$46=0,0,VLOOKUP(Paramètres!$M$47,SPELLFACTORY_DarkSpells[#All],2))</f>
        <v>0</v>
      </c>
      <c r="C26" s="806">
        <f>IF($B26=0,0,IF(SUM(Paramètres!$K$6:$K$45)&lt;&gt;Paramètres!$K$3,0,VLOOKUP(MATCH(1,Paramètres!$K$6:$K$45,0),LABO_Dark_Spells[#All],2)))</f>
        <v>0</v>
      </c>
      <c r="D26" s="807">
        <f>IF(Paramètres!$M$46=0,0,VLOOKUP(Paramètres!$M$47,SPELLFACTORY_DarkSpells[#All],3))</f>
        <v>0</v>
      </c>
      <c r="E26" s="808">
        <f>IF($D26=0,0,IF(SUM(Paramètres!$K$6:$K$45)&lt;&gt;Paramètres!$K$3,0,VLOOKUP(MATCH(1,Paramètres!$K$6:$K$45,0),LABO_Dark_Spells[#All],3)))</f>
        <v>0</v>
      </c>
      <c r="F26" s="805">
        <f>IF(Paramètres!$M$46=0,0,VLOOKUP(Paramètres!$M$47,SPELLFACTORY_DarkSpells[#All],4))</f>
        <v>0</v>
      </c>
      <c r="G26" s="806">
        <f>IF($F26=0,0,IF(SUM(Paramètres!$K$6:$K$45)&lt;&gt;Paramètres!$K$3,0,VLOOKUP(MATCH(1,Paramètres!$K$6:$K$45,0),LABO_Dark_Spells[#All],4)))</f>
        <v>0</v>
      </c>
      <c r="I26" s="7">
        <v>8</v>
      </c>
      <c r="J26" s="67">
        <f t="shared" si="27"/>
        <v>0</v>
      </c>
      <c r="K26" s="64">
        <f t="shared" si="28"/>
        <v>0</v>
      </c>
      <c r="L26" s="65">
        <f t="shared" si="29"/>
        <v>0</v>
      </c>
      <c r="M26" s="66">
        <f t="shared" si="30"/>
        <v>0</v>
      </c>
      <c r="N26" s="63">
        <f t="shared" si="31"/>
        <v>0</v>
      </c>
      <c r="O26" s="64">
        <f t="shared" si="32"/>
        <v>0</v>
      </c>
      <c r="V26" s="13">
        <v>8</v>
      </c>
      <c r="W26" s="645">
        <v>4</v>
      </c>
      <c r="X26" s="34">
        <v>4</v>
      </c>
      <c r="Y26" s="6">
        <v>4</v>
      </c>
    </row>
    <row r="27" spans="1:67">
      <c r="A27" s="7">
        <v>9</v>
      </c>
      <c r="B27" s="805">
        <f>IF(Paramètres!$M$46=0,0,VLOOKUP(Paramètres!$M$47,SPELLFACTORY_DarkSpells[#All],2))</f>
        <v>0</v>
      </c>
      <c r="C27" s="806">
        <f>IF($B27=0,0,IF(SUM(Paramètres!$K$6:$K$45)&lt;&gt;Paramètres!$K$3,0,VLOOKUP(MATCH(1,Paramètres!$K$6:$K$45,0),LABO_Dark_Spells[#All],2)))</f>
        <v>0</v>
      </c>
      <c r="D27" s="807">
        <f>IF(Paramètres!$M$46=0,0,VLOOKUP(Paramètres!$M$47,SPELLFACTORY_DarkSpells[#All],3))</f>
        <v>0</v>
      </c>
      <c r="E27" s="808">
        <f>IF($D27=0,0,IF(SUM(Paramètres!$K$6:$K$45)&lt;&gt;Paramètres!$K$3,0,VLOOKUP(MATCH(1,Paramètres!$K$6:$K$45,0),LABO_Dark_Spells[#All],3)))</f>
        <v>0</v>
      </c>
      <c r="F27" s="805">
        <f>IF(Paramètres!$M$46=0,0,VLOOKUP(Paramètres!$M$47,SPELLFACTORY_DarkSpells[#All],4))</f>
        <v>0</v>
      </c>
      <c r="G27" s="806">
        <f>IF($F27=0,0,IF(SUM(Paramètres!$K$6:$K$45)&lt;&gt;Paramètres!$K$3,0,VLOOKUP(MATCH(1,Paramètres!$K$6:$K$45,0),LABO_Dark_Spells[#All],4)))</f>
        <v>0</v>
      </c>
      <c r="I27" s="7">
        <v>9</v>
      </c>
      <c r="J27" s="67">
        <f t="shared" si="27"/>
        <v>0</v>
      </c>
      <c r="K27" s="64">
        <f t="shared" si="28"/>
        <v>0</v>
      </c>
      <c r="L27" s="65">
        <f t="shared" si="29"/>
        <v>0</v>
      </c>
      <c r="M27" s="66">
        <f t="shared" si="30"/>
        <v>0</v>
      </c>
      <c r="N27" s="63">
        <f t="shared" si="31"/>
        <v>0</v>
      </c>
      <c r="O27" s="64">
        <f t="shared" si="32"/>
        <v>0</v>
      </c>
      <c r="V27" s="19">
        <v>9</v>
      </c>
      <c r="W27" s="647">
        <v>4</v>
      </c>
      <c r="X27" s="37">
        <v>4</v>
      </c>
      <c r="Y27" s="20">
        <v>4</v>
      </c>
    </row>
    <row r="28" spans="1:67" ht="12" thickBot="1">
      <c r="A28" s="8">
        <v>10</v>
      </c>
      <c r="B28" s="805">
        <f>IF(Paramètres!$M$46=0,0,VLOOKUP(Paramètres!$M$47,SPELLFACTORY_DarkSpells[#All],2))</f>
        <v>0</v>
      </c>
      <c r="C28" s="806">
        <f>IF($B28=0,0,IF(SUM(Paramètres!$K$6:$K$45)&lt;&gt;Paramètres!$K$3,0,VLOOKUP(MATCH(1,Paramètres!$K$6:$K$45,0),LABO_Dark_Spells[#All],2)))</f>
        <v>0</v>
      </c>
      <c r="D28" s="807">
        <f>IF(Paramètres!$M$46=0,0,VLOOKUP(Paramètres!$M$47,SPELLFACTORY_DarkSpells[#All],3))</f>
        <v>0</v>
      </c>
      <c r="E28" s="808">
        <f>IF($D28=0,0,IF(SUM(Paramètres!$K$6:$K$45)&lt;&gt;Paramètres!$K$3,0,VLOOKUP(MATCH(1,Paramètres!$K$6:$K$45,0),LABO_Dark_Spells[#All],3)))</f>
        <v>0</v>
      </c>
      <c r="F28" s="805">
        <f>IF(Paramètres!$M$46=0,0,VLOOKUP(Paramètres!$M$47,SPELLFACTORY_DarkSpells[#All],4))</f>
        <v>0</v>
      </c>
      <c r="G28" s="806">
        <f>IF($F28=0,0,IF(SUM(Paramètres!$K$6:$K$45)&lt;&gt;Paramètres!$K$3,0,VLOOKUP(MATCH(1,Paramètres!$K$6:$K$45,0),LABO_Dark_Spells[#All],4)))</f>
        <v>0</v>
      </c>
      <c r="I28" s="8">
        <v>10</v>
      </c>
      <c r="J28" s="67">
        <f t="shared" si="27"/>
        <v>0</v>
      </c>
      <c r="K28" s="64">
        <f t="shared" si="28"/>
        <v>0</v>
      </c>
      <c r="L28" s="65">
        <f t="shared" si="29"/>
        <v>0</v>
      </c>
      <c r="M28" s="66">
        <f t="shared" si="30"/>
        <v>0</v>
      </c>
      <c r="N28" s="63">
        <f t="shared" si="31"/>
        <v>0</v>
      </c>
      <c r="O28" s="64">
        <f t="shared" si="32"/>
        <v>0</v>
      </c>
    </row>
    <row r="29" spans="1:67">
      <c r="A29" s="188">
        <v>11</v>
      </c>
      <c r="B29" s="925">
        <f>IF(Paramètres!$M$46=0,0,VLOOKUP(Paramètres!$M$47,SPELLFACTORY_DarkSpells[#All],2))</f>
        <v>0</v>
      </c>
      <c r="C29" s="926">
        <f>IF($B29=0,0,IF(SUM(Paramètres!$K$6:$K$45)&lt;&gt;Paramètres!$K$3,0,VLOOKUP(MATCH(1,Paramètres!$K$6:$K$45,0),LABO_Dark_Spells[#All],2)))</f>
        <v>0</v>
      </c>
      <c r="D29" s="927">
        <f>IF(Paramètres!$M$46=0,0,VLOOKUP(Paramètres!$M$47,SPELLFACTORY_DarkSpells[#All],3))</f>
        <v>0</v>
      </c>
      <c r="E29" s="928">
        <f>IF($D29=0,0,IF(SUM(Paramètres!$K$6:$K$45)&lt;&gt;Paramètres!$K$3,0,VLOOKUP(MATCH(1,Paramètres!$K$6:$K$45,0),LABO_Dark_Spells[#All],3)))</f>
        <v>0</v>
      </c>
      <c r="F29" s="925">
        <f>IF(Paramètres!$M$46=0,0,VLOOKUP(Paramètres!$M$47,SPELLFACTORY_DarkSpells[#All],4))</f>
        <v>0</v>
      </c>
      <c r="G29" s="926">
        <f>IF($F29=0,0,IF(SUM(Paramètres!$K$6:$K$45)&lt;&gt;Paramètres!$K$3,0,VLOOKUP(MATCH(1,Paramètres!$K$6:$K$45,0),LABO_Dark_Spells[#All],4)))</f>
        <v>0</v>
      </c>
      <c r="I29" s="188">
        <v>11</v>
      </c>
      <c r="J29" s="919">
        <f t="shared" ref="J29" si="33">B29-B28</f>
        <v>0</v>
      </c>
      <c r="K29" s="920">
        <f t="shared" ref="K29" si="34">C29-C28</f>
        <v>0</v>
      </c>
      <c r="L29" s="921">
        <f t="shared" ref="L29" si="35">D29-D28</f>
        <v>0</v>
      </c>
      <c r="M29" s="922">
        <f t="shared" ref="M29" si="36">E29-E28</f>
        <v>0</v>
      </c>
      <c r="N29" s="923">
        <f t="shared" ref="N29" si="37">F29-F28</f>
        <v>0</v>
      </c>
      <c r="O29" s="920">
        <f t="shared" ref="O29" si="38">G29-G28</f>
        <v>0</v>
      </c>
    </row>
    <row r="30" spans="1:67" ht="12" thickBot="1"/>
    <row r="31" spans="1:67" ht="30" customHeight="1" thickBot="1">
      <c r="A31" s="1272" t="s">
        <v>401</v>
      </c>
      <c r="B31" s="1273"/>
      <c r="C31" s="1273"/>
      <c r="D31" s="1273"/>
      <c r="E31" s="1273"/>
      <c r="F31" s="1273"/>
      <c r="G31" s="1273"/>
      <c r="H31" s="1273"/>
      <c r="I31" s="1273"/>
      <c r="J31" s="1273"/>
      <c r="K31" s="1273"/>
      <c r="L31" s="1273"/>
      <c r="M31" s="1273"/>
      <c r="N31" s="1273"/>
      <c r="O31" s="1273"/>
      <c r="P31" s="1273"/>
      <c r="Q31" s="1273"/>
      <c r="R31" s="1273"/>
      <c r="S31" s="1273"/>
      <c r="T31" s="1273"/>
      <c r="U31" s="1274"/>
      <c r="W31" s="1272" t="s">
        <v>370</v>
      </c>
      <c r="X31" s="1273"/>
      <c r="Y31" s="1273"/>
      <c r="Z31" s="1273"/>
      <c r="AA31" s="1273"/>
      <c r="AB31" s="1273"/>
      <c r="AC31" s="1273"/>
      <c r="AD31" s="1273"/>
      <c r="AE31" s="1273"/>
      <c r="AF31" s="1273"/>
      <c r="AG31" s="1273"/>
      <c r="AH31" s="1273"/>
      <c r="AI31" s="1273"/>
      <c r="AJ31" s="1273"/>
      <c r="AK31" s="1273"/>
      <c r="AL31" s="1273"/>
      <c r="AM31" s="1273"/>
      <c r="AN31" s="1273"/>
      <c r="AO31" s="1273"/>
      <c r="AP31" s="1273"/>
      <c r="AQ31" s="1274"/>
      <c r="AS31" s="1272" t="s">
        <v>207</v>
      </c>
      <c r="AT31" s="1278"/>
      <c r="AU31" s="1278"/>
      <c r="AV31" s="1278"/>
      <c r="AW31" s="1278"/>
      <c r="AX31" s="1278"/>
      <c r="AY31" s="1280"/>
      <c r="AZ31" s="1280"/>
      <c r="BA31" s="1280"/>
      <c r="BB31" s="1280"/>
      <c r="BC31" s="1281"/>
      <c r="BE31" s="1272" t="s">
        <v>208</v>
      </c>
      <c r="BF31" s="1278"/>
      <c r="BG31" s="1278"/>
      <c r="BH31" s="1278"/>
      <c r="BI31" s="1278"/>
      <c r="BJ31" s="1278"/>
      <c r="BK31" s="1280"/>
      <c r="BL31" s="1280"/>
      <c r="BM31" s="1280"/>
      <c r="BN31" s="1280"/>
      <c r="BO31" s="1281"/>
    </row>
    <row r="32" spans="1:67" ht="34.5" thickBot="1">
      <c r="A32" s="144" t="s">
        <v>291</v>
      </c>
      <c r="B32" s="17" t="s">
        <v>195</v>
      </c>
      <c r="C32" s="17" t="s">
        <v>15</v>
      </c>
      <c r="D32" s="17" t="s">
        <v>50</v>
      </c>
      <c r="E32" s="17" t="s">
        <v>21</v>
      </c>
      <c r="F32" s="17" t="s">
        <v>188</v>
      </c>
      <c r="G32" s="17" t="s">
        <v>22</v>
      </c>
      <c r="H32" s="17" t="s">
        <v>189</v>
      </c>
      <c r="I32" s="17" t="s">
        <v>23</v>
      </c>
      <c r="J32" s="17" t="s">
        <v>187</v>
      </c>
      <c r="K32" s="17" t="s">
        <v>24</v>
      </c>
      <c r="L32" s="17" t="s">
        <v>186</v>
      </c>
      <c r="M32" s="17" t="s">
        <v>25</v>
      </c>
      <c r="N32" s="17" t="s">
        <v>185</v>
      </c>
      <c r="O32" s="17" t="s">
        <v>26</v>
      </c>
      <c r="P32" s="17" t="s">
        <v>184</v>
      </c>
      <c r="Q32" s="17" t="s">
        <v>27</v>
      </c>
      <c r="R32" s="17" t="s">
        <v>57</v>
      </c>
      <c r="S32" s="17" t="s">
        <v>28</v>
      </c>
      <c r="T32" s="17" t="s">
        <v>58</v>
      </c>
      <c r="U32" s="57" t="s">
        <v>77</v>
      </c>
      <c r="W32" s="144" t="s">
        <v>291</v>
      </c>
      <c r="X32" s="17" t="s">
        <v>195</v>
      </c>
      <c r="Y32" s="17" t="s">
        <v>15</v>
      </c>
      <c r="Z32" s="17" t="s">
        <v>50</v>
      </c>
      <c r="AA32" s="17" t="s">
        <v>21</v>
      </c>
      <c r="AB32" s="17" t="s">
        <v>188</v>
      </c>
      <c r="AC32" s="17" t="s">
        <v>22</v>
      </c>
      <c r="AD32" s="17" t="s">
        <v>189</v>
      </c>
      <c r="AE32" s="17" t="s">
        <v>23</v>
      </c>
      <c r="AF32" s="17" t="s">
        <v>187</v>
      </c>
      <c r="AG32" s="17" t="s">
        <v>24</v>
      </c>
      <c r="AH32" s="17" t="s">
        <v>186</v>
      </c>
      <c r="AI32" s="17" t="s">
        <v>25</v>
      </c>
      <c r="AJ32" s="17" t="s">
        <v>185</v>
      </c>
      <c r="AK32" s="17" t="s">
        <v>26</v>
      </c>
      <c r="AL32" s="17" t="s">
        <v>184</v>
      </c>
      <c r="AM32" s="17" t="s">
        <v>27</v>
      </c>
      <c r="AN32" s="17" t="s">
        <v>57</v>
      </c>
      <c r="AO32" s="17" t="s">
        <v>28</v>
      </c>
      <c r="AP32" s="17" t="s">
        <v>58</v>
      </c>
      <c r="AQ32" s="57" t="s">
        <v>77</v>
      </c>
      <c r="AS32" s="12" t="s">
        <v>641</v>
      </c>
      <c r="AT32" s="17" t="s">
        <v>195</v>
      </c>
      <c r="AU32" s="17" t="s">
        <v>50</v>
      </c>
      <c r="AV32" s="17" t="s">
        <v>188</v>
      </c>
      <c r="AW32" s="17" t="s">
        <v>189</v>
      </c>
      <c r="AX32" s="17" t="s">
        <v>187</v>
      </c>
      <c r="AY32" s="559" t="s">
        <v>186</v>
      </c>
      <c r="AZ32" s="559" t="s">
        <v>185</v>
      </c>
      <c r="BA32" s="559" t="s">
        <v>184</v>
      </c>
      <c r="BB32" s="559" t="s">
        <v>57</v>
      </c>
      <c r="BC32" s="559" t="s">
        <v>58</v>
      </c>
      <c r="BE32" s="12" t="s">
        <v>613</v>
      </c>
      <c r="BF32" s="17" t="s">
        <v>195</v>
      </c>
      <c r="BG32" s="17" t="s">
        <v>50</v>
      </c>
      <c r="BH32" s="17" t="s">
        <v>188</v>
      </c>
      <c r="BI32" s="17" t="s">
        <v>189</v>
      </c>
      <c r="BJ32" s="17" t="s">
        <v>187</v>
      </c>
      <c r="BK32" s="559" t="s">
        <v>186</v>
      </c>
      <c r="BL32" s="559" t="s">
        <v>185</v>
      </c>
      <c r="BM32" s="559" t="s">
        <v>184</v>
      </c>
      <c r="BN32" s="559" t="s">
        <v>57</v>
      </c>
      <c r="BO32" s="559" t="s">
        <v>58</v>
      </c>
    </row>
    <row r="33" spans="1:67">
      <c r="A33" s="51">
        <v>0</v>
      </c>
      <c r="B33" s="146">
        <f>IF(Paramètres!$H$46=0,0,VLOOKUP(Paramètres!$H$47,BARRACK_Normal_Troops[#All],2))</f>
        <v>0</v>
      </c>
      <c r="C33" s="9">
        <f>IF($B33=0,0,IF(SUM(Paramètres!$K$6:$K$45)&lt;&gt;Paramètres!$K$3,0,VLOOKUP(MATCH(1,Paramètres!$K$6:$K$45,0),LABO_Normal_Troops[#All],2)))</f>
        <v>0</v>
      </c>
      <c r="D33" s="151">
        <f>IF(Paramètres!$H$46=0,0,VLOOKUP(Paramètres!$H$47,BARRACK_Normal_Troops[#All],3))</f>
        <v>0</v>
      </c>
      <c r="E33" s="35">
        <f>IF($D33=0,0,IF(SUM(Paramètres!$K$6:$K$45)&lt;&gt;Paramètres!$K$3,0,VLOOKUP(MATCH(1,Paramètres!$K$6:$K$45,0),LABO_Normal_Troops[#All],3)))</f>
        <v>0</v>
      </c>
      <c r="F33" s="146">
        <f>IF(Paramètres!$H$46=0,0,VLOOKUP(Paramètres!$H$47,BARRACK_Normal_Troops[#All],4))</f>
        <v>0</v>
      </c>
      <c r="G33" s="9">
        <f>IF($F33=0,0,IF(SUM(Paramètres!$K$6:$K$45)&lt;&gt;Paramètres!$K$3,0,VLOOKUP(MATCH(1,Paramètres!$K$6:$K$45,0),LABO_Normal_Troops[#All],4)))</f>
        <v>0</v>
      </c>
      <c r="H33" s="151">
        <f>IF(Paramètres!$H$46=0,0,VLOOKUP(Paramètres!$H$47,BARRACK_Normal_Troops[#All],5))</f>
        <v>0</v>
      </c>
      <c r="I33" s="35">
        <f>IF($H33=0,0,IF(SUM(Paramètres!$K$6:$K$45)&lt;&gt;Paramètres!$K$3,0,VLOOKUP(MATCH(1,Paramètres!$K$6:$K$45,0),LABO_Normal_Troops[#All],5)))</f>
        <v>0</v>
      </c>
      <c r="J33" s="146">
        <f>IF(Paramètres!$H$46=0,0,VLOOKUP(Paramètres!$H$47,BARRACK_Normal_Troops[#All],6))</f>
        <v>0</v>
      </c>
      <c r="K33" s="9">
        <f>IF($J33=0,0,IF(SUM(Paramètres!$K$6:$K$45)&lt;&gt;Paramètres!$K$3,0,VLOOKUP(MATCH(1,Paramètres!$K$6:$K$45,0),LABO_Normal_Troops[#All],6)))</f>
        <v>0</v>
      </c>
      <c r="L33" s="151">
        <f>IF(Paramètres!$H$46=0,0,VLOOKUP(Paramètres!$H$47,BARRACK_Normal_Troops[#All],7))</f>
        <v>0</v>
      </c>
      <c r="M33" s="35">
        <f>IF($L33=0,0,IF(SUM(Paramètres!$K$6:$K$45)&lt;&gt;Paramètres!$K$3,0,VLOOKUP(MATCH(1,Paramètres!$K$6:$K$45,0),LABO_Normal_Troops[#All],7)))</f>
        <v>0</v>
      </c>
      <c r="N33" s="146">
        <f>IF(Paramètres!$H$46=0,0,VLOOKUP(Paramètres!$H$47,BARRACK_Normal_Troops[#All],8))</f>
        <v>0</v>
      </c>
      <c r="O33" s="9">
        <f>IF($N33=0,0,IF(SUM(Paramètres!$K$6:$K$45)&lt;&gt;Paramètres!$K$3,0,VLOOKUP(MATCH(1,Paramètres!$K$6:$K$45,0),LABO_Normal_Troops[#All],8)))</f>
        <v>0</v>
      </c>
      <c r="P33" s="151">
        <f>IF(Paramètres!$H$46=0,0,VLOOKUP(Paramètres!$H$47,BARRACK_Normal_Troops[#All],9))</f>
        <v>0</v>
      </c>
      <c r="Q33" s="35">
        <f>IF($P33=0,0,IF(SUM(Paramètres!$K$6:$K$45)&lt;&gt;Paramètres!$K$3,0,VLOOKUP(MATCH(1,Paramètres!$K$6:$K$45,0),LABO_Normal_Troops[#All],9)))</f>
        <v>0</v>
      </c>
      <c r="R33" s="146">
        <f>IF(Paramètres!$H$46=0,0,VLOOKUP(Paramètres!$H$47,BARRACK_Normal_Troops[#All],10))</f>
        <v>0</v>
      </c>
      <c r="S33" s="9">
        <f>IF($R33=0,0,IF(SUM(Paramètres!$K$6:$K$45)&lt;&gt;Paramètres!$K$3,0,VLOOKUP(MATCH(1,Paramètres!$K$6:$K$45,0),LABO_Normal_Troops[#All],10)))</f>
        <v>0</v>
      </c>
      <c r="T33" s="151">
        <f>IF(Paramètres!$H$46=0,0,VLOOKUP(Paramètres!$H$47,BARRACK_Normal_Troops[#All],11))</f>
        <v>0</v>
      </c>
      <c r="U33" s="35">
        <f>IF($T33=0,0,IF(SUM(Paramètres!$K$6:$K$45)&lt;&gt;Paramètres!$K$3,0,VLOOKUP(MATCH(1,Paramètres!$K$6:$K$45,0),LABO_Normal_Troops[#All],11)))</f>
        <v>0</v>
      </c>
      <c r="W33" s="51">
        <v>0</v>
      </c>
      <c r="X33" s="148">
        <f>'Améliorations - Sorts &amp; Troupes'!B33</f>
        <v>0</v>
      </c>
      <c r="Y33" s="149">
        <f>'Améliorations - Sorts &amp; Troupes'!C33</f>
        <v>0</v>
      </c>
      <c r="Z33" s="153">
        <f>'Améliorations - Sorts &amp; Troupes'!D33</f>
        <v>0</v>
      </c>
      <c r="AA33" s="154">
        <f>'Améliorations - Sorts &amp; Troupes'!E33</f>
        <v>0</v>
      </c>
      <c r="AB33" s="150">
        <f>'Améliorations - Sorts &amp; Troupes'!F33</f>
        <v>0</v>
      </c>
      <c r="AC33" s="149">
        <f>'Améliorations - Sorts &amp; Troupes'!G33</f>
        <v>0</v>
      </c>
      <c r="AD33" s="153">
        <f>'Améliorations - Sorts &amp; Troupes'!H33</f>
        <v>0</v>
      </c>
      <c r="AE33" s="154">
        <f>'Améliorations - Sorts &amp; Troupes'!I33</f>
        <v>0</v>
      </c>
      <c r="AF33" s="150">
        <f>'Améliorations - Sorts &amp; Troupes'!J33</f>
        <v>0</v>
      </c>
      <c r="AG33" s="149">
        <f>'Améliorations - Sorts &amp; Troupes'!K33</f>
        <v>0</v>
      </c>
      <c r="AH33" s="153">
        <f>'Améliorations - Sorts &amp; Troupes'!L33</f>
        <v>0</v>
      </c>
      <c r="AI33" s="154">
        <f>'Améliorations - Sorts &amp; Troupes'!M33</f>
        <v>0</v>
      </c>
      <c r="AJ33" s="150">
        <f>'Améliorations - Sorts &amp; Troupes'!N33</f>
        <v>0</v>
      </c>
      <c r="AK33" s="149">
        <f>'Améliorations - Sorts &amp; Troupes'!O33</f>
        <v>0</v>
      </c>
      <c r="AL33" s="153">
        <f>'Améliorations - Sorts &amp; Troupes'!P33</f>
        <v>0</v>
      </c>
      <c r="AM33" s="154">
        <f>'Améliorations - Sorts &amp; Troupes'!Q34</f>
        <v>0</v>
      </c>
      <c r="AN33" s="150">
        <f>'Améliorations - Sorts &amp; Troupes'!R33</f>
        <v>0</v>
      </c>
      <c r="AO33" s="149">
        <f>'Améliorations - Sorts &amp; Troupes'!S33</f>
        <v>0</v>
      </c>
      <c r="AP33" s="153">
        <f>'Améliorations - Sorts &amp; Troupes'!T33</f>
        <v>0</v>
      </c>
      <c r="AQ33" s="155">
        <f>'Améliorations - Sorts &amp; Troupes'!U33</f>
        <v>0</v>
      </c>
      <c r="AS33" s="13">
        <v>0</v>
      </c>
      <c r="AT33" s="645">
        <v>0</v>
      </c>
      <c r="AU33" s="34">
        <v>0</v>
      </c>
      <c r="AV33" s="6">
        <v>0</v>
      </c>
      <c r="AW33" s="36">
        <v>0</v>
      </c>
      <c r="AX33" s="46">
        <v>0</v>
      </c>
      <c r="AY33" s="34">
        <v>0</v>
      </c>
      <c r="AZ33" s="6">
        <v>0</v>
      </c>
      <c r="BA33" s="34">
        <v>0</v>
      </c>
      <c r="BB33" s="6">
        <v>0</v>
      </c>
      <c r="BC33" s="34">
        <v>0</v>
      </c>
      <c r="BE33" s="13">
        <v>0</v>
      </c>
      <c r="BF33" s="645">
        <v>0</v>
      </c>
      <c r="BG33" s="34">
        <v>0</v>
      </c>
      <c r="BH33" s="6">
        <v>0</v>
      </c>
      <c r="BI33" s="34">
        <v>0</v>
      </c>
      <c r="BJ33" s="46">
        <v>0</v>
      </c>
      <c r="BK33" s="152">
        <v>0</v>
      </c>
      <c r="BL33" s="147">
        <v>0</v>
      </c>
      <c r="BM33" s="152">
        <v>0</v>
      </c>
      <c r="BN33" s="147">
        <v>0</v>
      </c>
      <c r="BO33" s="152">
        <v>0</v>
      </c>
    </row>
    <row r="34" spans="1:67">
      <c r="A34" s="145">
        <v>1</v>
      </c>
      <c r="B34" s="11">
        <f>IF(Paramètres!$H$46=0,0,VLOOKUP(Paramètres!$H$47,BARRACK_Normal_Troops[#All],2))</f>
        <v>0</v>
      </c>
      <c r="C34" s="9">
        <f>IF($B34=0,0,IF(SUM(Paramètres!$K$6:$K$45)&lt;&gt;Paramètres!$K$3,0,VLOOKUP(MATCH(1,Paramètres!$K$6:$K$45,0),LABO_Normal_Troops[#All],2)))</f>
        <v>0</v>
      </c>
      <c r="D34" s="10">
        <f>IF(Paramètres!$H$46=0,0,VLOOKUP(Paramètres!$H$47,BARRACK_Normal_Troops[#All],3))</f>
        <v>0</v>
      </c>
      <c r="E34" s="35">
        <f>IF($D34=0,0,IF(SUM(Paramètres!$K$6:$K$45)&lt;&gt;Paramètres!$K$3,0,VLOOKUP(MATCH(1,Paramètres!$K$6:$K$45,0),LABO_Normal_Troops[#All],3)))</f>
        <v>0</v>
      </c>
      <c r="F34" s="11">
        <f>IF(Paramètres!$H$46=0,0,VLOOKUP(Paramètres!$H$47,BARRACK_Normal_Troops[#All],4))</f>
        <v>0</v>
      </c>
      <c r="G34" s="9">
        <f>IF($F34=0,0,IF(SUM(Paramètres!$K$6:$K$45)&lt;&gt;Paramètres!$K$3,0,VLOOKUP(MATCH(1,Paramètres!$K$6:$K$45,0),LABO_Normal_Troops[#All],4)))</f>
        <v>0</v>
      </c>
      <c r="H34" s="10">
        <f>IF(Paramètres!$H$46=0,0,VLOOKUP(Paramètres!$H$47,BARRACK_Normal_Troops[#All],5))</f>
        <v>0</v>
      </c>
      <c r="I34" s="152">
        <f>IF($H34=0,0,IF(SUM(Paramètres!$K$6:$K$45)&lt;&gt;Paramètres!$K$3,0,VLOOKUP(MATCH(1,Paramètres!$K$6:$K$45,0),LABO_Normal_Troops[#All],5)))</f>
        <v>0</v>
      </c>
      <c r="J34" s="11">
        <f>IF(Paramètres!$H$46=0,0,VLOOKUP(Paramètres!$H$47,BARRACK_Normal_Troops[#All],6))</f>
        <v>0</v>
      </c>
      <c r="K34" s="147">
        <f>IF($J34=0,0,IF(SUM(Paramètres!$K$6:$K$45)&lt;&gt;Paramètres!$K$3,0,VLOOKUP(MATCH(1,Paramètres!$K$6:$K$45,0),LABO_Normal_Troops[#All],6)))</f>
        <v>0</v>
      </c>
      <c r="L34" s="10">
        <f>IF(Paramètres!$H$46=0,0,VLOOKUP(Paramètres!$H$47,BARRACK_Normal_Troops[#All],7))</f>
        <v>0</v>
      </c>
      <c r="M34" s="152">
        <f>IF($L34=0,0,IF(SUM(Paramètres!$K$6:$K$45)&lt;&gt;Paramètres!$K$3,0,VLOOKUP(MATCH(1,Paramètres!$K$6:$K$45,0),LABO_Normal_Troops[#All],7)))</f>
        <v>0</v>
      </c>
      <c r="N34" s="11">
        <f>IF(Paramètres!$H$46=0,0,VLOOKUP(Paramètres!$H$47,BARRACK_Normal_Troops[#All],8))</f>
        <v>0</v>
      </c>
      <c r="O34" s="147">
        <f>IF($N34=0,0,IF(SUM(Paramètres!$K$6:$K$45)&lt;&gt;Paramètres!$K$3,0,VLOOKUP(MATCH(1,Paramètres!$K$6:$K$45,0),LABO_Normal_Troops[#All],8)))</f>
        <v>0</v>
      </c>
      <c r="P34" s="10">
        <f>IF(Paramètres!$H$46=0,0,VLOOKUP(Paramètres!$H$47,BARRACK_Normal_Troops[#All],9))</f>
        <v>0</v>
      </c>
      <c r="Q34" s="152">
        <f>IF($P34=0,0,IF(SUM(Paramètres!$K$6:$K$45)&lt;&gt;Paramètres!$K$3,0,VLOOKUP(MATCH(1,Paramètres!$K$6:$K$45,0),LABO_Normal_Troops[#All],9)))</f>
        <v>0</v>
      </c>
      <c r="R34" s="11">
        <f>IF(Paramètres!$H$46=0,0,VLOOKUP(Paramètres!$H$47,BARRACK_Normal_Troops[#All],10))</f>
        <v>0</v>
      </c>
      <c r="S34" s="9">
        <f>IF($R34=0,0,IF(SUM(Paramètres!$K$6:$K$45)&lt;&gt;Paramètres!$K$3,0,VLOOKUP(MATCH(1,Paramètres!$K$6:$K$45,0),LABO_Normal_Troops[#All],10)))</f>
        <v>0</v>
      </c>
      <c r="T34" s="151">
        <f>IF(Paramètres!$H$46=0,0,VLOOKUP(Paramètres!$H$47,BARRACK_Normal_Troops[#All],11))</f>
        <v>0</v>
      </c>
      <c r="U34" s="152">
        <f>IF($T34=0,0,IF(SUM(Paramètres!$K$6:$K$45)&lt;&gt;Paramètres!$K$3,0,VLOOKUP(MATCH(1,Paramètres!$K$6:$K$45,0),LABO_Normal_Troops[#All],11)))</f>
        <v>0</v>
      </c>
      <c r="W34" s="145">
        <v>1</v>
      </c>
      <c r="X34" s="148">
        <f>B34-B33</f>
        <v>0</v>
      </c>
      <c r="Y34" s="149">
        <f>C34-C33</f>
        <v>0</v>
      </c>
      <c r="Z34" s="153">
        <f t="shared" ref="Z34:AQ43" si="39">D34-D33</f>
        <v>0</v>
      </c>
      <c r="AA34" s="154">
        <f t="shared" si="39"/>
        <v>0</v>
      </c>
      <c r="AB34" s="150">
        <f t="shared" si="39"/>
        <v>0</v>
      </c>
      <c r="AC34" s="149">
        <f t="shared" si="39"/>
        <v>0</v>
      </c>
      <c r="AD34" s="153">
        <f t="shared" si="39"/>
        <v>0</v>
      </c>
      <c r="AE34" s="154">
        <f t="shared" si="39"/>
        <v>0</v>
      </c>
      <c r="AF34" s="150">
        <f t="shared" si="39"/>
        <v>0</v>
      </c>
      <c r="AG34" s="149">
        <f t="shared" si="39"/>
        <v>0</v>
      </c>
      <c r="AH34" s="153">
        <f t="shared" si="39"/>
        <v>0</v>
      </c>
      <c r="AI34" s="154">
        <f t="shared" si="39"/>
        <v>0</v>
      </c>
      <c r="AJ34" s="150">
        <f t="shared" si="39"/>
        <v>0</v>
      </c>
      <c r="AK34" s="149">
        <f t="shared" si="39"/>
        <v>0</v>
      </c>
      <c r="AL34" s="153">
        <f t="shared" si="39"/>
        <v>0</v>
      </c>
      <c r="AM34" s="154">
        <f t="shared" si="39"/>
        <v>0</v>
      </c>
      <c r="AN34" s="150">
        <f t="shared" si="39"/>
        <v>0</v>
      </c>
      <c r="AO34" s="149">
        <f t="shared" si="39"/>
        <v>0</v>
      </c>
      <c r="AP34" s="153">
        <f t="shared" si="39"/>
        <v>0</v>
      </c>
      <c r="AQ34" s="155">
        <f t="shared" si="39"/>
        <v>0</v>
      </c>
      <c r="AS34" s="13">
        <v>1</v>
      </c>
      <c r="AT34" s="646">
        <v>1</v>
      </c>
      <c r="AU34" s="36">
        <v>0</v>
      </c>
      <c r="AV34" s="6">
        <v>0</v>
      </c>
      <c r="AW34" s="36">
        <v>0</v>
      </c>
      <c r="AX34" s="46">
        <v>0</v>
      </c>
      <c r="AY34" s="34">
        <v>0</v>
      </c>
      <c r="AZ34" s="6">
        <v>0</v>
      </c>
      <c r="BA34" s="34">
        <v>0</v>
      </c>
      <c r="BB34" s="6">
        <v>0</v>
      </c>
      <c r="BC34" s="34">
        <v>0</v>
      </c>
      <c r="BE34" s="13">
        <v>1</v>
      </c>
      <c r="BF34" s="646">
        <v>2</v>
      </c>
      <c r="BG34" s="36">
        <v>2</v>
      </c>
      <c r="BH34" s="5">
        <v>1</v>
      </c>
      <c r="BI34" s="36">
        <v>2</v>
      </c>
      <c r="BJ34" s="45">
        <v>1</v>
      </c>
      <c r="BK34" s="34">
        <v>1</v>
      </c>
      <c r="BL34" s="6">
        <v>1</v>
      </c>
      <c r="BM34" s="34">
        <v>1</v>
      </c>
      <c r="BN34" s="6">
        <v>1</v>
      </c>
      <c r="BO34" s="34">
        <v>1</v>
      </c>
    </row>
    <row r="35" spans="1:67">
      <c r="A35" s="7">
        <v>2</v>
      </c>
      <c r="B35" s="2">
        <f>IF(Paramètres!$H$46=0,0,VLOOKUP(Paramètres!$H$47,BARRACK_Normal_Troops[#All],2))</f>
        <v>0</v>
      </c>
      <c r="C35" s="9">
        <f>IF($B35=0,0,IF(SUM(Paramètres!$K$6:$K$45)&lt;&gt;Paramètres!$K$3,0,VLOOKUP(MATCH(1,Paramètres!$K$6:$K$45,0),LABO_Normal_Troops[#All],2)))</f>
        <v>0</v>
      </c>
      <c r="D35" s="4">
        <f>IF(Paramètres!$H$46=0,0,VLOOKUP(Paramètres!$H$47,BARRACK_Normal_Troops[#All],3))</f>
        <v>0</v>
      </c>
      <c r="E35" s="35">
        <f>IF($D35=0,0,IF(SUM(Paramètres!$K$6:$K$45)&lt;&gt;Paramètres!$K$3,0,VLOOKUP(MATCH(1,Paramètres!$K$6:$K$45,0),LABO_Normal_Troops[#All],3)))</f>
        <v>0</v>
      </c>
      <c r="F35" s="2">
        <f>IF(Paramètres!$H$46=0,0,VLOOKUP(Paramètres!$H$47,BARRACK_Normal_Troops[#All],4))</f>
        <v>0</v>
      </c>
      <c r="G35" s="9">
        <f>IF($F35=0,0,IF(SUM(Paramètres!$K$6:$K$45)&lt;&gt;Paramètres!$K$3,0,VLOOKUP(MATCH(1,Paramètres!$K$6:$K$45,0),LABO_Normal_Troops[#All],4)))</f>
        <v>0</v>
      </c>
      <c r="H35" s="4">
        <f>IF(Paramètres!$H$46=0,0,VLOOKUP(Paramètres!$H$47,BARRACK_Normal_Troops[#All],5))</f>
        <v>0</v>
      </c>
      <c r="I35" s="35">
        <f>IF($H35=0,0,IF(SUM(Paramètres!$K$6:$K$45)&lt;&gt;Paramètres!$K$3,0,VLOOKUP(MATCH(1,Paramètres!$K$6:$K$45,0),LABO_Normal_Troops[#All],5)))</f>
        <v>0</v>
      </c>
      <c r="J35" s="2">
        <f>IF(Paramètres!$H$46=0,0,VLOOKUP(Paramètres!$H$47,BARRACK_Normal_Troops[#All],6))</f>
        <v>0</v>
      </c>
      <c r="K35" s="9">
        <f>IF($J35=0,0,IF(SUM(Paramètres!$K$6:$K$45)&lt;&gt;Paramètres!$K$3,0,VLOOKUP(MATCH(1,Paramètres!$K$6:$K$45,0),LABO_Normal_Troops[#All],6)))</f>
        <v>0</v>
      </c>
      <c r="L35" s="4">
        <f>IF(Paramètres!$H$46=0,0,VLOOKUP(Paramètres!$H$47,BARRACK_Normal_Troops[#All],7))</f>
        <v>0</v>
      </c>
      <c r="M35" s="35">
        <f>IF($L35=0,0,IF(SUM(Paramètres!$K$6:$K$45)&lt;&gt;Paramètres!$K$3,0,VLOOKUP(MATCH(1,Paramètres!$K$6:$K$45,0),LABO_Normal_Troops[#All],7)))</f>
        <v>0</v>
      </c>
      <c r="N35" s="2">
        <f>IF(Paramètres!$H$46=0,0,VLOOKUP(Paramètres!$H$47,BARRACK_Normal_Troops[#All],8))</f>
        <v>0</v>
      </c>
      <c r="O35" s="147">
        <f>IF($N35=0,0,IF(SUM(Paramètres!$K$6:$K$45)&lt;&gt;Paramètres!$K$3,0,VLOOKUP(MATCH(1,Paramètres!$K$6:$K$45,0),LABO_Normal_Troops[#All],8)))</f>
        <v>0</v>
      </c>
      <c r="P35" s="4">
        <f>IF(Paramètres!$H$46=0,0,VLOOKUP(Paramètres!$H$47,BARRACK_Normal_Troops[#All],9))</f>
        <v>0</v>
      </c>
      <c r="Q35" s="35">
        <f>IF($P35=0,0,IF(SUM(Paramètres!$K$6:$K$45)&lt;&gt;Paramètres!$K$3,0,VLOOKUP(MATCH(1,Paramètres!$K$6:$K$45,0),LABO_Normal_Troops[#All],9)))</f>
        <v>0</v>
      </c>
      <c r="R35" s="2">
        <f>IF(Paramètres!$H$46=0,0,VLOOKUP(Paramètres!$H$47,BARRACK_Normal_Troops[#All],10))</f>
        <v>0</v>
      </c>
      <c r="S35" s="6">
        <f>IF($R35=0,0,IF(SUM(Paramètres!$K$6:$K$45)&lt;&gt;Paramètres!$K$3,0,VLOOKUP(MATCH(1,Paramètres!$K$6:$K$45,0),LABO_Normal_Troops[#All],10)))</f>
        <v>0</v>
      </c>
      <c r="T35" s="151">
        <f>IF(Paramètres!$H$46=0,0,VLOOKUP(Paramètres!$H$47,BARRACK_Normal_Troops[#All],11))</f>
        <v>0</v>
      </c>
      <c r="U35" s="152">
        <f>IF($T35=0,0,IF(SUM(Paramètres!$K$6:$K$45)&lt;&gt;Paramètres!$K$3,0,VLOOKUP(MATCH(1,Paramètres!$K$6:$K$45,0),LABO_Normal_Troops[#All],11)))</f>
        <v>0</v>
      </c>
      <c r="W35" s="7">
        <v>2</v>
      </c>
      <c r="X35" s="148">
        <f t="shared" ref="X35:Y43" si="40">B35-B34</f>
        <v>0</v>
      </c>
      <c r="Y35" s="149">
        <f t="shared" si="40"/>
        <v>0</v>
      </c>
      <c r="Z35" s="153">
        <f t="shared" si="39"/>
        <v>0</v>
      </c>
      <c r="AA35" s="154">
        <f t="shared" si="39"/>
        <v>0</v>
      </c>
      <c r="AB35" s="150">
        <f t="shared" si="39"/>
        <v>0</v>
      </c>
      <c r="AC35" s="149">
        <f t="shared" si="39"/>
        <v>0</v>
      </c>
      <c r="AD35" s="153">
        <f t="shared" si="39"/>
        <v>0</v>
      </c>
      <c r="AE35" s="154">
        <f t="shared" si="39"/>
        <v>0</v>
      </c>
      <c r="AF35" s="150">
        <f t="shared" si="39"/>
        <v>0</v>
      </c>
      <c r="AG35" s="149">
        <f t="shared" si="39"/>
        <v>0</v>
      </c>
      <c r="AH35" s="153">
        <f t="shared" si="39"/>
        <v>0</v>
      </c>
      <c r="AI35" s="154">
        <f t="shared" si="39"/>
        <v>0</v>
      </c>
      <c r="AJ35" s="150">
        <f t="shared" si="39"/>
        <v>0</v>
      </c>
      <c r="AK35" s="149">
        <f t="shared" si="39"/>
        <v>0</v>
      </c>
      <c r="AL35" s="153">
        <f t="shared" si="39"/>
        <v>0</v>
      </c>
      <c r="AM35" s="154">
        <f t="shared" si="39"/>
        <v>0</v>
      </c>
      <c r="AN35" s="150">
        <f t="shared" si="39"/>
        <v>0</v>
      </c>
      <c r="AO35" s="149">
        <f t="shared" si="39"/>
        <v>0</v>
      </c>
      <c r="AP35" s="153">
        <f t="shared" si="39"/>
        <v>0</v>
      </c>
      <c r="AQ35" s="155">
        <f t="shared" si="39"/>
        <v>0</v>
      </c>
      <c r="AS35" s="13">
        <v>2</v>
      </c>
      <c r="AT35" s="645">
        <v>1</v>
      </c>
      <c r="AU35" s="34">
        <v>1</v>
      </c>
      <c r="AV35" s="6">
        <v>0</v>
      </c>
      <c r="AW35" s="36">
        <v>0</v>
      </c>
      <c r="AX35" s="46">
        <v>0</v>
      </c>
      <c r="AY35" s="34">
        <v>0</v>
      </c>
      <c r="AZ35" s="6">
        <v>0</v>
      </c>
      <c r="BA35" s="34">
        <v>0</v>
      </c>
      <c r="BB35" s="6">
        <v>0</v>
      </c>
      <c r="BC35" s="34">
        <v>0</v>
      </c>
      <c r="BE35" s="13">
        <v>2</v>
      </c>
      <c r="BF35" s="645">
        <v>2</v>
      </c>
      <c r="BG35" s="34">
        <v>2</v>
      </c>
      <c r="BH35" s="6">
        <v>2</v>
      </c>
      <c r="BI35" s="34">
        <v>2</v>
      </c>
      <c r="BJ35" s="46">
        <v>2</v>
      </c>
      <c r="BK35" s="34">
        <v>2</v>
      </c>
      <c r="BL35" s="6">
        <v>1</v>
      </c>
      <c r="BM35" s="34">
        <v>1</v>
      </c>
      <c r="BN35" s="6">
        <v>1</v>
      </c>
      <c r="BO35" s="34">
        <v>1</v>
      </c>
    </row>
    <row r="36" spans="1:67">
      <c r="A36" s="7">
        <v>3</v>
      </c>
      <c r="B36" s="1">
        <f>IF(Paramètres!$H$46=0,0,VLOOKUP(Paramètres!$H$47,BARRACK_Normal_Troops[#All],2))</f>
        <v>0</v>
      </c>
      <c r="C36" s="9">
        <f>IF($B36=0,0,IF(SUM(Paramètres!$K$6:$K$45)&lt;&gt;Paramètres!$K$3,0,VLOOKUP(MATCH(1,Paramètres!$K$6:$K$45,0),LABO_Normal_Troops[#All],2)))</f>
        <v>0</v>
      </c>
      <c r="D36" s="3">
        <f>IF(Paramètres!$H$46=0,0,VLOOKUP(Paramètres!$H$47,BARRACK_Normal_Troops[#All],3))</f>
        <v>0</v>
      </c>
      <c r="E36" s="35">
        <f>IF($D36=0,0,IF(SUM(Paramètres!$K$6:$K$45)&lt;&gt;Paramètres!$K$3,0,VLOOKUP(MATCH(1,Paramètres!$K$6:$K$45,0),LABO_Normal_Troops[#All],3)))</f>
        <v>0</v>
      </c>
      <c r="F36" s="1">
        <f>IF(Paramètres!$H$46=0,0,VLOOKUP(Paramètres!$H$47,BARRACK_Normal_Troops[#All],4))</f>
        <v>0</v>
      </c>
      <c r="G36" s="9">
        <f>IF($F36=0,0,IF(SUM(Paramètres!$K$6:$K$45)&lt;&gt;Paramètres!$K$3,0,VLOOKUP(MATCH(1,Paramètres!$K$6:$K$45,0),LABO_Normal_Troops[#All],4)))</f>
        <v>0</v>
      </c>
      <c r="H36" s="3">
        <f>IF(Paramètres!$H$46=0,0,VLOOKUP(Paramètres!$H$47,BARRACK_Normal_Troops[#All],5))</f>
        <v>0</v>
      </c>
      <c r="I36" s="35">
        <f>IF($H36=0,0,IF(SUM(Paramètres!$K$6:$K$45)&lt;&gt;Paramètres!$K$3,0,VLOOKUP(MATCH(1,Paramètres!$K$6:$K$45,0),LABO_Normal_Troops[#All],5)))</f>
        <v>0</v>
      </c>
      <c r="J36" s="1">
        <f>IF(Paramètres!$H$46=0,0,VLOOKUP(Paramètres!$H$47,BARRACK_Normal_Troops[#All],6))</f>
        <v>0</v>
      </c>
      <c r="K36" s="9">
        <f>IF($J36=0,0,IF(SUM(Paramètres!$K$6:$K$45)&lt;&gt;Paramètres!$K$3,0,VLOOKUP(MATCH(1,Paramètres!$K$6:$K$45,0),LABO_Normal_Troops[#All],6)))</f>
        <v>0</v>
      </c>
      <c r="L36" s="3">
        <f>IF(Paramètres!$H$46=0,0,VLOOKUP(Paramètres!$H$47,BARRACK_Normal_Troops[#All],7))</f>
        <v>0</v>
      </c>
      <c r="M36" s="35">
        <f>IF($L36=0,0,IF(SUM(Paramètres!$K$6:$K$45)&lt;&gt;Paramètres!$K$3,0,VLOOKUP(MATCH(1,Paramètres!$K$6:$K$45,0),LABO_Normal_Troops[#All],7)))</f>
        <v>0</v>
      </c>
      <c r="N36" s="1">
        <f>IF(Paramètres!$H$46=0,0,VLOOKUP(Paramètres!$H$47,BARRACK_Normal_Troops[#All],8))</f>
        <v>0</v>
      </c>
      <c r="O36" s="9">
        <f>IF($N36=0,0,IF(SUM(Paramètres!$K$6:$K$45)&lt;&gt;Paramètres!$K$3,0,VLOOKUP(MATCH(1,Paramètres!$K$6:$K$45,0),LABO_Normal_Troops[#All],8)))</f>
        <v>0</v>
      </c>
      <c r="P36" s="3">
        <f>IF(Paramètres!$H$46=0,0,VLOOKUP(Paramètres!$H$47,BARRACK_Normal_Troops[#All],9))</f>
        <v>0</v>
      </c>
      <c r="Q36" s="34">
        <f>IF($P36=0,0,IF(SUM(Paramètres!$K$6:$K$45)&lt;&gt;Paramètres!$K$3,0,VLOOKUP(MATCH(1,Paramètres!$K$6:$K$45,0),LABO_Normal_Troops[#All],9)))</f>
        <v>0</v>
      </c>
      <c r="R36" s="1">
        <f>IF(Paramètres!$H$46=0,0,VLOOKUP(Paramètres!$H$47,BARRACK_Normal_Troops[#All],10))</f>
        <v>0</v>
      </c>
      <c r="S36" s="5">
        <f>IF($R36=0,0,IF(SUM(Paramètres!$K$6:$K$45)&lt;&gt;Paramètres!$K$3,0,VLOOKUP(MATCH(1,Paramètres!$K$6:$K$45,0),LABO_Normal_Troops[#All],10)))</f>
        <v>0</v>
      </c>
      <c r="T36" s="151">
        <f>IF(Paramètres!$H$46=0,0,VLOOKUP(Paramètres!$H$47,BARRACK_Normal_Troops[#All],11))</f>
        <v>0</v>
      </c>
      <c r="U36" s="152">
        <f>IF($T36=0,0,IF(SUM(Paramètres!$K$6:$K$45)&lt;&gt;Paramètres!$K$3,0,VLOOKUP(MATCH(1,Paramètres!$K$6:$K$45,0),LABO_Normal_Troops[#All],11)))</f>
        <v>0</v>
      </c>
      <c r="W36" s="7">
        <v>3</v>
      </c>
      <c r="X36" s="148">
        <f t="shared" si="40"/>
        <v>0</v>
      </c>
      <c r="Y36" s="149">
        <f t="shared" si="40"/>
        <v>0</v>
      </c>
      <c r="Z36" s="153">
        <f t="shared" si="39"/>
        <v>0</v>
      </c>
      <c r="AA36" s="154">
        <f t="shared" si="39"/>
        <v>0</v>
      </c>
      <c r="AB36" s="150">
        <f t="shared" si="39"/>
        <v>0</v>
      </c>
      <c r="AC36" s="149">
        <f t="shared" si="39"/>
        <v>0</v>
      </c>
      <c r="AD36" s="153">
        <f t="shared" si="39"/>
        <v>0</v>
      </c>
      <c r="AE36" s="154">
        <f t="shared" si="39"/>
        <v>0</v>
      </c>
      <c r="AF36" s="150">
        <f t="shared" si="39"/>
        <v>0</v>
      </c>
      <c r="AG36" s="149">
        <f t="shared" si="39"/>
        <v>0</v>
      </c>
      <c r="AH36" s="153">
        <f t="shared" si="39"/>
        <v>0</v>
      </c>
      <c r="AI36" s="154">
        <f t="shared" si="39"/>
        <v>0</v>
      </c>
      <c r="AJ36" s="150">
        <f t="shared" si="39"/>
        <v>0</v>
      </c>
      <c r="AK36" s="149">
        <f t="shared" si="39"/>
        <v>0</v>
      </c>
      <c r="AL36" s="153">
        <f t="shared" si="39"/>
        <v>0</v>
      </c>
      <c r="AM36" s="154">
        <f t="shared" si="39"/>
        <v>0</v>
      </c>
      <c r="AN36" s="150">
        <f t="shared" si="39"/>
        <v>0</v>
      </c>
      <c r="AO36" s="149">
        <f t="shared" si="39"/>
        <v>0</v>
      </c>
      <c r="AP36" s="153">
        <f t="shared" si="39"/>
        <v>0</v>
      </c>
      <c r="AQ36" s="155">
        <f t="shared" si="39"/>
        <v>0</v>
      </c>
      <c r="AS36" s="13">
        <v>3</v>
      </c>
      <c r="AT36" s="646">
        <v>1</v>
      </c>
      <c r="AU36" s="36">
        <v>1</v>
      </c>
      <c r="AV36" s="5">
        <v>1</v>
      </c>
      <c r="AW36" s="36">
        <v>0</v>
      </c>
      <c r="AX36" s="46">
        <v>0</v>
      </c>
      <c r="AY36" s="34">
        <v>0</v>
      </c>
      <c r="AZ36" s="6">
        <v>0</v>
      </c>
      <c r="BA36" s="34">
        <v>0</v>
      </c>
      <c r="BB36" s="6">
        <v>0</v>
      </c>
      <c r="BC36" s="34">
        <v>0</v>
      </c>
      <c r="BE36" s="13">
        <v>3</v>
      </c>
      <c r="BF36" s="646">
        <v>3</v>
      </c>
      <c r="BG36" s="36">
        <v>3</v>
      </c>
      <c r="BH36" s="5">
        <v>2</v>
      </c>
      <c r="BI36" s="36">
        <v>3</v>
      </c>
      <c r="BJ36" s="45">
        <v>2</v>
      </c>
      <c r="BK36" s="34">
        <v>2</v>
      </c>
      <c r="BL36" s="6">
        <v>2</v>
      </c>
      <c r="BM36" s="34">
        <v>1</v>
      </c>
      <c r="BN36" s="6">
        <v>1</v>
      </c>
      <c r="BO36" s="34">
        <v>1</v>
      </c>
    </row>
    <row r="37" spans="1:67">
      <c r="A37" s="7">
        <v>4</v>
      </c>
      <c r="B37" s="2">
        <f>IF(Paramètres!$H$46=0,0,VLOOKUP(Paramètres!$H$47,BARRACK_Normal_Troops[#All],2))</f>
        <v>0</v>
      </c>
      <c r="C37" s="9">
        <f>IF($B37=0,0,IF(SUM(Paramètres!$K$6:$K$45)&lt;&gt;Paramètres!$K$3,0,VLOOKUP(MATCH(1,Paramètres!$K$6:$K$45,0),LABO_Normal_Troops[#All],2)))</f>
        <v>0</v>
      </c>
      <c r="D37" s="4">
        <f>IF(Paramètres!$H$46=0,0,VLOOKUP(Paramètres!$H$47,BARRACK_Normal_Troops[#All],3))</f>
        <v>0</v>
      </c>
      <c r="E37" s="35">
        <f>IF($D37=0,0,IF(SUM(Paramètres!$K$6:$K$45)&lt;&gt;Paramètres!$K$3,0,VLOOKUP(MATCH(1,Paramètres!$K$6:$K$45,0),LABO_Normal_Troops[#All],3)))</f>
        <v>0</v>
      </c>
      <c r="F37" s="2">
        <f>IF(Paramètres!$H$46=0,0,VLOOKUP(Paramètres!$H$47,BARRACK_Normal_Troops[#All],4))</f>
        <v>0</v>
      </c>
      <c r="G37" s="9">
        <f>IF($F37=0,0,IF(SUM(Paramètres!$K$6:$K$45)&lt;&gt;Paramètres!$K$3,0,VLOOKUP(MATCH(1,Paramètres!$K$6:$K$45,0),LABO_Normal_Troops[#All],4)))</f>
        <v>0</v>
      </c>
      <c r="H37" s="4">
        <f>IF(Paramètres!$H$46=0,0,VLOOKUP(Paramètres!$H$47,BARRACK_Normal_Troops[#All],5))</f>
        <v>0</v>
      </c>
      <c r="I37" s="35">
        <f>IF($H37=0,0,IF(SUM(Paramètres!$K$6:$K$45)&lt;&gt;Paramètres!$K$3,0,VLOOKUP(MATCH(1,Paramètres!$K$6:$K$45,0),LABO_Normal_Troops[#All],5)))</f>
        <v>0</v>
      </c>
      <c r="J37" s="2">
        <f>IF(Paramètres!$H$46=0,0,VLOOKUP(Paramètres!$H$47,BARRACK_Normal_Troops[#All],6))</f>
        <v>0</v>
      </c>
      <c r="K37" s="9">
        <f>IF($J37=0,0,IF(SUM(Paramètres!$K$6:$K$45)&lt;&gt;Paramètres!$K$3,0,VLOOKUP(MATCH(1,Paramètres!$K$6:$K$45,0),LABO_Normal_Troops[#All],6)))</f>
        <v>0</v>
      </c>
      <c r="L37" s="4">
        <f>IF(Paramètres!$H$46=0,0,VLOOKUP(Paramètres!$H$47,BARRACK_Normal_Troops[#All],7))</f>
        <v>0</v>
      </c>
      <c r="M37" s="35">
        <f>IF($L37=0,0,IF(SUM(Paramètres!$K$6:$K$45)&lt;&gt;Paramètres!$K$3,0,VLOOKUP(MATCH(1,Paramètres!$K$6:$K$45,0),LABO_Normal_Troops[#All],7)))</f>
        <v>0</v>
      </c>
      <c r="N37" s="2">
        <f>IF(Paramètres!$H$46=0,0,VLOOKUP(Paramètres!$H$47,BARRACK_Normal_Troops[#All],8))</f>
        <v>0</v>
      </c>
      <c r="O37" s="9">
        <f>IF($N37=0,0,IF(SUM(Paramètres!$K$6:$K$45)&lt;&gt;Paramètres!$K$3,0,VLOOKUP(MATCH(1,Paramètres!$K$6:$K$45,0),LABO_Normal_Troops[#All],8)))</f>
        <v>0</v>
      </c>
      <c r="P37" s="4">
        <f>IF(Paramètres!$H$46=0,0,VLOOKUP(Paramètres!$H$47,BARRACK_Normal_Troops[#All],9))</f>
        <v>0</v>
      </c>
      <c r="Q37" s="152">
        <f>IF($P37=0,0,IF(SUM(Paramètres!$K$6:$K$45)&lt;&gt;Paramètres!$K$3,0,VLOOKUP(MATCH(1,Paramètres!$K$6:$K$45,0),LABO_Normal_Troops[#All],9)))</f>
        <v>0</v>
      </c>
      <c r="R37" s="2">
        <f>IF(Paramètres!$H$46=0,0,VLOOKUP(Paramètres!$H$47,BARRACK_Normal_Troops[#All],10))</f>
        <v>0</v>
      </c>
      <c r="S37" s="147">
        <f>IF($R37=0,0,IF(SUM(Paramètres!$K$6:$K$45)&lt;&gt;Paramètres!$K$3,0,VLOOKUP(MATCH(1,Paramètres!$K$6:$K$45,0),LABO_Normal_Troops[#All],10)))</f>
        <v>0</v>
      </c>
      <c r="T37" s="151">
        <f>IF(Paramètres!$H$46=0,0,VLOOKUP(Paramètres!$H$47,BARRACK_Normal_Troops[#All],11))</f>
        <v>0</v>
      </c>
      <c r="U37" s="152">
        <f>IF($T37=0,0,IF(SUM(Paramètres!$K$6:$K$45)&lt;&gt;Paramètres!$K$3,0,VLOOKUP(MATCH(1,Paramètres!$K$6:$K$45,0),LABO_Normal_Troops[#All],11)))</f>
        <v>0</v>
      </c>
      <c r="W37" s="7">
        <v>4</v>
      </c>
      <c r="X37" s="148">
        <f t="shared" si="40"/>
        <v>0</v>
      </c>
      <c r="Y37" s="149">
        <f t="shared" si="40"/>
        <v>0</v>
      </c>
      <c r="Z37" s="153">
        <f t="shared" si="39"/>
        <v>0</v>
      </c>
      <c r="AA37" s="154">
        <f t="shared" si="39"/>
        <v>0</v>
      </c>
      <c r="AB37" s="150">
        <f t="shared" si="39"/>
        <v>0</v>
      </c>
      <c r="AC37" s="149">
        <f t="shared" si="39"/>
        <v>0</v>
      </c>
      <c r="AD37" s="153">
        <f t="shared" si="39"/>
        <v>0</v>
      </c>
      <c r="AE37" s="154">
        <f t="shared" si="39"/>
        <v>0</v>
      </c>
      <c r="AF37" s="150">
        <f t="shared" si="39"/>
        <v>0</v>
      </c>
      <c r="AG37" s="149">
        <f t="shared" si="39"/>
        <v>0</v>
      </c>
      <c r="AH37" s="153">
        <f t="shared" si="39"/>
        <v>0</v>
      </c>
      <c r="AI37" s="154">
        <f t="shared" si="39"/>
        <v>0</v>
      </c>
      <c r="AJ37" s="150">
        <f t="shared" si="39"/>
        <v>0</v>
      </c>
      <c r="AK37" s="149">
        <f t="shared" si="39"/>
        <v>0</v>
      </c>
      <c r="AL37" s="153">
        <f t="shared" si="39"/>
        <v>0</v>
      </c>
      <c r="AM37" s="154">
        <f t="shared" si="39"/>
        <v>0</v>
      </c>
      <c r="AN37" s="150">
        <f t="shared" si="39"/>
        <v>0</v>
      </c>
      <c r="AO37" s="149">
        <f t="shared" si="39"/>
        <v>0</v>
      </c>
      <c r="AP37" s="153">
        <f t="shared" si="39"/>
        <v>0</v>
      </c>
      <c r="AQ37" s="155">
        <f t="shared" si="39"/>
        <v>0</v>
      </c>
      <c r="AS37" s="13">
        <v>4</v>
      </c>
      <c r="AT37" s="645">
        <v>1</v>
      </c>
      <c r="AU37" s="34">
        <v>1</v>
      </c>
      <c r="AV37" s="6">
        <v>1</v>
      </c>
      <c r="AW37" s="34">
        <v>1</v>
      </c>
      <c r="AX37" s="46">
        <v>0</v>
      </c>
      <c r="AY37" s="34">
        <v>0</v>
      </c>
      <c r="AZ37" s="6">
        <v>0</v>
      </c>
      <c r="BA37" s="34">
        <v>0</v>
      </c>
      <c r="BB37" s="6">
        <v>0</v>
      </c>
      <c r="BC37" s="34">
        <v>0</v>
      </c>
      <c r="BE37" s="13">
        <v>4</v>
      </c>
      <c r="BF37" s="645">
        <v>3</v>
      </c>
      <c r="BG37" s="34">
        <v>3</v>
      </c>
      <c r="BH37" s="6">
        <v>3</v>
      </c>
      <c r="BI37" s="34">
        <v>3</v>
      </c>
      <c r="BJ37" s="46">
        <v>3</v>
      </c>
      <c r="BK37" s="34">
        <v>3</v>
      </c>
      <c r="BL37" s="6">
        <v>3</v>
      </c>
      <c r="BM37" s="34">
        <v>1</v>
      </c>
      <c r="BN37" s="6">
        <v>1</v>
      </c>
      <c r="BO37" s="34">
        <v>1</v>
      </c>
    </row>
    <row r="38" spans="1:67">
      <c r="A38" s="7">
        <v>5</v>
      </c>
      <c r="B38" s="1">
        <f>IF(Paramètres!$H$46=0,0,VLOOKUP(Paramètres!$H$47,BARRACK_Normal_Troops[#All],2))</f>
        <v>0</v>
      </c>
      <c r="C38" s="9">
        <f>IF($B38=0,0,IF(SUM(Paramètres!$K$6:$K$45)&lt;&gt;Paramètres!$K$3,0,VLOOKUP(MATCH(1,Paramètres!$K$6:$K$45,0),LABO_Normal_Troops[#All],2)))</f>
        <v>0</v>
      </c>
      <c r="D38" s="3">
        <f>IF(Paramètres!$H$46=0,0,VLOOKUP(Paramètres!$H$47,BARRACK_Normal_Troops[#All],3))</f>
        <v>0</v>
      </c>
      <c r="E38" s="35">
        <f>IF($D38=0,0,IF(SUM(Paramètres!$K$6:$K$45)&lt;&gt;Paramètres!$K$3,0,VLOOKUP(MATCH(1,Paramètres!$K$6:$K$45,0),LABO_Normal_Troops[#All],3)))</f>
        <v>0</v>
      </c>
      <c r="F38" s="1">
        <f>IF(Paramètres!$H$46=0,0,VLOOKUP(Paramètres!$H$47,BARRACK_Normal_Troops[#All],4))</f>
        <v>0</v>
      </c>
      <c r="G38" s="9">
        <f>IF($F38=0,0,IF(SUM(Paramètres!$K$6:$K$45)&lt;&gt;Paramètres!$K$3,0,VLOOKUP(MATCH(1,Paramètres!$K$6:$K$45,0),LABO_Normal_Troops[#All],4)))</f>
        <v>0</v>
      </c>
      <c r="H38" s="3">
        <f>IF(Paramètres!$H$46=0,0,VLOOKUP(Paramètres!$H$47,BARRACK_Normal_Troops[#All],5))</f>
        <v>0</v>
      </c>
      <c r="I38" s="35">
        <f>IF($H38=0,0,IF(SUM(Paramètres!$K$6:$K$45)&lt;&gt;Paramètres!$K$3,0,VLOOKUP(MATCH(1,Paramètres!$K$6:$K$45,0),LABO_Normal_Troops[#All],5)))</f>
        <v>0</v>
      </c>
      <c r="J38" s="1">
        <f>IF(Paramètres!$H$46=0,0,VLOOKUP(Paramètres!$H$47,BARRACK_Normal_Troops[#All],6))</f>
        <v>0</v>
      </c>
      <c r="K38" s="9">
        <f>IF($J38=0,0,IF(SUM(Paramètres!$K$6:$K$45)&lt;&gt;Paramètres!$K$3,0,VLOOKUP(MATCH(1,Paramètres!$K$6:$K$45,0),LABO_Normal_Troops[#All],6)))</f>
        <v>0</v>
      </c>
      <c r="L38" s="3">
        <f>IF(Paramètres!$H$46=0,0,VLOOKUP(Paramètres!$H$47,BARRACK_Normal_Troops[#All],7))</f>
        <v>0</v>
      </c>
      <c r="M38" s="35">
        <f>IF($L38=0,0,IF(SUM(Paramètres!$K$6:$K$45)&lt;&gt;Paramètres!$K$3,0,VLOOKUP(MATCH(1,Paramètres!$K$6:$K$45,0),LABO_Normal_Troops[#All],7)))</f>
        <v>0</v>
      </c>
      <c r="N38" s="1">
        <f>IF(Paramètres!$H$46=0,0,VLOOKUP(Paramètres!$H$47,BARRACK_Normal_Troops[#All],8))</f>
        <v>0</v>
      </c>
      <c r="O38" s="9">
        <f>IF($N38=0,0,IF(SUM(Paramètres!$K$6:$K$45)&lt;&gt;Paramètres!$K$3,0,VLOOKUP(MATCH(1,Paramètres!$K$6:$K$45,0),LABO_Normal_Troops[#All],8)))</f>
        <v>0</v>
      </c>
      <c r="P38" s="3">
        <f>IF(Paramètres!$H$46=0,0,VLOOKUP(Paramètres!$H$47,BARRACK_Normal_Troops[#All],9))</f>
        <v>0</v>
      </c>
      <c r="Q38" s="35">
        <f>IF($P38=0,0,IF(SUM(Paramètres!$K$6:$K$45)&lt;&gt;Paramètres!$K$3,0,VLOOKUP(MATCH(1,Paramètres!$K$6:$K$45,0),LABO_Normal_Troops[#All],9)))</f>
        <v>0</v>
      </c>
      <c r="R38" s="1">
        <f>IF(Paramètres!$H$46=0,0,VLOOKUP(Paramètres!$H$47,BARRACK_Normal_Troops[#All],10))</f>
        <v>0</v>
      </c>
      <c r="S38" s="9">
        <f>IF($R38=0,0,IF(SUM(Paramètres!$K$6:$K$45)&lt;&gt;Paramètres!$K$3,0,VLOOKUP(MATCH(1,Paramètres!$K$6:$K$45,0),LABO_Normal_Troops[#All],10)))</f>
        <v>0</v>
      </c>
      <c r="T38" s="151">
        <f>IF(Paramètres!$H$46=0,0,VLOOKUP(Paramètres!$H$47,BARRACK_Normal_Troops[#All],11))</f>
        <v>0</v>
      </c>
      <c r="U38" s="152">
        <f>IF($T38=0,0,IF(SUM(Paramètres!$K$6:$K$45)&lt;&gt;Paramètres!$K$3,0,VLOOKUP(MATCH(1,Paramètres!$K$6:$K$45,0),LABO_Normal_Troops[#All],11)))</f>
        <v>0</v>
      </c>
      <c r="W38" s="7">
        <v>5</v>
      </c>
      <c r="X38" s="148">
        <f t="shared" si="40"/>
        <v>0</v>
      </c>
      <c r="Y38" s="149">
        <f t="shared" si="40"/>
        <v>0</v>
      </c>
      <c r="Z38" s="153">
        <f t="shared" si="39"/>
        <v>0</v>
      </c>
      <c r="AA38" s="154">
        <f t="shared" si="39"/>
        <v>0</v>
      </c>
      <c r="AB38" s="150">
        <f t="shared" si="39"/>
        <v>0</v>
      </c>
      <c r="AC38" s="149">
        <f t="shared" si="39"/>
        <v>0</v>
      </c>
      <c r="AD38" s="153">
        <f t="shared" si="39"/>
        <v>0</v>
      </c>
      <c r="AE38" s="154">
        <f t="shared" si="39"/>
        <v>0</v>
      </c>
      <c r="AF38" s="150">
        <f t="shared" si="39"/>
        <v>0</v>
      </c>
      <c r="AG38" s="149">
        <f t="shared" si="39"/>
        <v>0</v>
      </c>
      <c r="AH38" s="153">
        <f t="shared" si="39"/>
        <v>0</v>
      </c>
      <c r="AI38" s="154">
        <f t="shared" si="39"/>
        <v>0</v>
      </c>
      <c r="AJ38" s="150">
        <f t="shared" si="39"/>
        <v>0</v>
      </c>
      <c r="AK38" s="149">
        <f t="shared" si="39"/>
        <v>0</v>
      </c>
      <c r="AL38" s="153">
        <f t="shared" si="39"/>
        <v>0</v>
      </c>
      <c r="AM38" s="154">
        <f t="shared" si="39"/>
        <v>0</v>
      </c>
      <c r="AN38" s="150">
        <f t="shared" si="39"/>
        <v>0</v>
      </c>
      <c r="AO38" s="149">
        <f t="shared" si="39"/>
        <v>0</v>
      </c>
      <c r="AP38" s="153">
        <f t="shared" si="39"/>
        <v>0</v>
      </c>
      <c r="AQ38" s="155">
        <f t="shared" si="39"/>
        <v>0</v>
      </c>
      <c r="AS38" s="13">
        <v>5</v>
      </c>
      <c r="AT38" s="646">
        <v>1</v>
      </c>
      <c r="AU38" s="36">
        <v>1</v>
      </c>
      <c r="AV38" s="5">
        <v>1</v>
      </c>
      <c r="AW38" s="36">
        <v>1</v>
      </c>
      <c r="AX38" s="45">
        <v>1</v>
      </c>
      <c r="AY38" s="34">
        <v>0</v>
      </c>
      <c r="AZ38" s="6">
        <v>0</v>
      </c>
      <c r="BA38" s="34">
        <v>0</v>
      </c>
      <c r="BB38" s="6">
        <v>0</v>
      </c>
      <c r="BC38" s="34">
        <v>0</v>
      </c>
      <c r="BE38" s="13">
        <v>5</v>
      </c>
      <c r="BF38" s="646">
        <v>4</v>
      </c>
      <c r="BG38" s="36">
        <v>4</v>
      </c>
      <c r="BH38" s="5">
        <v>4</v>
      </c>
      <c r="BI38" s="36">
        <v>4</v>
      </c>
      <c r="BJ38" s="45">
        <v>4</v>
      </c>
      <c r="BK38" s="34">
        <v>4</v>
      </c>
      <c r="BL38" s="6">
        <v>4</v>
      </c>
      <c r="BM38" s="34">
        <v>2</v>
      </c>
      <c r="BN38" s="6">
        <v>2</v>
      </c>
      <c r="BO38" s="34">
        <v>1</v>
      </c>
    </row>
    <row r="39" spans="1:67">
      <c r="A39" s="7">
        <v>6</v>
      </c>
      <c r="B39" s="2">
        <f>IF(Paramètres!$H$46=0,0,VLOOKUP(Paramètres!$H$47,BARRACK_Normal_Troops[#All],2))</f>
        <v>0</v>
      </c>
      <c r="C39" s="9">
        <f>IF($B39=0,0,IF(SUM(Paramètres!$K$6:$K$45)&lt;&gt;Paramètres!$K$3,0,VLOOKUP(MATCH(1,Paramètres!$K$6:$K$45,0),LABO_Normal_Troops[#All],2)))</f>
        <v>0</v>
      </c>
      <c r="D39" s="4">
        <f>IF(Paramètres!$H$46=0,0,VLOOKUP(Paramètres!$H$47,BARRACK_Normal_Troops[#All],3))</f>
        <v>0</v>
      </c>
      <c r="E39" s="35">
        <f>IF($D39=0,0,IF(SUM(Paramètres!$K$6:$K$45)&lt;&gt;Paramètres!$K$3,0,VLOOKUP(MATCH(1,Paramètres!$K$6:$K$45,0),LABO_Normal_Troops[#All],3)))</f>
        <v>0</v>
      </c>
      <c r="F39" s="2">
        <f>IF(Paramètres!$H$46=0,0,VLOOKUP(Paramètres!$H$47,BARRACK_Normal_Troops[#All],4))</f>
        <v>0</v>
      </c>
      <c r="G39" s="9">
        <f>IF($F39=0,0,IF(SUM(Paramètres!$K$6:$K$45)&lt;&gt;Paramètres!$K$3,0,VLOOKUP(MATCH(1,Paramètres!$K$6:$K$45,0),LABO_Normal_Troops[#All],4)))</f>
        <v>0</v>
      </c>
      <c r="H39" s="4">
        <f>IF(Paramètres!$H$46=0,0,VLOOKUP(Paramètres!$H$47,BARRACK_Normal_Troops[#All],5))</f>
        <v>0</v>
      </c>
      <c r="I39" s="35">
        <f>IF($H39=0,0,IF(SUM(Paramètres!$K$6:$K$45)&lt;&gt;Paramètres!$K$3,0,VLOOKUP(MATCH(1,Paramètres!$K$6:$K$45,0),LABO_Normal_Troops[#All],5)))</f>
        <v>0</v>
      </c>
      <c r="J39" s="2">
        <f>IF(Paramètres!$H$46=0,0,VLOOKUP(Paramètres!$H$47,BARRACK_Normal_Troops[#All],6))</f>
        <v>0</v>
      </c>
      <c r="K39" s="9">
        <f>IF($J39=0,0,IF(SUM(Paramètres!$K$6:$K$45)&lt;&gt;Paramètres!$K$3,0,VLOOKUP(MATCH(1,Paramètres!$K$6:$K$45,0),LABO_Normal_Troops[#All],6)))</f>
        <v>0</v>
      </c>
      <c r="L39" s="4">
        <f>IF(Paramètres!$H$46=0,0,VLOOKUP(Paramètres!$H$47,BARRACK_Normal_Troops[#All],7))</f>
        <v>0</v>
      </c>
      <c r="M39" s="35">
        <f>IF($L39=0,0,IF(SUM(Paramètres!$K$6:$K$45)&lt;&gt;Paramètres!$K$3,0,VLOOKUP(MATCH(1,Paramètres!$K$6:$K$45,0),LABO_Normal_Troops[#All],7)))</f>
        <v>0</v>
      </c>
      <c r="N39" s="2">
        <f>IF(Paramètres!$H$46=0,0,VLOOKUP(Paramètres!$H$47,BARRACK_Normal_Troops[#All],8))</f>
        <v>0</v>
      </c>
      <c r="O39" s="9">
        <f>IF($N39=0,0,IF(SUM(Paramètres!$K$6:$K$45)&lt;&gt;Paramètres!$K$3,0,VLOOKUP(MATCH(1,Paramètres!$K$6:$K$45,0),LABO_Normal_Troops[#All],8)))</f>
        <v>0</v>
      </c>
      <c r="P39" s="4">
        <f>IF(Paramètres!$H$46=0,0,VLOOKUP(Paramètres!$H$47,BARRACK_Normal_Troops[#All],9))</f>
        <v>0</v>
      </c>
      <c r="Q39" s="35">
        <f>IF($P39=0,0,IF(SUM(Paramètres!$K$6:$K$45)&lt;&gt;Paramètres!$K$3,0,VLOOKUP(MATCH(1,Paramètres!$K$6:$K$45,0),LABO_Normal_Troops[#All],9)))</f>
        <v>0</v>
      </c>
      <c r="R39" s="2">
        <f>IF(Paramètres!$H$46=0,0,VLOOKUP(Paramètres!$H$47,BARRACK_Normal_Troops[#All],10))</f>
        <v>0</v>
      </c>
      <c r="S39" s="9">
        <f>IF($R39=0,0,IF(SUM(Paramètres!$K$6:$K$45)&lt;&gt;Paramètres!$K$3,0,VLOOKUP(MATCH(1,Paramètres!$K$6:$K$45,0),LABO_Normal_Troops[#All],10)))</f>
        <v>0</v>
      </c>
      <c r="T39" s="151">
        <f>IF(Paramètres!$H$46=0,0,VLOOKUP(Paramètres!$H$47,BARRACK_Normal_Troops[#All],11))</f>
        <v>0</v>
      </c>
      <c r="U39" s="34">
        <f>IF($T39=0,0,IF(SUM(Paramètres!$K$6:$K$45)&lt;&gt;Paramètres!$K$3,0,VLOOKUP(MATCH(1,Paramètres!$K$6:$K$45,0),LABO_Normal_Troops[#All],11)))</f>
        <v>0</v>
      </c>
      <c r="W39" s="7">
        <v>6</v>
      </c>
      <c r="X39" s="148">
        <f t="shared" si="40"/>
        <v>0</v>
      </c>
      <c r="Y39" s="149">
        <f t="shared" si="40"/>
        <v>0</v>
      </c>
      <c r="Z39" s="153">
        <f t="shared" si="39"/>
        <v>0</v>
      </c>
      <c r="AA39" s="154">
        <f t="shared" si="39"/>
        <v>0</v>
      </c>
      <c r="AB39" s="150">
        <f t="shared" si="39"/>
        <v>0</v>
      </c>
      <c r="AC39" s="149">
        <f t="shared" si="39"/>
        <v>0</v>
      </c>
      <c r="AD39" s="153">
        <f t="shared" si="39"/>
        <v>0</v>
      </c>
      <c r="AE39" s="154">
        <f t="shared" si="39"/>
        <v>0</v>
      </c>
      <c r="AF39" s="150">
        <f t="shared" si="39"/>
        <v>0</v>
      </c>
      <c r="AG39" s="149">
        <f t="shared" si="39"/>
        <v>0</v>
      </c>
      <c r="AH39" s="153">
        <f t="shared" si="39"/>
        <v>0</v>
      </c>
      <c r="AI39" s="154">
        <f t="shared" si="39"/>
        <v>0</v>
      </c>
      <c r="AJ39" s="150">
        <f t="shared" si="39"/>
        <v>0</v>
      </c>
      <c r="AK39" s="149">
        <f t="shared" si="39"/>
        <v>0</v>
      </c>
      <c r="AL39" s="153">
        <f t="shared" si="39"/>
        <v>0</v>
      </c>
      <c r="AM39" s="154">
        <f t="shared" si="39"/>
        <v>0</v>
      </c>
      <c r="AN39" s="150">
        <f t="shared" si="39"/>
        <v>0</v>
      </c>
      <c r="AO39" s="149">
        <f t="shared" si="39"/>
        <v>0</v>
      </c>
      <c r="AP39" s="153">
        <f t="shared" si="39"/>
        <v>0</v>
      </c>
      <c r="AQ39" s="155">
        <f t="shared" si="39"/>
        <v>0</v>
      </c>
      <c r="AS39" s="13">
        <v>6</v>
      </c>
      <c r="AT39" s="645">
        <v>1</v>
      </c>
      <c r="AU39" s="34">
        <v>1</v>
      </c>
      <c r="AV39" s="6">
        <v>1</v>
      </c>
      <c r="AW39" s="34">
        <v>1</v>
      </c>
      <c r="AX39" s="46">
        <v>1</v>
      </c>
      <c r="AY39" s="34">
        <v>1</v>
      </c>
      <c r="AZ39" s="6">
        <v>0</v>
      </c>
      <c r="BA39" s="34">
        <v>0</v>
      </c>
      <c r="BB39" s="6">
        <v>0</v>
      </c>
      <c r="BC39" s="34">
        <v>0</v>
      </c>
      <c r="BE39" s="13">
        <v>6</v>
      </c>
      <c r="BF39" s="645">
        <v>5</v>
      </c>
      <c r="BG39" s="34">
        <v>5</v>
      </c>
      <c r="BH39" s="6">
        <v>5</v>
      </c>
      <c r="BI39" s="34">
        <v>5</v>
      </c>
      <c r="BJ39" s="46">
        <v>5</v>
      </c>
      <c r="BK39" s="34">
        <v>5</v>
      </c>
      <c r="BL39" s="6">
        <v>5</v>
      </c>
      <c r="BM39" s="34">
        <v>3</v>
      </c>
      <c r="BN39" s="6">
        <v>3</v>
      </c>
      <c r="BO39" s="34">
        <v>3</v>
      </c>
    </row>
    <row r="40" spans="1:67">
      <c r="A40" s="7">
        <v>7</v>
      </c>
      <c r="B40" s="1">
        <f>IF(Paramètres!$H$46=0,0,VLOOKUP(Paramètres!$H$47,BARRACK_Normal_Troops[#All],2))</f>
        <v>0</v>
      </c>
      <c r="C40" s="9">
        <f>IF($B40=0,0,IF(SUM(Paramètres!$K$6:$K$45)&lt;&gt;Paramètres!$K$3,0,VLOOKUP(MATCH(1,Paramètres!$K$6:$K$45,0),LABO_Normal_Troops[#All],2)))</f>
        <v>0</v>
      </c>
      <c r="D40" s="3">
        <f>IF(Paramètres!$H$46=0,0,VLOOKUP(Paramètres!$H$47,BARRACK_Normal_Troops[#All],3))</f>
        <v>0</v>
      </c>
      <c r="E40" s="35">
        <f>IF($D40=0,0,IF(SUM(Paramètres!$K$6:$K$45)&lt;&gt;Paramètres!$K$3,0,VLOOKUP(MATCH(1,Paramètres!$K$6:$K$45,0),LABO_Normal_Troops[#All],3)))</f>
        <v>0</v>
      </c>
      <c r="F40" s="1">
        <f>IF(Paramètres!$H$46=0,0,VLOOKUP(Paramètres!$H$47,BARRACK_Normal_Troops[#All],4))</f>
        <v>0</v>
      </c>
      <c r="G40" s="9">
        <f>IF($F40=0,0,IF(SUM(Paramètres!$K$6:$K$45)&lt;&gt;Paramètres!$K$3,0,VLOOKUP(MATCH(1,Paramètres!$K$6:$K$45,0),LABO_Normal_Troops[#All],4)))</f>
        <v>0</v>
      </c>
      <c r="H40" s="3">
        <f>IF(Paramètres!$H$46=0,0,VLOOKUP(Paramètres!$H$47,BARRACK_Normal_Troops[#All],5))</f>
        <v>0</v>
      </c>
      <c r="I40" s="35">
        <f>IF($H40=0,0,IF(SUM(Paramètres!$K$6:$K$45)&lt;&gt;Paramètres!$K$3,0,VLOOKUP(MATCH(1,Paramètres!$K$6:$K$45,0),LABO_Normal_Troops[#All],5)))</f>
        <v>0</v>
      </c>
      <c r="J40" s="1">
        <f>IF(Paramètres!$H$46=0,0,VLOOKUP(Paramètres!$H$47,BARRACK_Normal_Troops[#All],6))</f>
        <v>0</v>
      </c>
      <c r="K40" s="9">
        <f>IF($J40=0,0,IF(SUM(Paramètres!$K$6:$K$45)&lt;&gt;Paramètres!$K$3,0,VLOOKUP(MATCH(1,Paramètres!$K$6:$K$45,0),LABO_Normal_Troops[#All],6)))</f>
        <v>0</v>
      </c>
      <c r="L40" s="3">
        <f>IF(Paramètres!$H$46=0,0,VLOOKUP(Paramètres!$H$47,BARRACK_Normal_Troops[#All],7))</f>
        <v>0</v>
      </c>
      <c r="M40" s="35">
        <f>IF($L40=0,0,IF(SUM(Paramètres!$K$6:$K$45)&lt;&gt;Paramètres!$K$3,0,VLOOKUP(MATCH(1,Paramètres!$K$6:$K$45,0),LABO_Normal_Troops[#All],7)))</f>
        <v>0</v>
      </c>
      <c r="N40" s="1">
        <f>IF(Paramètres!$H$46=0,0,VLOOKUP(Paramètres!$H$47,BARRACK_Normal_Troops[#All],8))</f>
        <v>0</v>
      </c>
      <c r="O40" s="9">
        <f>IF($N40=0,0,IF(SUM(Paramètres!$K$6:$K$45)&lt;&gt;Paramètres!$K$3,0,VLOOKUP(MATCH(1,Paramètres!$K$6:$K$45,0),LABO_Normal_Troops[#All],8)))</f>
        <v>0</v>
      </c>
      <c r="P40" s="3">
        <f>IF(Paramètres!$H$46=0,0,VLOOKUP(Paramètres!$H$47,BARRACK_Normal_Troops[#All],9))</f>
        <v>0</v>
      </c>
      <c r="Q40" s="35">
        <f>IF($P40=0,0,IF(SUM(Paramètres!$K$6:$K$45)&lt;&gt;Paramètres!$K$3,0,VLOOKUP(MATCH(1,Paramètres!$K$6:$K$45,0),LABO_Normal_Troops[#All],9)))</f>
        <v>0</v>
      </c>
      <c r="R40" s="1">
        <f>IF(Paramètres!$H$46=0,0,VLOOKUP(Paramètres!$H$47,BARRACK_Normal_Troops[#All],10))</f>
        <v>0</v>
      </c>
      <c r="S40" s="9">
        <f>IF($R40=0,0,IF(SUM(Paramètres!$K$6:$K$45)&lt;&gt;Paramètres!$K$3,0,VLOOKUP(MATCH(1,Paramètres!$K$6:$K$45,0),LABO_Normal_Troops[#All],10)))</f>
        <v>0</v>
      </c>
      <c r="T40" s="151">
        <f>IF(Paramètres!$H$46=0,0,VLOOKUP(Paramètres!$H$47,BARRACK_Normal_Troops[#All],11))</f>
        <v>0</v>
      </c>
      <c r="U40" s="34">
        <f>IF($T40=0,0,IF(SUM(Paramètres!$K$6:$K$45)&lt;&gt;Paramètres!$K$3,0,VLOOKUP(MATCH(1,Paramètres!$K$6:$K$45,0),LABO_Normal_Troops[#All],11)))</f>
        <v>0</v>
      </c>
      <c r="W40" s="7">
        <v>7</v>
      </c>
      <c r="X40" s="148">
        <f t="shared" si="40"/>
        <v>0</v>
      </c>
      <c r="Y40" s="149">
        <f t="shared" si="40"/>
        <v>0</v>
      </c>
      <c r="Z40" s="153">
        <f t="shared" si="39"/>
        <v>0</v>
      </c>
      <c r="AA40" s="154">
        <f t="shared" si="39"/>
        <v>0</v>
      </c>
      <c r="AB40" s="150">
        <f t="shared" si="39"/>
        <v>0</v>
      </c>
      <c r="AC40" s="149">
        <f t="shared" si="39"/>
        <v>0</v>
      </c>
      <c r="AD40" s="153">
        <f t="shared" si="39"/>
        <v>0</v>
      </c>
      <c r="AE40" s="154">
        <f t="shared" si="39"/>
        <v>0</v>
      </c>
      <c r="AF40" s="150">
        <f t="shared" si="39"/>
        <v>0</v>
      </c>
      <c r="AG40" s="149">
        <f t="shared" si="39"/>
        <v>0</v>
      </c>
      <c r="AH40" s="153">
        <f t="shared" si="39"/>
        <v>0</v>
      </c>
      <c r="AI40" s="154">
        <f t="shared" si="39"/>
        <v>0</v>
      </c>
      <c r="AJ40" s="150">
        <f t="shared" si="39"/>
        <v>0</v>
      </c>
      <c r="AK40" s="149">
        <f t="shared" si="39"/>
        <v>0</v>
      </c>
      <c r="AL40" s="153">
        <f t="shared" si="39"/>
        <v>0</v>
      </c>
      <c r="AM40" s="154">
        <f t="shared" si="39"/>
        <v>0</v>
      </c>
      <c r="AN40" s="150">
        <f t="shared" si="39"/>
        <v>0</v>
      </c>
      <c r="AO40" s="149">
        <f t="shared" si="39"/>
        <v>0</v>
      </c>
      <c r="AP40" s="153">
        <f t="shared" si="39"/>
        <v>0</v>
      </c>
      <c r="AQ40" s="155">
        <f t="shared" si="39"/>
        <v>0</v>
      </c>
      <c r="AS40" s="13">
        <v>7</v>
      </c>
      <c r="AT40" s="646">
        <v>1</v>
      </c>
      <c r="AU40" s="36">
        <v>1</v>
      </c>
      <c r="AV40" s="5">
        <v>1</v>
      </c>
      <c r="AW40" s="36">
        <v>1</v>
      </c>
      <c r="AX40" s="45">
        <v>1</v>
      </c>
      <c r="AY40" s="34">
        <v>1</v>
      </c>
      <c r="AZ40" s="6">
        <v>1</v>
      </c>
      <c r="BA40" s="34">
        <v>0</v>
      </c>
      <c r="BB40" s="6">
        <v>0</v>
      </c>
      <c r="BC40" s="34">
        <v>0</v>
      </c>
      <c r="BE40" s="13">
        <v>7</v>
      </c>
      <c r="BF40" s="646">
        <v>6</v>
      </c>
      <c r="BG40" s="36">
        <v>6</v>
      </c>
      <c r="BH40" s="5">
        <v>6</v>
      </c>
      <c r="BI40" s="36">
        <v>5</v>
      </c>
      <c r="BJ40" s="45">
        <v>5</v>
      </c>
      <c r="BK40" s="34">
        <v>6</v>
      </c>
      <c r="BL40" s="6">
        <v>5</v>
      </c>
      <c r="BM40" s="34">
        <v>4</v>
      </c>
      <c r="BN40" s="6">
        <v>4</v>
      </c>
      <c r="BO40" s="34">
        <v>3</v>
      </c>
    </row>
    <row r="41" spans="1:67">
      <c r="A41" s="7">
        <v>8</v>
      </c>
      <c r="B41" s="2">
        <f>IF(Paramètres!$H$46=0,0,VLOOKUP(Paramètres!$H$47,BARRACK_Normal_Troops[#All],2))</f>
        <v>0</v>
      </c>
      <c r="C41" s="9">
        <f>IF($B41=0,0,IF(SUM(Paramètres!$K$6:$K$45)&lt;&gt;Paramètres!$K$3,0,VLOOKUP(MATCH(1,Paramètres!$K$6:$K$45,0),LABO_Normal_Troops[#All],2)))</f>
        <v>0</v>
      </c>
      <c r="D41" s="4">
        <f>IF(Paramètres!$H$46=0,0,VLOOKUP(Paramètres!$H$47,BARRACK_Normal_Troops[#All],3))</f>
        <v>0</v>
      </c>
      <c r="E41" s="35">
        <f>IF($D41=0,0,IF(SUM(Paramètres!$K$6:$K$45)&lt;&gt;Paramètres!$K$3,0,VLOOKUP(MATCH(1,Paramètres!$K$6:$K$45,0),LABO_Normal_Troops[#All],3)))</f>
        <v>0</v>
      </c>
      <c r="F41" s="2">
        <f>IF(Paramètres!$H$46=0,0,VLOOKUP(Paramètres!$H$47,BARRACK_Normal_Troops[#All],4))</f>
        <v>0</v>
      </c>
      <c r="G41" s="9">
        <f>IF($F41=0,0,IF(SUM(Paramètres!$K$6:$K$45)&lt;&gt;Paramètres!$K$3,0,VLOOKUP(MATCH(1,Paramètres!$K$6:$K$45,0),LABO_Normal_Troops[#All],4)))</f>
        <v>0</v>
      </c>
      <c r="H41" s="4">
        <f>IF(Paramètres!$H$46=0,0,VLOOKUP(Paramètres!$H$47,BARRACK_Normal_Troops[#All],5))</f>
        <v>0</v>
      </c>
      <c r="I41" s="35">
        <f>IF($H41=0,0,IF(SUM(Paramètres!$K$6:$K$45)&lt;&gt;Paramètres!$K$3,0,VLOOKUP(MATCH(1,Paramètres!$K$6:$K$45,0),LABO_Normal_Troops[#All],5)))</f>
        <v>0</v>
      </c>
      <c r="J41" s="2">
        <f>IF(Paramètres!$H$46=0,0,VLOOKUP(Paramètres!$H$47,BARRACK_Normal_Troops[#All],6))</f>
        <v>0</v>
      </c>
      <c r="K41" s="9">
        <f>IF($J41=0,0,IF(SUM(Paramètres!$K$6:$K$45)&lt;&gt;Paramètres!$K$3,0,VLOOKUP(MATCH(1,Paramètres!$K$6:$K$45,0),LABO_Normal_Troops[#All],6)))</f>
        <v>0</v>
      </c>
      <c r="L41" s="4">
        <f>IF(Paramètres!$H$46=0,0,VLOOKUP(Paramètres!$H$47,BARRACK_Normal_Troops[#All],7))</f>
        <v>0</v>
      </c>
      <c r="M41" s="35">
        <f>IF($L41=0,0,IF(SUM(Paramètres!$K$6:$K$45)&lt;&gt;Paramètres!$K$3,0,VLOOKUP(MATCH(1,Paramètres!$K$6:$K$45,0),LABO_Normal_Troops[#All],7)))</f>
        <v>0</v>
      </c>
      <c r="N41" s="2">
        <f>IF(Paramètres!$H$46=0,0,VLOOKUP(Paramètres!$H$47,BARRACK_Normal_Troops[#All],8))</f>
        <v>0</v>
      </c>
      <c r="O41" s="9">
        <f>IF($N41=0,0,IF(SUM(Paramètres!$K$6:$K$45)&lt;&gt;Paramètres!$K$3,0,VLOOKUP(MATCH(1,Paramètres!$K$6:$K$45,0),LABO_Normal_Troops[#All],8)))</f>
        <v>0</v>
      </c>
      <c r="P41" s="4">
        <f>IF(Paramètres!$H$46=0,0,VLOOKUP(Paramètres!$H$47,BARRACK_Normal_Troops[#All],9))</f>
        <v>0</v>
      </c>
      <c r="Q41" s="35">
        <f>IF($P41=0,0,IF(SUM(Paramètres!$K$6:$K$45)&lt;&gt;Paramètres!$K$3,0,VLOOKUP(MATCH(1,Paramètres!$K$6:$K$45,0),LABO_Normal_Troops[#All],9)))</f>
        <v>0</v>
      </c>
      <c r="R41" s="2">
        <f>IF(Paramètres!$H$46=0,0,VLOOKUP(Paramètres!$H$47,BARRACK_Normal_Troops[#All],10))</f>
        <v>0</v>
      </c>
      <c r="S41" s="9">
        <f>IF($R41=0,0,IF(SUM(Paramètres!$K$6:$K$45)&lt;&gt;Paramètres!$K$3,0,VLOOKUP(MATCH(1,Paramètres!$K$6:$K$45,0),LABO_Normal_Troops[#All],10)))</f>
        <v>0</v>
      </c>
      <c r="T41" s="151">
        <f>IF(Paramètres!$H$46=0,0,VLOOKUP(Paramètres!$H$47,BARRACK_Normal_Troops[#All],11))</f>
        <v>0</v>
      </c>
      <c r="U41" s="34">
        <f>IF($T41=0,0,IF(SUM(Paramètres!$K$6:$K$45)&lt;&gt;Paramètres!$K$3,0,VLOOKUP(MATCH(1,Paramètres!$K$6:$K$45,0),LABO_Normal_Troops[#All],11)))</f>
        <v>0</v>
      </c>
      <c r="W41" s="7">
        <v>8</v>
      </c>
      <c r="X41" s="148">
        <f t="shared" si="40"/>
        <v>0</v>
      </c>
      <c r="Y41" s="149">
        <f t="shared" si="40"/>
        <v>0</v>
      </c>
      <c r="Z41" s="153">
        <f t="shared" si="39"/>
        <v>0</v>
      </c>
      <c r="AA41" s="154">
        <f t="shared" si="39"/>
        <v>0</v>
      </c>
      <c r="AB41" s="150">
        <f t="shared" si="39"/>
        <v>0</v>
      </c>
      <c r="AC41" s="149">
        <f t="shared" si="39"/>
        <v>0</v>
      </c>
      <c r="AD41" s="153">
        <f t="shared" si="39"/>
        <v>0</v>
      </c>
      <c r="AE41" s="154">
        <f t="shared" si="39"/>
        <v>0</v>
      </c>
      <c r="AF41" s="150">
        <f t="shared" si="39"/>
        <v>0</v>
      </c>
      <c r="AG41" s="149">
        <f t="shared" si="39"/>
        <v>0</v>
      </c>
      <c r="AH41" s="153">
        <f t="shared" si="39"/>
        <v>0</v>
      </c>
      <c r="AI41" s="154">
        <f t="shared" si="39"/>
        <v>0</v>
      </c>
      <c r="AJ41" s="150">
        <f t="shared" si="39"/>
        <v>0</v>
      </c>
      <c r="AK41" s="149">
        <f t="shared" si="39"/>
        <v>0</v>
      </c>
      <c r="AL41" s="153">
        <f t="shared" si="39"/>
        <v>0</v>
      </c>
      <c r="AM41" s="154">
        <f t="shared" si="39"/>
        <v>0</v>
      </c>
      <c r="AN41" s="150">
        <f t="shared" si="39"/>
        <v>0</v>
      </c>
      <c r="AO41" s="149">
        <f t="shared" si="39"/>
        <v>0</v>
      </c>
      <c r="AP41" s="153">
        <f t="shared" si="39"/>
        <v>0</v>
      </c>
      <c r="AQ41" s="155">
        <f t="shared" si="39"/>
        <v>0</v>
      </c>
      <c r="AS41" s="13">
        <v>8</v>
      </c>
      <c r="AT41" s="645">
        <v>1</v>
      </c>
      <c r="AU41" s="34">
        <v>1</v>
      </c>
      <c r="AV41" s="6">
        <v>1</v>
      </c>
      <c r="AW41" s="34">
        <v>1</v>
      </c>
      <c r="AX41" s="46">
        <v>1</v>
      </c>
      <c r="AY41" s="34">
        <v>1</v>
      </c>
      <c r="AZ41" s="6">
        <v>1</v>
      </c>
      <c r="BA41" s="34">
        <v>1</v>
      </c>
      <c r="BB41" s="6">
        <v>0</v>
      </c>
      <c r="BC41" s="34">
        <v>0</v>
      </c>
      <c r="BE41" s="13">
        <v>8</v>
      </c>
      <c r="BF41" s="645">
        <v>7</v>
      </c>
      <c r="BG41" s="34">
        <v>7</v>
      </c>
      <c r="BH41" s="6">
        <v>7</v>
      </c>
      <c r="BI41" s="34">
        <v>6</v>
      </c>
      <c r="BJ41" s="46">
        <v>6</v>
      </c>
      <c r="BK41" s="34">
        <v>6</v>
      </c>
      <c r="BL41" s="6">
        <v>6</v>
      </c>
      <c r="BM41" s="34">
        <v>4</v>
      </c>
      <c r="BN41" s="6">
        <v>5</v>
      </c>
      <c r="BO41" s="34">
        <v>5</v>
      </c>
    </row>
    <row r="42" spans="1:67">
      <c r="A42" s="7">
        <v>9</v>
      </c>
      <c r="B42" s="1">
        <f>IF(Paramètres!$H$46=0,0,VLOOKUP(Paramètres!$H$47,BARRACK_Normal_Troops[#All],2))</f>
        <v>0</v>
      </c>
      <c r="C42" s="9">
        <f>IF($B42=0,0,IF(SUM(Paramètres!$K$6:$K$45)&lt;&gt;Paramètres!$K$3,0,VLOOKUP(MATCH(1,Paramètres!$K$6:$K$45,0),LABO_Normal_Troops[#All],2)))</f>
        <v>0</v>
      </c>
      <c r="D42" s="3">
        <f>IF(Paramètres!$H$46=0,0,VLOOKUP(Paramètres!$H$47,BARRACK_Normal_Troops[#All],3))</f>
        <v>0</v>
      </c>
      <c r="E42" s="36">
        <f>IF($D42=0,0,IF(SUM(Paramètres!$K$6:$K$45)&lt;&gt;Paramètres!$K$3,0,VLOOKUP(MATCH(1,Paramètres!$K$6:$K$45,0),LABO_Normal_Troops[#All],3)))</f>
        <v>0</v>
      </c>
      <c r="F42" s="1">
        <f>IF(Paramètres!$H$46=0,0,VLOOKUP(Paramètres!$H$47,BARRACK_Normal_Troops[#All],4))</f>
        <v>0</v>
      </c>
      <c r="G42" s="5">
        <f>IF($F42=0,0,IF(SUM(Paramètres!$K$6:$K$45)&lt;&gt;Paramètres!$K$3,0,VLOOKUP(MATCH(1,Paramètres!$K$6:$K$45,0),LABO_Normal_Troops[#All],4)))</f>
        <v>0</v>
      </c>
      <c r="H42" s="3">
        <f>IF(Paramètres!$H$46=0,0,VLOOKUP(Paramètres!$H$47,BARRACK_Normal_Troops[#All],5))</f>
        <v>0</v>
      </c>
      <c r="I42" s="36">
        <f>IF($H42=0,0,IF(SUM(Paramètres!$K$6:$K$45)&lt;&gt;Paramètres!$K$3,0,VLOOKUP(MATCH(1,Paramètres!$K$6:$K$45,0),LABO_Normal_Troops[#All],5)))</f>
        <v>0</v>
      </c>
      <c r="J42" s="1">
        <f>IF(Paramètres!$H$46=0,0,VLOOKUP(Paramètres!$H$47,BARRACK_Normal_Troops[#All],6))</f>
        <v>0</v>
      </c>
      <c r="K42" s="5">
        <f>IF($J42=0,0,IF(SUM(Paramètres!$K$6:$K$45)&lt;&gt;Paramètres!$K$3,0,VLOOKUP(MATCH(1,Paramètres!$K$6:$K$45,0),LABO_Normal_Troops[#All],6)))</f>
        <v>0</v>
      </c>
      <c r="L42" s="3">
        <f>IF(Paramètres!$H$46=0,0,VLOOKUP(Paramètres!$H$47,BARRACK_Normal_Troops[#All],7))</f>
        <v>0</v>
      </c>
      <c r="M42" s="36">
        <f>IF($L42=0,0,IF(SUM(Paramètres!$K$6:$K$45)&lt;&gt;Paramètres!$K$3,0,VLOOKUP(MATCH(1,Paramètres!$K$6:$K$45,0),LABO_Normal_Troops[#All],7)))</f>
        <v>0</v>
      </c>
      <c r="N42" s="1">
        <f>IF(Paramètres!$H$46=0,0,VLOOKUP(Paramètres!$H$47,BARRACK_Normal_Troops[#All],8))</f>
        <v>0</v>
      </c>
      <c r="O42" s="5">
        <f>IF($N42=0,0,IF(SUM(Paramètres!$K$6:$K$45)&lt;&gt;Paramètres!$K$3,0,VLOOKUP(MATCH(1,Paramètres!$K$6:$K$45,0),LABO_Normal_Troops[#All],8)))</f>
        <v>0</v>
      </c>
      <c r="P42" s="3">
        <f>IF(Paramètres!$H$46=0,0,VLOOKUP(Paramètres!$H$47,BARRACK_Normal_Troops[#All],9))</f>
        <v>0</v>
      </c>
      <c r="Q42" s="34">
        <f>IF($P42=0,0,IF(SUM(Paramètres!$K$6:$K$45)&lt;&gt;Paramètres!$K$3,0,VLOOKUP(MATCH(1,Paramètres!$K$6:$K$45,0),LABO_Normal_Troops[#All],9)))</f>
        <v>0</v>
      </c>
      <c r="R42" s="1">
        <f>IF(Paramètres!$H$46=0,0,VLOOKUP(Paramètres!$H$47,BARRACK_Normal_Troops[#All],10))</f>
        <v>0</v>
      </c>
      <c r="S42" s="5">
        <f>IF($R42=0,0,IF(SUM(Paramètres!$K$6:$K$45)&lt;&gt;Paramètres!$K$3,0,VLOOKUP(MATCH(1,Paramètres!$K$6:$K$45,0),LABO_Normal_Troops[#All],10)))</f>
        <v>0</v>
      </c>
      <c r="T42" s="151">
        <f>IF(Paramètres!$H$46=0,0,VLOOKUP(Paramètres!$H$47,BARRACK_Normal_Troops[#All],11))</f>
        <v>0</v>
      </c>
      <c r="U42" s="36">
        <f>IF($T42=0,0,IF(SUM(Paramètres!$K$6:$K$45)&lt;&gt;Paramètres!$K$3,0,VLOOKUP(MATCH(1,Paramètres!$K$6:$K$45,0),LABO_Normal_Troops[#All],11)))</f>
        <v>0</v>
      </c>
      <c r="W42" s="7">
        <v>9</v>
      </c>
      <c r="X42" s="148">
        <f t="shared" si="40"/>
        <v>0</v>
      </c>
      <c r="Y42" s="149">
        <f t="shared" si="40"/>
        <v>0</v>
      </c>
      <c r="Z42" s="153">
        <f t="shared" si="39"/>
        <v>0</v>
      </c>
      <c r="AA42" s="154">
        <f t="shared" si="39"/>
        <v>0</v>
      </c>
      <c r="AB42" s="150">
        <f t="shared" si="39"/>
        <v>0</v>
      </c>
      <c r="AC42" s="149">
        <f t="shared" si="39"/>
        <v>0</v>
      </c>
      <c r="AD42" s="153">
        <f t="shared" si="39"/>
        <v>0</v>
      </c>
      <c r="AE42" s="154">
        <f t="shared" si="39"/>
        <v>0</v>
      </c>
      <c r="AF42" s="150">
        <f t="shared" si="39"/>
        <v>0</v>
      </c>
      <c r="AG42" s="149">
        <f t="shared" si="39"/>
        <v>0</v>
      </c>
      <c r="AH42" s="153">
        <f t="shared" si="39"/>
        <v>0</v>
      </c>
      <c r="AI42" s="154">
        <f t="shared" si="39"/>
        <v>0</v>
      </c>
      <c r="AJ42" s="150">
        <f t="shared" si="39"/>
        <v>0</v>
      </c>
      <c r="AK42" s="149">
        <f t="shared" si="39"/>
        <v>0</v>
      </c>
      <c r="AL42" s="153">
        <f t="shared" si="39"/>
        <v>0</v>
      </c>
      <c r="AM42" s="154">
        <f t="shared" si="39"/>
        <v>0</v>
      </c>
      <c r="AN42" s="150">
        <f t="shared" si="39"/>
        <v>0</v>
      </c>
      <c r="AO42" s="149">
        <f t="shared" si="39"/>
        <v>0</v>
      </c>
      <c r="AP42" s="153">
        <f t="shared" si="39"/>
        <v>0</v>
      </c>
      <c r="AQ42" s="155">
        <f t="shared" si="39"/>
        <v>0</v>
      </c>
      <c r="AS42" s="13">
        <v>9</v>
      </c>
      <c r="AT42" s="646">
        <v>1</v>
      </c>
      <c r="AU42" s="36">
        <v>1</v>
      </c>
      <c r="AV42" s="5">
        <v>1</v>
      </c>
      <c r="AW42" s="36">
        <v>1</v>
      </c>
      <c r="AX42" s="45">
        <v>1</v>
      </c>
      <c r="AY42" s="34">
        <v>1</v>
      </c>
      <c r="AZ42" s="6">
        <v>1</v>
      </c>
      <c r="BA42" s="34">
        <v>1</v>
      </c>
      <c r="BB42" s="6">
        <v>1</v>
      </c>
      <c r="BC42" s="34">
        <v>0</v>
      </c>
      <c r="BE42" s="13">
        <v>9</v>
      </c>
      <c r="BF42" s="645">
        <v>7</v>
      </c>
      <c r="BG42" s="34">
        <v>7</v>
      </c>
      <c r="BH42" s="6">
        <v>7</v>
      </c>
      <c r="BI42" s="34">
        <v>6</v>
      </c>
      <c r="BJ42" s="46">
        <v>6</v>
      </c>
      <c r="BK42" s="34">
        <v>6</v>
      </c>
      <c r="BL42" s="6">
        <v>6</v>
      </c>
      <c r="BM42" s="34">
        <v>4</v>
      </c>
      <c r="BN42" s="6">
        <v>5</v>
      </c>
      <c r="BO42" s="34">
        <v>5</v>
      </c>
    </row>
    <row r="43" spans="1:67" ht="12" thickBot="1">
      <c r="A43" s="8">
        <v>10</v>
      </c>
      <c r="B43" s="22">
        <f>IF(Paramètres!$H$46=0,0,VLOOKUP(Paramètres!$H$47,BARRACK_Normal_Troops[#All],2))</f>
        <v>0</v>
      </c>
      <c r="C43" s="9">
        <f>IF($B43=0,0,IF(SUM(Paramètres!$K$6:$K$45)&lt;&gt;Paramètres!$K$3,0,VLOOKUP(MATCH(1,Paramètres!$K$6:$K$45,0),LABO_Normal_Troops[#All],2)))</f>
        <v>0</v>
      </c>
      <c r="D43" s="21">
        <f>IF(Paramètres!$H$46=0,0,VLOOKUP(Paramètres!$H$47,BARRACK_Normal_Troops[#All],3))</f>
        <v>0</v>
      </c>
      <c r="E43" s="37">
        <f>IF($D43=0,0,IF(SUM(Paramètres!$K$6:$K$45)&lt;&gt;Paramètres!$K$3,0,VLOOKUP(MATCH(1,Paramètres!$K$6:$K$45,0),LABO_Normal_Troops[#All],3)))</f>
        <v>0</v>
      </c>
      <c r="F43" s="22">
        <f>IF(Paramètres!$H$46=0,0,VLOOKUP(Paramètres!$H$47,BARRACK_Normal_Troops[#All],4))</f>
        <v>0</v>
      </c>
      <c r="G43" s="20">
        <f>IF($F43=0,0,IF(SUM(Paramètres!$K$6:$K$45)&lt;&gt;Paramètres!$K$3,0,VLOOKUP(MATCH(1,Paramètres!$K$6:$K$45,0),LABO_Normal_Troops[#All],4)))</f>
        <v>0</v>
      </c>
      <c r="H43" s="21">
        <f>IF(Paramètres!$H$46=0,0,VLOOKUP(Paramètres!$H$47,BARRACK_Normal_Troops[#All],5))</f>
        <v>0</v>
      </c>
      <c r="I43" s="37">
        <f>IF($H43=0,0,IF(SUM(Paramètres!$K$6:$K$45)&lt;&gt;Paramètres!$K$3,0,VLOOKUP(MATCH(1,Paramètres!$K$6:$K$45,0),LABO_Normal_Troops[#All],5)))</f>
        <v>0</v>
      </c>
      <c r="J43" s="22">
        <f>IF(Paramètres!$H$46=0,0,VLOOKUP(Paramètres!$H$47,BARRACK_Normal_Troops[#All],6))</f>
        <v>0</v>
      </c>
      <c r="K43" s="20">
        <f>IF($J43=0,0,IF(SUM(Paramètres!$K$6:$K$45)&lt;&gt;Paramètres!$K$3,0,VLOOKUP(MATCH(1,Paramètres!$K$6:$K$45,0),LABO_Normal_Troops[#All],6)))</f>
        <v>0</v>
      </c>
      <c r="L43" s="21">
        <f>IF(Paramètres!$H$46=0,0,VLOOKUP(Paramètres!$H$47,BARRACK_Normal_Troops[#All],7))</f>
        <v>0</v>
      </c>
      <c r="M43" s="37">
        <f>IF($L43=0,0,IF(SUM(Paramètres!$K$6:$K$45)&lt;&gt;Paramètres!$K$3,0,VLOOKUP(MATCH(1,Paramètres!$K$6:$K$45,0),LABO_Normal_Troops[#All],7)))</f>
        <v>0</v>
      </c>
      <c r="N43" s="22">
        <f>IF(Paramètres!$H$46=0,0,VLOOKUP(Paramètres!$H$47,BARRACK_Normal_Troops[#All],8))</f>
        <v>0</v>
      </c>
      <c r="O43" s="20">
        <f>IF($N43=0,0,IF(SUM(Paramètres!$K$6:$K$45)&lt;&gt;Paramètres!$K$3,0,VLOOKUP(MATCH(1,Paramètres!$K$6:$K$45,0),LABO_Normal_Troops[#All],8)))</f>
        <v>0</v>
      </c>
      <c r="P43" s="21">
        <f>IF(Paramètres!$H$46=0,0,VLOOKUP(Paramètres!$H$47,BARRACK_Normal_Troops[#All],9))</f>
        <v>0</v>
      </c>
      <c r="Q43" s="36">
        <f>IF($P43=0,0,IF(SUM(Paramètres!$K$6:$K$45)&lt;&gt;Paramètres!$K$3,0,VLOOKUP(MATCH(1,Paramètres!$K$6:$K$45,0),LABO_Normal_Troops[#All],9)))</f>
        <v>0</v>
      </c>
      <c r="R43" s="22">
        <f>IF(Paramètres!$H$46=0,0,VLOOKUP(Paramètres!$H$47,BARRACK_Normal_Troops[#All],10))</f>
        <v>0</v>
      </c>
      <c r="S43" s="20">
        <f>IF($R43=0,0,IF(SUM(Paramètres!$K$6:$K$45)&lt;&gt;Paramètres!$K$3,0,VLOOKUP(MATCH(1,Paramètres!$K$6:$K$45,0),LABO_Normal_Troops[#All],10)))</f>
        <v>0</v>
      </c>
      <c r="T43" s="151">
        <f>IF(Paramètres!$H$46=0,0,VLOOKUP(Paramètres!$H$47,BARRACK_Normal_Troops[#All],11))</f>
        <v>0</v>
      </c>
      <c r="U43" s="37">
        <f>IF($T43=0,0,IF(SUM(Paramètres!$K$6:$K$45)&lt;&gt;Paramètres!$K$3,0,VLOOKUP(MATCH(1,Paramètres!$K$6:$K$45,0),LABO_Normal_Troops[#All],11)))</f>
        <v>0</v>
      </c>
      <c r="W43" s="8">
        <v>10</v>
      </c>
      <c r="X43" s="148">
        <f t="shared" si="40"/>
        <v>0</v>
      </c>
      <c r="Y43" s="149">
        <f t="shared" si="40"/>
        <v>0</v>
      </c>
      <c r="Z43" s="153">
        <f t="shared" si="39"/>
        <v>0</v>
      </c>
      <c r="AA43" s="154">
        <f t="shared" si="39"/>
        <v>0</v>
      </c>
      <c r="AB43" s="150">
        <f t="shared" si="39"/>
        <v>0</v>
      </c>
      <c r="AC43" s="149">
        <f t="shared" si="39"/>
        <v>0</v>
      </c>
      <c r="AD43" s="153">
        <f t="shared" si="39"/>
        <v>0</v>
      </c>
      <c r="AE43" s="154">
        <f t="shared" si="39"/>
        <v>0</v>
      </c>
      <c r="AF43" s="150">
        <f t="shared" si="39"/>
        <v>0</v>
      </c>
      <c r="AG43" s="149">
        <f t="shared" si="39"/>
        <v>0</v>
      </c>
      <c r="AH43" s="153">
        <f t="shared" si="39"/>
        <v>0</v>
      </c>
      <c r="AI43" s="154">
        <f t="shared" si="39"/>
        <v>0</v>
      </c>
      <c r="AJ43" s="150">
        <f t="shared" si="39"/>
        <v>0</v>
      </c>
      <c r="AK43" s="149">
        <f t="shared" si="39"/>
        <v>0</v>
      </c>
      <c r="AL43" s="153">
        <f t="shared" si="39"/>
        <v>0</v>
      </c>
      <c r="AM43" s="154">
        <f t="shared" si="39"/>
        <v>0</v>
      </c>
      <c r="AN43" s="150">
        <f t="shared" si="39"/>
        <v>0</v>
      </c>
      <c r="AO43" s="149">
        <f t="shared" si="39"/>
        <v>0</v>
      </c>
      <c r="AP43" s="153">
        <f t="shared" si="39"/>
        <v>0</v>
      </c>
      <c r="AQ43" s="155">
        <f t="shared" si="39"/>
        <v>0</v>
      </c>
      <c r="AS43" s="19">
        <v>10</v>
      </c>
      <c r="AT43" s="647">
        <v>1</v>
      </c>
      <c r="AU43" s="37">
        <v>1</v>
      </c>
      <c r="AV43" s="20">
        <v>1</v>
      </c>
      <c r="AW43" s="37">
        <v>1</v>
      </c>
      <c r="AX43" s="59">
        <v>1</v>
      </c>
      <c r="AY43" s="37">
        <v>1</v>
      </c>
      <c r="AZ43" s="20">
        <v>1</v>
      </c>
      <c r="BA43" s="37">
        <v>1</v>
      </c>
      <c r="BB43" s="20">
        <v>1</v>
      </c>
      <c r="BC43" s="37">
        <v>1</v>
      </c>
    </row>
    <row r="44" spans="1:67">
      <c r="A44" s="188">
        <v>11</v>
      </c>
      <c r="B44" s="22">
        <f>IF(Paramètres!$H$46=0,0,VLOOKUP(Paramètres!$H$47,BARRACK_Normal_Troops[#All],2))</f>
        <v>0</v>
      </c>
      <c r="C44" s="943">
        <f>IF($B44=0,0,IF(SUM(Paramètres!$K$6:$K$45)&lt;&gt;Paramètres!$K$3,0,VLOOKUP(MATCH(1,Paramètres!$K$6:$K$45,0),LABO_Normal_Troops[#All],2)))</f>
        <v>0</v>
      </c>
      <c r="D44" s="21">
        <f>IF(Paramètres!$H$46=0,0,VLOOKUP(Paramètres!$H$47,BARRACK_Normal_Troops[#All],3))</f>
        <v>0</v>
      </c>
      <c r="E44" s="37">
        <f>IF($D44=0,0,IF(SUM(Paramètres!$K$6:$K$45)&lt;&gt;Paramètres!$K$3,0,VLOOKUP(MATCH(1,Paramètres!$K$6:$K$45,0),LABO_Normal_Troops[#All],3)))</f>
        <v>0</v>
      </c>
      <c r="F44" s="22">
        <f>IF(Paramètres!$H$46=0,0,VLOOKUP(Paramètres!$H$47,BARRACK_Normal_Troops[#All],4))</f>
        <v>0</v>
      </c>
      <c r="G44" s="20">
        <f>IF($F44=0,0,IF(SUM(Paramètres!$K$6:$K$45)&lt;&gt;Paramètres!$K$3,0,VLOOKUP(MATCH(1,Paramètres!$K$6:$K$45,0),LABO_Normal_Troops[#All],4)))</f>
        <v>0</v>
      </c>
      <c r="H44" s="21">
        <f>IF(Paramètres!$H$46=0,0,VLOOKUP(Paramètres!$H$47,BARRACK_Normal_Troops[#All],5))</f>
        <v>0</v>
      </c>
      <c r="I44" s="37">
        <f>IF($H44=0,0,IF(SUM(Paramètres!$K$6:$K$45)&lt;&gt;Paramètres!$K$3,0,VLOOKUP(MATCH(1,Paramètres!$K$6:$K$45,0),LABO_Normal_Troops[#All],5)))</f>
        <v>0</v>
      </c>
      <c r="J44" s="22">
        <f>IF(Paramètres!$H$46=0,0,VLOOKUP(Paramètres!$H$47,BARRACK_Normal_Troops[#All],6))</f>
        <v>0</v>
      </c>
      <c r="K44" s="20">
        <f>IF($J44=0,0,IF(SUM(Paramètres!$K$6:$K$45)&lt;&gt;Paramètres!$K$3,0,VLOOKUP(MATCH(1,Paramètres!$K$6:$K$45,0),LABO_Normal_Troops[#All],6)))</f>
        <v>0</v>
      </c>
      <c r="L44" s="21">
        <f>IF(Paramètres!$H$46=0,0,VLOOKUP(Paramètres!$H$47,BARRACK_Normal_Troops[#All],7))</f>
        <v>0</v>
      </c>
      <c r="M44" s="37">
        <f>IF($L44=0,0,IF(SUM(Paramètres!$K$6:$K$45)&lt;&gt;Paramètres!$K$3,0,VLOOKUP(MATCH(1,Paramètres!$K$6:$K$45,0),LABO_Normal_Troops[#All],7)))</f>
        <v>0</v>
      </c>
      <c r="N44" s="22">
        <f>IF(Paramètres!$H$46=0,0,VLOOKUP(Paramètres!$H$47,BARRACK_Normal_Troops[#All],8))</f>
        <v>0</v>
      </c>
      <c r="O44" s="20">
        <f>IF($N44=0,0,IF(SUM(Paramètres!$K$6:$K$45)&lt;&gt;Paramètres!$K$3,0,VLOOKUP(MATCH(1,Paramètres!$K$6:$K$45,0),LABO_Normal_Troops[#All],8)))</f>
        <v>0</v>
      </c>
      <c r="P44" s="21">
        <f>IF(Paramètres!$H$46=0,0,VLOOKUP(Paramètres!$H$47,BARRACK_Normal_Troops[#All],9))</f>
        <v>0</v>
      </c>
      <c r="Q44" s="944">
        <f>IF($P44=0,0,IF(SUM(Paramètres!$K$6:$K$45)&lt;&gt;Paramètres!$K$3,0,VLOOKUP(MATCH(1,Paramètres!$K$6:$K$45,0),LABO_Normal_Troops[#All],9)))</f>
        <v>0</v>
      </c>
      <c r="R44" s="22">
        <f>IF(Paramètres!$H$46=0,0,VLOOKUP(Paramètres!$H$47,BARRACK_Normal_Troops[#All],10))</f>
        <v>0</v>
      </c>
      <c r="S44" s="20">
        <f>IF($R44=0,0,IF(SUM(Paramètres!$K$6:$K$45)&lt;&gt;Paramètres!$K$3,0,VLOOKUP(MATCH(1,Paramètres!$K$6:$K$45,0),LABO_Normal_Troops[#All],10)))</f>
        <v>0</v>
      </c>
      <c r="T44" s="945">
        <f>IF(Paramètres!$H$46=0,0,VLOOKUP(Paramètres!$H$47,BARRACK_Normal_Troops[#All],11))</f>
        <v>0</v>
      </c>
      <c r="U44" s="37">
        <f>IF($T44=0,0,IF(SUM(Paramètres!$K$6:$K$45)&lt;&gt;Paramètres!$K$3,0,VLOOKUP(MATCH(1,Paramètres!$K$6:$K$45,0),LABO_Normal_Troops[#All],11)))</f>
        <v>0</v>
      </c>
      <c r="W44" s="188">
        <v>11</v>
      </c>
      <c r="X44" s="946">
        <f t="shared" ref="X44" si="41">B44-B43</f>
        <v>0</v>
      </c>
      <c r="Y44" s="947">
        <f t="shared" ref="Y44" si="42">C44-C43</f>
        <v>0</v>
      </c>
      <c r="Z44" s="948">
        <f t="shared" ref="Z44" si="43">D44-D43</f>
        <v>0</v>
      </c>
      <c r="AA44" s="949">
        <f t="shared" ref="AA44" si="44">E44-E43</f>
        <v>0</v>
      </c>
      <c r="AB44" s="950">
        <f t="shared" ref="AB44" si="45">F44-F43</f>
        <v>0</v>
      </c>
      <c r="AC44" s="947">
        <f t="shared" ref="AC44" si="46">G44-G43</f>
        <v>0</v>
      </c>
      <c r="AD44" s="948">
        <f t="shared" ref="AD44" si="47">H44-H43</f>
        <v>0</v>
      </c>
      <c r="AE44" s="949">
        <f t="shared" ref="AE44" si="48">I44-I43</f>
        <v>0</v>
      </c>
      <c r="AF44" s="950">
        <f t="shared" ref="AF44" si="49">J44-J43</f>
        <v>0</v>
      </c>
      <c r="AG44" s="947">
        <f t="shared" ref="AG44" si="50">K44-K43</f>
        <v>0</v>
      </c>
      <c r="AH44" s="948">
        <f t="shared" ref="AH44" si="51">L44-L43</f>
        <v>0</v>
      </c>
      <c r="AI44" s="949">
        <f t="shared" ref="AI44" si="52">M44-M43</f>
        <v>0</v>
      </c>
      <c r="AJ44" s="950">
        <f t="shared" ref="AJ44" si="53">N44-N43</f>
        <v>0</v>
      </c>
      <c r="AK44" s="947">
        <f t="shared" ref="AK44" si="54">O44-O43</f>
        <v>0</v>
      </c>
      <c r="AL44" s="948">
        <f t="shared" ref="AL44" si="55">P44-P43</f>
        <v>0</v>
      </c>
      <c r="AM44" s="949">
        <f t="shared" ref="AM44" si="56">Q44-Q43</f>
        <v>0</v>
      </c>
      <c r="AN44" s="950">
        <f t="shared" ref="AN44" si="57">R44-R43</f>
        <v>0</v>
      </c>
      <c r="AO44" s="947">
        <f t="shared" ref="AO44" si="58">S44-S43</f>
        <v>0</v>
      </c>
      <c r="AP44" s="948">
        <f t="shared" ref="AP44" si="59">T44-T43</f>
        <v>0</v>
      </c>
      <c r="AQ44" s="951">
        <f t="shared" ref="AQ44" si="60">U44-U43</f>
        <v>0</v>
      </c>
      <c r="AS44" s="13">
        <v>11</v>
      </c>
      <c r="AT44" s="645">
        <v>1</v>
      </c>
      <c r="AU44" s="34">
        <v>1</v>
      </c>
      <c r="AV44" s="6">
        <v>1</v>
      </c>
      <c r="AW44" s="34">
        <v>1</v>
      </c>
      <c r="AX44" s="6">
        <v>1</v>
      </c>
      <c r="AY44" s="34">
        <v>1</v>
      </c>
      <c r="AZ44" s="6">
        <v>1</v>
      </c>
      <c r="BA44" s="34">
        <v>1</v>
      </c>
      <c r="BB44" s="6">
        <v>1</v>
      </c>
      <c r="BC44" s="37">
        <v>1</v>
      </c>
    </row>
    <row r="45" spans="1:67" ht="12" thickBot="1"/>
    <row r="46" spans="1:67" ht="30" customHeight="1" thickBot="1">
      <c r="A46" s="1272" t="s">
        <v>399</v>
      </c>
      <c r="B46" s="1273"/>
      <c r="C46" s="1273"/>
      <c r="D46" s="1273"/>
      <c r="E46" s="1273"/>
      <c r="F46" s="1273"/>
      <c r="G46" s="1273"/>
      <c r="H46" s="1273"/>
      <c r="I46" s="1273"/>
      <c r="J46" s="1273"/>
      <c r="K46" s="1273"/>
      <c r="L46" s="1273"/>
      <c r="M46" s="1274"/>
      <c r="O46" s="1272" t="s">
        <v>372</v>
      </c>
      <c r="P46" s="1273"/>
      <c r="Q46" s="1273"/>
      <c r="R46" s="1273"/>
      <c r="S46" s="1273"/>
      <c r="T46" s="1273"/>
      <c r="U46" s="1273"/>
      <c r="V46" s="1273"/>
      <c r="W46" s="1273"/>
      <c r="X46" s="1273"/>
      <c r="Y46" s="1273"/>
      <c r="Z46" s="1273"/>
      <c r="AA46" s="1274"/>
      <c r="AD46" s="1272" t="s">
        <v>343</v>
      </c>
      <c r="AE46" s="1280"/>
      <c r="AF46" s="1280"/>
      <c r="AG46" s="1280"/>
      <c r="AH46" s="1280"/>
      <c r="AI46" s="1280"/>
      <c r="AJ46" s="1281"/>
      <c r="AL46" s="1272" t="s">
        <v>208</v>
      </c>
      <c r="AM46" s="1280"/>
      <c r="AN46" s="1280"/>
      <c r="AO46" s="1280"/>
      <c r="AP46" s="1280"/>
      <c r="AQ46" s="1280"/>
      <c r="AR46" s="1281"/>
    </row>
    <row r="47" spans="1:67" ht="34.5" thickBot="1">
      <c r="A47" s="451" t="s">
        <v>613</v>
      </c>
      <c r="B47" s="760" t="s">
        <v>183</v>
      </c>
      <c r="C47" s="759" t="s">
        <v>15</v>
      </c>
      <c r="D47" s="759" t="s">
        <v>245</v>
      </c>
      <c r="E47" s="447" t="s">
        <v>21</v>
      </c>
      <c r="F47" s="759" t="s">
        <v>66</v>
      </c>
      <c r="G47" s="447" t="s">
        <v>22</v>
      </c>
      <c r="H47" s="759" t="s">
        <v>67</v>
      </c>
      <c r="I47" s="447" t="s">
        <v>23</v>
      </c>
      <c r="J47" s="759" t="s">
        <v>536</v>
      </c>
      <c r="K47" s="520" t="s">
        <v>563</v>
      </c>
      <c r="L47" s="759" t="s">
        <v>573</v>
      </c>
      <c r="M47" s="445" t="s">
        <v>24</v>
      </c>
      <c r="O47" s="451" t="s">
        <v>613</v>
      </c>
      <c r="P47" s="419" t="s">
        <v>183</v>
      </c>
      <c r="Q47" s="420" t="s">
        <v>15</v>
      </c>
      <c r="R47" s="420" t="s">
        <v>245</v>
      </c>
      <c r="S47" s="420" t="s">
        <v>21</v>
      </c>
      <c r="T47" s="420" t="s">
        <v>66</v>
      </c>
      <c r="U47" s="420" t="s">
        <v>22</v>
      </c>
      <c r="V47" s="420" t="s">
        <v>67</v>
      </c>
      <c r="W47" s="420" t="s">
        <v>23</v>
      </c>
      <c r="X47" s="420" t="s">
        <v>536</v>
      </c>
      <c r="Y47" s="422" t="s">
        <v>24</v>
      </c>
      <c r="Z47" s="420" t="s">
        <v>573</v>
      </c>
      <c r="AA47" s="422" t="s">
        <v>565</v>
      </c>
      <c r="AD47" s="12" t="s">
        <v>642</v>
      </c>
      <c r="AE47" s="760" t="s">
        <v>183</v>
      </c>
      <c r="AF47" s="759" t="s">
        <v>245</v>
      </c>
      <c r="AG47" s="759" t="s">
        <v>66</v>
      </c>
      <c r="AH47" s="759" t="s">
        <v>67</v>
      </c>
      <c r="AI47" s="759" t="s">
        <v>536</v>
      </c>
      <c r="AJ47" s="759" t="s">
        <v>573</v>
      </c>
      <c r="AL47" s="12" t="s">
        <v>613</v>
      </c>
      <c r="AM47" s="760" t="s">
        <v>183</v>
      </c>
      <c r="AN47" s="759" t="s">
        <v>245</v>
      </c>
      <c r="AO47" s="759" t="s">
        <v>66</v>
      </c>
      <c r="AP47" s="759" t="s">
        <v>67</v>
      </c>
      <c r="AQ47" s="759" t="s">
        <v>536</v>
      </c>
      <c r="AR47" s="759" t="s">
        <v>573</v>
      </c>
    </row>
    <row r="48" spans="1:67">
      <c r="A48" s="452">
        <v>0</v>
      </c>
      <c r="B48" s="146">
        <f>IF(Paramètres!$I$46=0,0,VLOOKUP(Paramètres!$I$47,BARRACK_DARK_Troops[#All],2))</f>
        <v>0</v>
      </c>
      <c r="C48" s="9">
        <f>IF($B48=0,0,IF(SUM(Paramètres!$K$6:$K$45)&lt;&gt;Paramètres!$K$3,0,VLOOKUP(MATCH(1,Paramètres!$K$6:$K$45,0),LABO_Dark_Troops[#All],2)))</f>
        <v>0</v>
      </c>
      <c r="D48" s="151">
        <f>IF(Paramètres!$I$46=0,0,VLOOKUP(Paramètres!$I$47,BARRACK_DARK_Troops[#All],3))</f>
        <v>0</v>
      </c>
      <c r="E48" s="35">
        <f>IF($D48=0,0,IF(SUM(Paramètres!$K$6:$K$45)&lt;&gt;Paramètres!$K$3,0,VLOOKUP(MATCH(1,Paramètres!$K$6:$K$45,0),LABO_Dark_Troops[#All],3)))</f>
        <v>0</v>
      </c>
      <c r="F48" s="146">
        <f>IF(Paramètres!$I$46=0,0,VLOOKUP(Paramètres!$I$47,BARRACK_DARK_Troops[#All],4))</f>
        <v>0</v>
      </c>
      <c r="G48" s="9">
        <f>IF($F48=0,0,IF(SUM(Paramètres!$K$6:$K$45)&lt;&gt;Paramètres!$K$3,0,VLOOKUP(MATCH(1,Paramètres!$K$6:$K$45,0),LABO_Dark_Troops[#All],4)))</f>
        <v>0</v>
      </c>
      <c r="H48" s="151">
        <f>IF(Paramètres!$I$46=0,0,VLOOKUP(Paramètres!$I$47,BARRACK_DARK_Troops[#All],5))</f>
        <v>0</v>
      </c>
      <c r="I48" s="35">
        <f>IF($H48=0,0,IF(SUM(Paramètres!$K$6:$K$45)&lt;&gt;Paramètres!$K$3,0,VLOOKUP(MATCH(1,Paramètres!$K$6:$K$45,0),LABO_Dark_Troops[#All],5)))</f>
        <v>0</v>
      </c>
      <c r="J48" s="146">
        <f>IF(Paramètres!$I$46=0,0,VLOOKUP(Paramètres!$I$47,BARRACK_DARK_Troops[#All],6))</f>
        <v>0</v>
      </c>
      <c r="K48" s="9">
        <f>IF($J48=0,0,IF(SUM(Paramètres!$K$6:$K$45)&lt;&gt;Paramètres!$K$3,0,VLOOKUP(MATCH(1,Paramètres!$K$6:$K$45,0),LABO_Dark_Troops[#All],6)))</f>
        <v>0</v>
      </c>
      <c r="L48" s="151">
        <f>IF(Paramètres!$I$46=0,0,VLOOKUP(Paramètres!$I$47,BARRACK_DARK_Troops[#All],7))</f>
        <v>0</v>
      </c>
      <c r="M48" s="35">
        <f>IF($L48=0,0,IF(SUM(Paramètres!$K$6:$K$45)&lt;&gt;Paramètres!$K$3,0,VLOOKUP(MATCH(1,Paramètres!$K$6:$K$45,0),LABO_Dark_Troops[#All],7)))</f>
        <v>0</v>
      </c>
      <c r="O48" s="452">
        <v>0</v>
      </c>
      <c r="P48" s="648">
        <f>B48</f>
        <v>0</v>
      </c>
      <c r="Q48" s="649">
        <f t="shared" ref="Q48:AA48" si="61">C48</f>
        <v>0</v>
      </c>
      <c r="R48" s="650">
        <f t="shared" si="61"/>
        <v>0</v>
      </c>
      <c r="S48" s="651">
        <f t="shared" si="61"/>
        <v>0</v>
      </c>
      <c r="T48" s="652">
        <f t="shared" si="61"/>
        <v>0</v>
      </c>
      <c r="U48" s="649">
        <f t="shared" si="61"/>
        <v>0</v>
      </c>
      <c r="V48" s="650">
        <f t="shared" si="61"/>
        <v>0</v>
      </c>
      <c r="W48" s="651">
        <f t="shared" si="61"/>
        <v>0</v>
      </c>
      <c r="X48" s="652">
        <f t="shared" si="61"/>
        <v>0</v>
      </c>
      <c r="Y48" s="649">
        <f t="shared" si="61"/>
        <v>0</v>
      </c>
      <c r="Z48" s="650">
        <f t="shared" si="61"/>
        <v>0</v>
      </c>
      <c r="AA48" s="653">
        <f t="shared" si="61"/>
        <v>0</v>
      </c>
      <c r="AD48" s="13">
        <v>0</v>
      </c>
      <c r="AE48" s="645">
        <v>0</v>
      </c>
      <c r="AF48" s="34">
        <v>0</v>
      </c>
      <c r="AG48" s="6">
        <v>0</v>
      </c>
      <c r="AH48" s="36">
        <v>0</v>
      </c>
      <c r="AI48" s="46">
        <v>0</v>
      </c>
      <c r="AJ48" s="34">
        <v>0</v>
      </c>
      <c r="AL48" s="13">
        <v>0</v>
      </c>
      <c r="AM48" s="645">
        <v>0</v>
      </c>
      <c r="AN48" s="34">
        <v>0</v>
      </c>
      <c r="AO48" s="6">
        <v>0</v>
      </c>
      <c r="AP48" s="34">
        <v>0</v>
      </c>
      <c r="AQ48" s="46">
        <v>0</v>
      </c>
      <c r="AR48" s="152">
        <v>0</v>
      </c>
    </row>
    <row r="49" spans="1:44">
      <c r="A49" s="453">
        <v>1</v>
      </c>
      <c r="B49" s="457">
        <f>IF(Paramètres!$I$46=0,0,VLOOKUP(Paramètres!$I$47,BARRACK_DARK_Troops[#All],2))</f>
        <v>0</v>
      </c>
      <c r="C49" s="5">
        <f>IF($B49=0,0,IF(SUM(Paramètres!$K$6:$K$45)&lt;&gt;Paramètres!$K$3,0,VLOOKUP(MATCH(1,Paramètres!$K$6:$K$45,0),LABO_Dark_Troops[#All],2)))</f>
        <v>0</v>
      </c>
      <c r="D49" s="3">
        <f>IF(Paramètres!$I$46=0,0,VLOOKUP(Paramètres!$I$47,BARRACK_DARK_Troops[#All],3))</f>
        <v>0</v>
      </c>
      <c r="E49" s="36">
        <f>IF($D49=0,0,IF(SUM(Paramètres!$K$6:$K$45)&lt;&gt;Paramètres!$K$3,0,VLOOKUP(MATCH(1,Paramètres!$K$6:$K$45,0),LABO_Dark_Troops[#All],3)))</f>
        <v>0</v>
      </c>
      <c r="F49" s="1">
        <f>IF(Paramètres!$I$46=0,0,VLOOKUP(Paramètres!$I$47,BARRACK_DARK_Troops[#All],4))</f>
        <v>0</v>
      </c>
      <c r="G49" s="5">
        <f>IF($F49=0,0,IF(SUM(Paramètres!$K$6:$K$45)&lt;&gt;Paramètres!$K$3,0,VLOOKUP(MATCH(1,Paramètres!$K$6:$K$45,0),LABO_Dark_Troops[#All],4)))</f>
        <v>0</v>
      </c>
      <c r="H49" s="3">
        <f>IF(Paramètres!$I$46=0,0,VLOOKUP(Paramètres!$I$47,BARRACK_DARK_Troops[#All],5))</f>
        <v>0</v>
      </c>
      <c r="I49" s="36">
        <f>IF($H49=0,0,IF(SUM(Paramètres!$K$6:$K$45)&lt;&gt;Paramètres!$K$3,0,VLOOKUP(MATCH(1,Paramètres!$K$6:$K$45,0),LABO_Dark_Troops[#All],5)))</f>
        <v>0</v>
      </c>
      <c r="J49" s="1">
        <f>IF(Paramètres!$I$46=0,0,VLOOKUP(Paramètres!$I$47,BARRACK_DARK_Troops[#All],6))</f>
        <v>0</v>
      </c>
      <c r="K49" s="5">
        <f>IF($J49=0,0,IF(SUM(Paramètres!$K$6:$K$45)&lt;&gt;Paramètres!$K$3,0,VLOOKUP(MATCH(1,Paramètres!$K$6:$K$45,0),LABO_Dark_Troops[#All],6)))</f>
        <v>0</v>
      </c>
      <c r="L49" s="3">
        <f>IF(Paramètres!$I$46=0,0,VLOOKUP(Paramètres!$I$47,BARRACK_DARK_Troops[#All],7))</f>
        <v>0</v>
      </c>
      <c r="M49" s="36">
        <f>IF($L49=0,0,IF(SUM(Paramètres!$K$6:$K$45)&lt;&gt;Paramètres!$K$3,0,VLOOKUP(MATCH(1,Paramètres!$K$6:$K$45,0),LABO_Dark_Troops[#All],7)))</f>
        <v>0</v>
      </c>
      <c r="O49" s="453">
        <v>1</v>
      </c>
      <c r="P49" s="67">
        <f>B49-B48</f>
        <v>0</v>
      </c>
      <c r="Q49" s="64">
        <f t="shared" ref="Q49:AA58" si="62">C49-C48</f>
        <v>0</v>
      </c>
      <c r="R49" s="65">
        <f t="shared" si="62"/>
        <v>0</v>
      </c>
      <c r="S49" s="66">
        <f t="shared" si="62"/>
        <v>0</v>
      </c>
      <c r="T49" s="63">
        <f t="shared" si="62"/>
        <v>0</v>
      </c>
      <c r="U49" s="64">
        <f t="shared" si="62"/>
        <v>0</v>
      </c>
      <c r="V49" s="65">
        <f t="shared" si="62"/>
        <v>0</v>
      </c>
      <c r="W49" s="66">
        <f t="shared" si="62"/>
        <v>0</v>
      </c>
      <c r="X49" s="63">
        <f t="shared" si="62"/>
        <v>0</v>
      </c>
      <c r="Y49" s="64">
        <f t="shared" si="62"/>
        <v>0</v>
      </c>
      <c r="Z49" s="65">
        <f t="shared" si="62"/>
        <v>0</v>
      </c>
      <c r="AA49" s="68">
        <f t="shared" si="62"/>
        <v>0</v>
      </c>
      <c r="AD49" s="13">
        <v>1</v>
      </c>
      <c r="AE49" s="646">
        <v>1</v>
      </c>
      <c r="AF49" s="36">
        <v>0</v>
      </c>
      <c r="AG49" s="6">
        <v>0</v>
      </c>
      <c r="AH49" s="36">
        <v>0</v>
      </c>
      <c r="AI49" s="46">
        <v>0</v>
      </c>
      <c r="AJ49" s="34">
        <v>0</v>
      </c>
      <c r="AL49" s="13">
        <v>1</v>
      </c>
      <c r="AM49" s="646">
        <v>1</v>
      </c>
      <c r="AN49" s="36">
        <v>1</v>
      </c>
      <c r="AO49" s="5">
        <v>1</v>
      </c>
      <c r="AP49" s="36">
        <v>1</v>
      </c>
      <c r="AQ49" s="45">
        <v>1</v>
      </c>
      <c r="AR49" s="34">
        <v>1</v>
      </c>
    </row>
    <row r="50" spans="1:44">
      <c r="A50" s="454">
        <v>2</v>
      </c>
      <c r="B50" s="456">
        <f>IF(Paramètres!$I$46=0,0,VLOOKUP(Paramètres!$I$47,BARRACK_DARK_Troops[#All],2))</f>
        <v>0</v>
      </c>
      <c r="C50" s="6">
        <f>IF($B50=0,0,IF(SUM(Paramètres!$K$6:$K$45)&lt;&gt;Paramètres!$K$3,0,VLOOKUP(MATCH(1,Paramètres!$K$6:$K$45,0),LABO_Dark_Troops[#All],2)))</f>
        <v>0</v>
      </c>
      <c r="D50" s="4">
        <f>IF(Paramètres!$I$46=0,0,VLOOKUP(Paramètres!$I$47,BARRACK_DARK_Troops[#All],3))</f>
        <v>0</v>
      </c>
      <c r="E50" s="34">
        <f>IF($D50=0,0,IF(SUM(Paramètres!$K$6:$K$45)&lt;&gt;Paramètres!$K$3,0,VLOOKUP(MATCH(1,Paramètres!$K$6:$K$45,0),LABO_Dark_Troops[#All],3)))</f>
        <v>0</v>
      </c>
      <c r="F50" s="2">
        <f>IF(Paramètres!$I$46=0,0,VLOOKUP(Paramètres!$I$47,BARRACK_DARK_Troops[#All],4))</f>
        <v>0</v>
      </c>
      <c r="G50" s="6">
        <f>IF($F50=0,0,IF(SUM(Paramètres!$K$6:$K$45)&lt;&gt;Paramètres!$K$3,0,VLOOKUP(MATCH(1,Paramètres!$K$6:$K$45,0),LABO_Dark_Troops[#All],4)))</f>
        <v>0</v>
      </c>
      <c r="H50" s="4">
        <f>IF(Paramètres!$I$46=0,0,VLOOKUP(Paramètres!$I$47,BARRACK_DARK_Troops[#All],5))</f>
        <v>0</v>
      </c>
      <c r="I50" s="34">
        <f>IF($H50=0,0,IF(SUM(Paramètres!$K$6:$K$45)&lt;&gt;Paramètres!$K$3,0,VLOOKUP(MATCH(1,Paramètres!$K$6:$K$45,0),LABO_Dark_Troops[#All],5)))</f>
        <v>0</v>
      </c>
      <c r="J50" s="2">
        <f>IF(Paramètres!$I$46=0,0,VLOOKUP(Paramètres!$I$47,BARRACK_DARK_Troops[#All],6))</f>
        <v>0</v>
      </c>
      <c r="K50" s="6">
        <f>IF($J50=0,0,IF(SUM(Paramètres!$K$6:$K$45)&lt;&gt;Paramètres!$K$3,0,VLOOKUP(MATCH(1,Paramètres!$K$6:$K$45,0),LABO_Dark_Troops[#All],6)))</f>
        <v>0</v>
      </c>
      <c r="L50" s="4">
        <f>IF(Paramètres!$I$46=0,0,VLOOKUP(Paramètres!$I$47,BARRACK_DARK_Troops[#All],7))</f>
        <v>0</v>
      </c>
      <c r="M50" s="34">
        <f>IF($L50=0,0,IF(SUM(Paramètres!$K$6:$K$45)&lt;&gt;Paramètres!$K$3,0,VLOOKUP(MATCH(1,Paramètres!$K$6:$K$45,0),LABO_Dark_Troops[#All],7)))</f>
        <v>0</v>
      </c>
      <c r="O50" s="454">
        <v>2</v>
      </c>
      <c r="P50" s="67">
        <f t="shared" ref="P50:P58" si="63">B50-B49</f>
        <v>0</v>
      </c>
      <c r="Q50" s="64">
        <f t="shared" si="62"/>
        <v>0</v>
      </c>
      <c r="R50" s="65">
        <f t="shared" si="62"/>
        <v>0</v>
      </c>
      <c r="S50" s="66">
        <f t="shared" si="62"/>
        <v>0</v>
      </c>
      <c r="T50" s="63">
        <f t="shared" si="62"/>
        <v>0</v>
      </c>
      <c r="U50" s="64">
        <f t="shared" si="62"/>
        <v>0</v>
      </c>
      <c r="V50" s="65">
        <f t="shared" si="62"/>
        <v>0</v>
      </c>
      <c r="W50" s="66">
        <f t="shared" si="62"/>
        <v>0</v>
      </c>
      <c r="X50" s="63">
        <f t="shared" si="62"/>
        <v>0</v>
      </c>
      <c r="Y50" s="64">
        <f t="shared" si="62"/>
        <v>0</v>
      </c>
      <c r="Z50" s="65">
        <f t="shared" si="62"/>
        <v>0</v>
      </c>
      <c r="AA50" s="68">
        <f t="shared" si="62"/>
        <v>0</v>
      </c>
      <c r="AD50" s="13">
        <v>2</v>
      </c>
      <c r="AE50" s="645">
        <v>1</v>
      </c>
      <c r="AF50" s="34">
        <v>1</v>
      </c>
      <c r="AG50" s="6">
        <v>0</v>
      </c>
      <c r="AH50" s="36">
        <v>0</v>
      </c>
      <c r="AI50" s="46">
        <v>0</v>
      </c>
      <c r="AJ50" s="34">
        <v>0</v>
      </c>
      <c r="AL50" s="13">
        <v>2</v>
      </c>
      <c r="AM50" s="645">
        <v>1</v>
      </c>
      <c r="AN50" s="34">
        <v>1</v>
      </c>
      <c r="AO50" s="6">
        <v>1</v>
      </c>
      <c r="AP50" s="34">
        <v>1</v>
      </c>
      <c r="AQ50" s="46">
        <v>1</v>
      </c>
      <c r="AR50" s="34">
        <v>1</v>
      </c>
    </row>
    <row r="51" spans="1:44">
      <c r="A51" s="454">
        <v>3</v>
      </c>
      <c r="B51" s="457">
        <f>IF(Paramètres!$I$46=0,0,VLOOKUP(Paramètres!$I$47,BARRACK_DARK_Troops[#All],2))</f>
        <v>0</v>
      </c>
      <c r="C51" s="5">
        <f>IF($B51=0,0,IF(SUM(Paramètres!$K$6:$K$45)&lt;&gt;Paramètres!$K$3,0,VLOOKUP(MATCH(1,Paramètres!$K$6:$K$45,0),LABO_Dark_Troops[#All],2)))</f>
        <v>0</v>
      </c>
      <c r="D51" s="3">
        <f>IF(Paramètres!$I$46=0,0,VLOOKUP(Paramètres!$I$47,BARRACK_DARK_Troops[#All],3))</f>
        <v>0</v>
      </c>
      <c r="E51" s="36">
        <f>IF($D51=0,0,IF(SUM(Paramètres!$K$6:$K$45)&lt;&gt;Paramètres!$K$3,0,VLOOKUP(MATCH(1,Paramètres!$K$6:$K$45,0),LABO_Dark_Troops[#All],3)))</f>
        <v>0</v>
      </c>
      <c r="F51" s="1">
        <f>IF(Paramètres!$I$46=0,0,VLOOKUP(Paramètres!$I$47,BARRACK_DARK_Troops[#All],4))</f>
        <v>0</v>
      </c>
      <c r="G51" s="5">
        <f>IF($F51=0,0,IF(SUM(Paramètres!$K$6:$K$45)&lt;&gt;Paramètres!$K$3,0,VLOOKUP(MATCH(1,Paramètres!$K$6:$K$45,0),LABO_Dark_Troops[#All],4)))</f>
        <v>0</v>
      </c>
      <c r="H51" s="3">
        <f>IF(Paramètres!$I$46=0,0,VLOOKUP(Paramètres!$I$47,BARRACK_DARK_Troops[#All],5))</f>
        <v>0</v>
      </c>
      <c r="I51" s="36">
        <f>IF($H51=0,0,IF(SUM(Paramètres!$K$6:$K$45)&lt;&gt;Paramètres!$K$3,0,VLOOKUP(MATCH(1,Paramètres!$K$6:$K$45,0),LABO_Dark_Troops[#All],5)))</f>
        <v>0</v>
      </c>
      <c r="J51" s="1">
        <f>IF(Paramètres!$I$46=0,0,VLOOKUP(Paramètres!$I$47,BARRACK_DARK_Troops[#All],6))</f>
        <v>0</v>
      </c>
      <c r="K51" s="5">
        <f>IF($J51=0,0,IF(SUM(Paramètres!$K$6:$K$45)&lt;&gt;Paramètres!$K$3,0,VLOOKUP(MATCH(1,Paramètres!$K$6:$K$45,0),LABO_Dark_Troops[#All],6)))</f>
        <v>0</v>
      </c>
      <c r="L51" s="3">
        <f>IF(Paramètres!$I$46=0,0,VLOOKUP(Paramètres!$I$47,BARRACK_DARK_Troops[#All],7))</f>
        <v>0</v>
      </c>
      <c r="M51" s="36">
        <f>IF($L51=0,0,IF(SUM(Paramètres!$K$6:$K$45)&lt;&gt;Paramètres!$K$3,0,VLOOKUP(MATCH(1,Paramètres!$K$6:$K$45,0),LABO_Dark_Troops[#All],7)))</f>
        <v>0</v>
      </c>
      <c r="O51" s="454">
        <v>3</v>
      </c>
      <c r="P51" s="67">
        <f t="shared" si="63"/>
        <v>0</v>
      </c>
      <c r="Q51" s="64">
        <f t="shared" si="62"/>
        <v>0</v>
      </c>
      <c r="R51" s="65">
        <f t="shared" si="62"/>
        <v>0</v>
      </c>
      <c r="S51" s="66">
        <f t="shared" si="62"/>
        <v>0</v>
      </c>
      <c r="T51" s="63">
        <f t="shared" si="62"/>
        <v>0</v>
      </c>
      <c r="U51" s="64">
        <f t="shared" si="62"/>
        <v>0</v>
      </c>
      <c r="V51" s="65">
        <f t="shared" si="62"/>
        <v>0</v>
      </c>
      <c r="W51" s="66">
        <f t="shared" si="62"/>
        <v>0</v>
      </c>
      <c r="X51" s="63">
        <f t="shared" si="62"/>
        <v>0</v>
      </c>
      <c r="Y51" s="64">
        <f t="shared" si="62"/>
        <v>0</v>
      </c>
      <c r="Z51" s="65">
        <f t="shared" si="62"/>
        <v>0</v>
      </c>
      <c r="AA51" s="68">
        <f t="shared" si="62"/>
        <v>0</v>
      </c>
      <c r="AD51" s="13">
        <v>3</v>
      </c>
      <c r="AE51" s="646">
        <v>1</v>
      </c>
      <c r="AF51" s="36">
        <v>1</v>
      </c>
      <c r="AG51" s="5">
        <v>1</v>
      </c>
      <c r="AH51" s="36">
        <v>0</v>
      </c>
      <c r="AI51" s="46">
        <v>0</v>
      </c>
      <c r="AJ51" s="34">
        <v>0</v>
      </c>
      <c r="AL51" s="13">
        <v>3</v>
      </c>
      <c r="AM51" s="646">
        <v>1</v>
      </c>
      <c r="AN51" s="36">
        <v>1</v>
      </c>
      <c r="AO51" s="5">
        <v>1</v>
      </c>
      <c r="AP51" s="36">
        <v>1</v>
      </c>
      <c r="AQ51" s="45">
        <v>1</v>
      </c>
      <c r="AR51" s="34">
        <v>1</v>
      </c>
    </row>
    <row r="52" spans="1:44">
      <c r="A52" s="454">
        <v>4</v>
      </c>
      <c r="B52" s="456">
        <f>IF(Paramètres!$I$46=0,0,VLOOKUP(Paramètres!$I$47,BARRACK_DARK_Troops[#All],2))</f>
        <v>0</v>
      </c>
      <c r="C52" s="6">
        <f>IF($B52=0,0,IF(SUM(Paramètres!$K$6:$K$45)&lt;&gt;Paramètres!$K$3,0,VLOOKUP(MATCH(1,Paramètres!$K$6:$K$45,0),LABO_Dark_Troops[#All],2)))</f>
        <v>0</v>
      </c>
      <c r="D52" s="4">
        <f>IF(Paramètres!$I$46=0,0,VLOOKUP(Paramètres!$I$47,BARRACK_DARK_Troops[#All],3))</f>
        <v>0</v>
      </c>
      <c r="E52" s="34">
        <f>IF($D52=0,0,IF(SUM(Paramètres!$K$6:$K$45)&lt;&gt;Paramètres!$K$3,0,VLOOKUP(MATCH(1,Paramètres!$K$6:$K$45,0),LABO_Dark_Troops[#All],3)))</f>
        <v>0</v>
      </c>
      <c r="F52" s="2">
        <f>IF(Paramètres!$I$46=0,0,VLOOKUP(Paramètres!$I$47,BARRACK_DARK_Troops[#All],4))</f>
        <v>0</v>
      </c>
      <c r="G52" s="6">
        <f>IF($F52=0,0,IF(SUM(Paramètres!$K$6:$K$45)&lt;&gt;Paramètres!$K$3,0,VLOOKUP(MATCH(1,Paramètres!$K$6:$K$45,0),LABO_Dark_Troops[#All],4)))</f>
        <v>0</v>
      </c>
      <c r="H52" s="4">
        <f>IF(Paramètres!$I$46=0,0,VLOOKUP(Paramètres!$I$47,BARRACK_DARK_Troops[#All],5))</f>
        <v>0</v>
      </c>
      <c r="I52" s="34">
        <f>IF($H52=0,0,IF(SUM(Paramètres!$K$6:$K$45)&lt;&gt;Paramètres!$K$3,0,VLOOKUP(MATCH(1,Paramètres!$K$6:$K$45,0),LABO_Dark_Troops[#All],5)))</f>
        <v>0</v>
      </c>
      <c r="J52" s="2">
        <f>IF(Paramètres!$I$46=0,0,VLOOKUP(Paramètres!$I$47,BARRACK_DARK_Troops[#All],6))</f>
        <v>0</v>
      </c>
      <c r="K52" s="6">
        <f>IF($J52=0,0,IF(SUM(Paramètres!$K$6:$K$45)&lt;&gt;Paramètres!$K$3,0,VLOOKUP(MATCH(1,Paramètres!$K$6:$K$45,0),LABO_Dark_Troops[#All],6)))</f>
        <v>0</v>
      </c>
      <c r="L52" s="4">
        <f>IF(Paramètres!$I$46=0,0,VLOOKUP(Paramètres!$I$47,BARRACK_DARK_Troops[#All],7))</f>
        <v>0</v>
      </c>
      <c r="M52" s="34">
        <f>IF($L52=0,0,IF(SUM(Paramètres!$K$6:$K$45)&lt;&gt;Paramètres!$K$3,0,VLOOKUP(MATCH(1,Paramètres!$K$6:$K$45,0),LABO_Dark_Troops[#All],7)))</f>
        <v>0</v>
      </c>
      <c r="O52" s="454">
        <v>4</v>
      </c>
      <c r="P52" s="67">
        <f t="shared" si="63"/>
        <v>0</v>
      </c>
      <c r="Q52" s="64">
        <f t="shared" si="62"/>
        <v>0</v>
      </c>
      <c r="R52" s="65">
        <f t="shared" si="62"/>
        <v>0</v>
      </c>
      <c r="S52" s="66">
        <f t="shared" si="62"/>
        <v>0</v>
      </c>
      <c r="T52" s="63">
        <f t="shared" si="62"/>
        <v>0</v>
      </c>
      <c r="U52" s="64">
        <f t="shared" si="62"/>
        <v>0</v>
      </c>
      <c r="V52" s="65">
        <f t="shared" si="62"/>
        <v>0</v>
      </c>
      <c r="W52" s="66">
        <f t="shared" si="62"/>
        <v>0</v>
      </c>
      <c r="X52" s="63">
        <f t="shared" si="62"/>
        <v>0</v>
      </c>
      <c r="Y52" s="64">
        <f t="shared" si="62"/>
        <v>0</v>
      </c>
      <c r="Z52" s="65">
        <f t="shared" si="62"/>
        <v>0</v>
      </c>
      <c r="AA52" s="68">
        <f t="shared" si="62"/>
        <v>0</v>
      </c>
      <c r="AD52" s="13">
        <v>4</v>
      </c>
      <c r="AE52" s="645">
        <v>1</v>
      </c>
      <c r="AF52" s="34">
        <v>1</v>
      </c>
      <c r="AG52" s="6">
        <v>1</v>
      </c>
      <c r="AH52" s="34">
        <v>1</v>
      </c>
      <c r="AI52" s="46">
        <v>0</v>
      </c>
      <c r="AJ52" s="34">
        <v>0</v>
      </c>
      <c r="AL52" s="13">
        <v>4</v>
      </c>
      <c r="AM52" s="645">
        <v>1</v>
      </c>
      <c r="AN52" s="34">
        <v>1</v>
      </c>
      <c r="AO52" s="6">
        <v>1</v>
      </c>
      <c r="AP52" s="34">
        <v>1</v>
      </c>
      <c r="AQ52" s="46">
        <v>1</v>
      </c>
      <c r="AR52" s="34">
        <v>1</v>
      </c>
    </row>
    <row r="53" spans="1:44">
      <c r="A53" s="454">
        <v>5</v>
      </c>
      <c r="B53" s="457">
        <f>IF(Paramètres!$I$46=0,0,VLOOKUP(Paramètres!$I$47,BARRACK_DARK_Troops[#All],2))</f>
        <v>0</v>
      </c>
      <c r="C53" s="9">
        <f>IF($B53=0,0,IF(SUM(Paramètres!$K$6:$K$45)&lt;&gt;Paramètres!$K$3,0,VLOOKUP(MATCH(1,Paramètres!$K$6:$K$45,0),LABO_Dark_Troops[#All],2)))</f>
        <v>0</v>
      </c>
      <c r="D53" s="3">
        <f>IF(Paramètres!$I$46=0,0,VLOOKUP(Paramètres!$I$47,BARRACK_DARK_Troops[#All],3))</f>
        <v>0</v>
      </c>
      <c r="E53" s="35">
        <f>IF($D53=0,0,IF(SUM(Paramètres!$K$6:$K$45)&lt;&gt;Paramètres!$K$3,0,VLOOKUP(MATCH(1,Paramètres!$K$6:$K$45,0),LABO_Dark_Troops[#All],3)))</f>
        <v>0</v>
      </c>
      <c r="F53" s="1">
        <f>IF(Paramètres!$I$46=0,0,VLOOKUP(Paramètres!$I$47,BARRACK_DARK_Troops[#All],4))</f>
        <v>0</v>
      </c>
      <c r="G53" s="6">
        <f>IF($F53=0,0,IF(SUM(Paramètres!$K$6:$K$45)&lt;&gt;Paramètres!$K$3,0,VLOOKUP(MATCH(1,Paramètres!$K$6:$K$45,0),LABO_Dark_Troops[#All],4)))</f>
        <v>0</v>
      </c>
      <c r="H53" s="3">
        <f>IF(Paramètres!$I$46=0,0,VLOOKUP(Paramètres!$I$47,BARRACK_DARK_Troops[#All],5))</f>
        <v>0</v>
      </c>
      <c r="I53" s="34">
        <f>IF($H53=0,0,IF(SUM(Paramètres!$K$6:$K$45)&lt;&gt;Paramètres!$K$3,0,VLOOKUP(MATCH(1,Paramètres!$K$6:$K$45,0),LABO_Dark_Troops[#All],5)))</f>
        <v>0</v>
      </c>
      <c r="J53" s="1">
        <f>IF(Paramètres!$I$46=0,0,VLOOKUP(Paramètres!$I$47,BARRACK_DARK_Troops[#All],6))</f>
        <v>0</v>
      </c>
      <c r="K53" s="5">
        <f>IF($J53=0,0,IF(SUM(Paramètres!$K$6:$K$45)&lt;&gt;Paramètres!$K$3,0,VLOOKUP(MATCH(1,Paramètres!$K$6:$K$45,0),LABO_Dark_Troops[#All],6)))</f>
        <v>0</v>
      </c>
      <c r="L53" s="3">
        <f>IF(Paramètres!$I$46=0,0,VLOOKUP(Paramètres!$I$47,BARRACK_DARK_Troops[#All],7))</f>
        <v>0</v>
      </c>
      <c r="M53" s="36">
        <f>IF($L53=0,0,IF(SUM(Paramètres!$K$6:$K$45)&lt;&gt;Paramètres!$K$3,0,VLOOKUP(MATCH(1,Paramètres!$K$6:$K$45,0),LABO_Dark_Troops[#All],7)))</f>
        <v>0</v>
      </c>
      <c r="O53" s="454">
        <v>5</v>
      </c>
      <c r="P53" s="67">
        <f t="shared" si="63"/>
        <v>0</v>
      </c>
      <c r="Q53" s="64">
        <f t="shared" si="62"/>
        <v>0</v>
      </c>
      <c r="R53" s="65">
        <f t="shared" si="62"/>
        <v>0</v>
      </c>
      <c r="S53" s="66">
        <f t="shared" si="62"/>
        <v>0</v>
      </c>
      <c r="T53" s="63">
        <f t="shared" si="62"/>
        <v>0</v>
      </c>
      <c r="U53" s="64">
        <f t="shared" si="62"/>
        <v>0</v>
      </c>
      <c r="V53" s="65">
        <f t="shared" si="62"/>
        <v>0</v>
      </c>
      <c r="W53" s="66">
        <f t="shared" si="62"/>
        <v>0</v>
      </c>
      <c r="X53" s="63">
        <f t="shared" si="62"/>
        <v>0</v>
      </c>
      <c r="Y53" s="64">
        <f t="shared" si="62"/>
        <v>0</v>
      </c>
      <c r="Z53" s="65">
        <f t="shared" si="62"/>
        <v>0</v>
      </c>
      <c r="AA53" s="68">
        <f t="shared" si="62"/>
        <v>0</v>
      </c>
      <c r="AD53" s="13">
        <v>5</v>
      </c>
      <c r="AE53" s="646">
        <v>1</v>
      </c>
      <c r="AF53" s="36">
        <v>1</v>
      </c>
      <c r="AG53" s="5">
        <v>1</v>
      </c>
      <c r="AH53" s="36">
        <v>1</v>
      </c>
      <c r="AI53" s="45">
        <v>1</v>
      </c>
      <c r="AJ53" s="34">
        <v>0</v>
      </c>
      <c r="AL53" s="13">
        <v>5</v>
      </c>
      <c r="AM53" s="646">
        <v>2</v>
      </c>
      <c r="AN53" s="36">
        <v>2</v>
      </c>
      <c r="AO53" s="5">
        <v>1</v>
      </c>
      <c r="AP53" s="36">
        <v>1</v>
      </c>
      <c r="AQ53" s="45">
        <v>1</v>
      </c>
      <c r="AR53" s="34">
        <v>1</v>
      </c>
    </row>
    <row r="54" spans="1:44">
      <c r="A54" s="454">
        <v>6</v>
      </c>
      <c r="B54" s="456">
        <f>IF(Paramètres!$I$46=0,0,VLOOKUP(Paramètres!$I$47,BARRACK_DARK_Troops[#All],2))</f>
        <v>0</v>
      </c>
      <c r="C54" s="9">
        <f>IF($B54=0,0,IF(SUM(Paramètres!$K$6:$K$45)&lt;&gt;Paramètres!$K$3,0,VLOOKUP(MATCH(1,Paramètres!$K$6:$K$45,0),LABO_Dark_Troops[#All],2)))</f>
        <v>0</v>
      </c>
      <c r="D54" s="4">
        <f>IF(Paramètres!$I$46=0,0,VLOOKUP(Paramètres!$I$47,BARRACK_DARK_Troops[#All],3))</f>
        <v>0</v>
      </c>
      <c r="E54" s="35">
        <f>IF($D54=0,0,IF(SUM(Paramètres!$K$6:$K$45)&lt;&gt;Paramètres!$K$3,0,VLOOKUP(MATCH(1,Paramètres!$K$6:$K$45,0),LABO_Dark_Troops[#All],3)))</f>
        <v>0</v>
      </c>
      <c r="F54" s="2">
        <f>IF(Paramètres!$I$46=0,0,VLOOKUP(Paramètres!$I$47,BARRACK_DARK_Troops[#All],4))</f>
        <v>0</v>
      </c>
      <c r="G54" s="9">
        <f>IF($F54=0,0,IF(SUM(Paramètres!$K$6:$K$45)&lt;&gt;Paramètres!$K$3,0,VLOOKUP(MATCH(1,Paramètres!$K$6:$K$45,0),LABO_Dark_Troops[#All],4)))</f>
        <v>0</v>
      </c>
      <c r="H54" s="4">
        <f>IF(Paramètres!$I$46=0,0,VLOOKUP(Paramètres!$I$47,BARRACK_DARK_Troops[#All],5))</f>
        <v>0</v>
      </c>
      <c r="I54" s="35">
        <f>IF($H54=0,0,IF(SUM(Paramètres!$K$6:$K$45)&lt;&gt;Paramètres!$K$3,0,VLOOKUP(MATCH(1,Paramètres!$K$6:$K$45,0),LABO_Dark_Troops[#All],5)))</f>
        <v>0</v>
      </c>
      <c r="J54" s="2">
        <f>IF(Paramètres!$I$46=0,0,VLOOKUP(Paramètres!$I$47,BARRACK_DARK_Troops[#All],6))</f>
        <v>0</v>
      </c>
      <c r="K54" s="6">
        <f>IF($J54=0,0,IF(SUM(Paramètres!$K$6:$K$45)&lt;&gt;Paramètres!$K$3,0,VLOOKUP(MATCH(1,Paramètres!$K$6:$K$45,0),LABO_Dark_Troops[#All],6)))</f>
        <v>0</v>
      </c>
      <c r="L54" s="4">
        <f>IF(Paramètres!$I$46=0,0,VLOOKUP(Paramètres!$I$47,BARRACK_DARK_Troops[#All],7))</f>
        <v>0</v>
      </c>
      <c r="M54" s="34">
        <f>IF($L54=0,0,IF(SUM(Paramètres!$K$6:$K$45)&lt;&gt;Paramètres!$K$3,0,VLOOKUP(MATCH(1,Paramètres!$K$6:$K$45,0),LABO_Dark_Troops[#All],7)))</f>
        <v>0</v>
      </c>
      <c r="O54" s="454">
        <v>6</v>
      </c>
      <c r="P54" s="67">
        <f t="shared" si="63"/>
        <v>0</v>
      </c>
      <c r="Q54" s="64">
        <f t="shared" si="62"/>
        <v>0</v>
      </c>
      <c r="R54" s="65">
        <f t="shared" si="62"/>
        <v>0</v>
      </c>
      <c r="S54" s="66">
        <f t="shared" si="62"/>
        <v>0</v>
      </c>
      <c r="T54" s="63">
        <f t="shared" si="62"/>
        <v>0</v>
      </c>
      <c r="U54" s="64">
        <f t="shared" si="62"/>
        <v>0</v>
      </c>
      <c r="V54" s="65">
        <f t="shared" si="62"/>
        <v>0</v>
      </c>
      <c r="W54" s="66">
        <f t="shared" si="62"/>
        <v>0</v>
      </c>
      <c r="X54" s="63">
        <f t="shared" si="62"/>
        <v>0</v>
      </c>
      <c r="Y54" s="64">
        <f t="shared" si="62"/>
        <v>0</v>
      </c>
      <c r="Z54" s="65">
        <f t="shared" si="62"/>
        <v>0</v>
      </c>
      <c r="AA54" s="68">
        <f t="shared" si="62"/>
        <v>0</v>
      </c>
      <c r="AD54" s="13">
        <v>6</v>
      </c>
      <c r="AE54" s="645">
        <v>1</v>
      </c>
      <c r="AF54" s="34">
        <v>1</v>
      </c>
      <c r="AG54" s="6">
        <v>1</v>
      </c>
      <c r="AH54" s="34">
        <v>1</v>
      </c>
      <c r="AI54" s="46">
        <v>1</v>
      </c>
      <c r="AJ54" s="34">
        <v>1</v>
      </c>
      <c r="AL54" s="13">
        <v>6</v>
      </c>
      <c r="AM54" s="645">
        <v>4</v>
      </c>
      <c r="AN54" s="34">
        <v>4</v>
      </c>
      <c r="AO54" s="6">
        <v>2</v>
      </c>
      <c r="AP54" s="34">
        <v>2</v>
      </c>
      <c r="AQ54" s="46">
        <v>1</v>
      </c>
      <c r="AR54" s="34">
        <v>1</v>
      </c>
    </row>
    <row r="55" spans="1:44">
      <c r="A55" s="454">
        <v>7</v>
      </c>
      <c r="B55" s="457">
        <f>IF(Paramètres!$I$46=0,0,VLOOKUP(Paramètres!$I$47,BARRACK_DARK_Troops[#All],2))</f>
        <v>0</v>
      </c>
      <c r="C55" s="9">
        <f>IF($B55=0,0,IF(SUM(Paramètres!$K$6:$K$45)&lt;&gt;Paramètres!$K$3,0,VLOOKUP(MATCH(1,Paramètres!$K$6:$K$45,0),LABO_Dark_Troops[#All],2)))</f>
        <v>0</v>
      </c>
      <c r="D55" s="3">
        <f>IF(Paramètres!$I$46=0,0,VLOOKUP(Paramètres!$I$47,BARRACK_DARK_Troops[#All],3))</f>
        <v>0</v>
      </c>
      <c r="E55" s="35">
        <f>IF($D55=0,0,IF(SUM(Paramètres!$K$6:$K$45)&lt;&gt;Paramètres!$K$3,0,VLOOKUP(MATCH(1,Paramètres!$K$6:$K$45,0),LABO_Dark_Troops[#All],3)))</f>
        <v>0</v>
      </c>
      <c r="F55" s="1">
        <f>IF(Paramètres!$I$46=0,0,VLOOKUP(Paramètres!$I$47,BARRACK_DARK_Troops[#All],4))</f>
        <v>0</v>
      </c>
      <c r="G55" s="9">
        <f>IF($F55=0,0,IF(SUM(Paramètres!$K$6:$K$45)&lt;&gt;Paramètres!$K$3,0,VLOOKUP(MATCH(1,Paramètres!$K$6:$K$45,0),LABO_Dark_Troops[#All],4)))</f>
        <v>0</v>
      </c>
      <c r="H55" s="3">
        <f>IF(Paramètres!$I$46=0,0,VLOOKUP(Paramètres!$I$47,BARRACK_DARK_Troops[#All],5))</f>
        <v>0</v>
      </c>
      <c r="I55" s="35">
        <f>IF($H55=0,0,IF(SUM(Paramètres!$K$6:$K$45)&lt;&gt;Paramètres!$K$3,0,VLOOKUP(MATCH(1,Paramètres!$K$6:$K$45,0),LABO_Dark_Troops[#All],5)))</f>
        <v>0</v>
      </c>
      <c r="J55" s="1">
        <f>IF(Paramètres!$I$46=0,0,VLOOKUP(Paramètres!$I$47,BARRACK_DARK_Troops[#All],6))</f>
        <v>0</v>
      </c>
      <c r="K55" s="9">
        <f>IF($J55=0,0,IF(SUM(Paramètres!$K$6:$K$45)&lt;&gt;Paramètres!$K$3,0,VLOOKUP(MATCH(1,Paramètres!$K$6:$K$45,0),LABO_Dark_Troops[#All],6)))</f>
        <v>0</v>
      </c>
      <c r="L55" s="3">
        <f>IF(Paramètres!$I$46=0,0,VLOOKUP(Paramètres!$I$47,BARRACK_DARK_Troops[#All],7))</f>
        <v>0</v>
      </c>
      <c r="M55" s="35">
        <f>IF($L55=0,0,IF(SUM(Paramètres!$K$6:$K$45)&lt;&gt;Paramètres!$K$3,0,VLOOKUP(MATCH(1,Paramètres!$K$6:$K$45,0),LABO_Dark_Troops[#All],7)))</f>
        <v>0</v>
      </c>
      <c r="O55" s="454">
        <v>7</v>
      </c>
      <c r="P55" s="67">
        <f t="shared" si="63"/>
        <v>0</v>
      </c>
      <c r="Q55" s="64">
        <f t="shared" si="62"/>
        <v>0</v>
      </c>
      <c r="R55" s="65">
        <f t="shared" si="62"/>
        <v>0</v>
      </c>
      <c r="S55" s="66">
        <f t="shared" si="62"/>
        <v>0</v>
      </c>
      <c r="T55" s="63">
        <f t="shared" si="62"/>
        <v>0</v>
      </c>
      <c r="U55" s="64">
        <f t="shared" si="62"/>
        <v>0</v>
      </c>
      <c r="V55" s="65">
        <f t="shared" si="62"/>
        <v>0</v>
      </c>
      <c r="W55" s="66">
        <f t="shared" si="62"/>
        <v>0</v>
      </c>
      <c r="X55" s="63">
        <f t="shared" si="62"/>
        <v>0</v>
      </c>
      <c r="Y55" s="64">
        <f t="shared" si="62"/>
        <v>0</v>
      </c>
      <c r="Z55" s="65">
        <f t="shared" si="62"/>
        <v>0</v>
      </c>
      <c r="AA55" s="68">
        <f t="shared" si="62"/>
        <v>0</v>
      </c>
      <c r="AD55" s="13">
        <v>7</v>
      </c>
      <c r="AE55" s="646">
        <v>1</v>
      </c>
      <c r="AF55" s="36">
        <v>1</v>
      </c>
      <c r="AG55" s="5">
        <v>1</v>
      </c>
      <c r="AH55" s="36">
        <v>1</v>
      </c>
      <c r="AI55" s="45">
        <v>1</v>
      </c>
      <c r="AJ55" s="34">
        <v>1</v>
      </c>
      <c r="AL55" s="13">
        <v>7</v>
      </c>
      <c r="AM55" s="646">
        <v>5</v>
      </c>
      <c r="AN55" s="36">
        <v>5</v>
      </c>
      <c r="AO55" s="5">
        <v>4</v>
      </c>
      <c r="AP55" s="36">
        <v>4</v>
      </c>
      <c r="AQ55" s="45">
        <v>2</v>
      </c>
      <c r="AR55" s="34">
        <v>2</v>
      </c>
    </row>
    <row r="56" spans="1:44">
      <c r="A56" s="454">
        <v>8</v>
      </c>
      <c r="B56" s="456">
        <f>IF(Paramètres!$I$46=0,0,VLOOKUP(Paramètres!$I$47,BARRACK_DARK_Troops[#All],2))</f>
        <v>0</v>
      </c>
      <c r="C56" s="9">
        <f>IF($B56=0,0,IF(SUM(Paramètres!$K$6:$K$45)&lt;&gt;Paramètres!$K$3,0,VLOOKUP(MATCH(1,Paramètres!$K$6:$K$45,0),LABO_Dark_Troops[#All],2)))</f>
        <v>0</v>
      </c>
      <c r="D56" s="4">
        <f>IF(Paramètres!$I$46=0,0,VLOOKUP(Paramètres!$I$47,BARRACK_DARK_Troops[#All],3))</f>
        <v>0</v>
      </c>
      <c r="E56" s="35">
        <f>IF($D56=0,0,IF(SUM(Paramètres!$K$6:$K$45)&lt;&gt;Paramètres!$K$3,0,VLOOKUP(MATCH(1,Paramètres!$K$6:$K$45,0),LABO_Dark_Troops[#All],3)))</f>
        <v>0</v>
      </c>
      <c r="F56" s="2">
        <f>IF(Paramètres!$I$46=0,0,VLOOKUP(Paramètres!$I$47,BARRACK_DARK_Troops[#All],4))</f>
        <v>0</v>
      </c>
      <c r="G56" s="9">
        <f>IF($F56=0,0,IF(SUM(Paramètres!$K$6:$K$45)&lt;&gt;Paramètres!$K$3,0,VLOOKUP(MATCH(1,Paramètres!$K$6:$K$45,0),LABO_Dark_Troops[#All],4)))</f>
        <v>0</v>
      </c>
      <c r="H56" s="4">
        <f>IF(Paramètres!$I$46=0,0,VLOOKUP(Paramètres!$I$47,BARRACK_DARK_Troops[#All],5))</f>
        <v>0</v>
      </c>
      <c r="I56" s="35">
        <f>IF($H56=0,0,IF(SUM(Paramètres!$K$6:$K$45)&lt;&gt;Paramètres!$K$3,0,VLOOKUP(MATCH(1,Paramètres!$K$6:$K$45,0),LABO_Dark_Troops[#All],5)))</f>
        <v>0</v>
      </c>
      <c r="J56" s="2">
        <f>IF(Paramètres!$I$46=0,0,VLOOKUP(Paramètres!$I$47,BARRACK_DARK_Troops[#All],6))</f>
        <v>0</v>
      </c>
      <c r="K56" s="9">
        <f>IF($J56=0,0,IF(SUM(Paramètres!$K$6:$K$45)&lt;&gt;Paramètres!$K$3,0,VLOOKUP(MATCH(1,Paramètres!$K$6:$K$45,0),LABO_Dark_Troops[#All],6)))</f>
        <v>0</v>
      </c>
      <c r="L56" s="4">
        <f>IF(Paramètres!$I$46=0,0,VLOOKUP(Paramètres!$I$47,BARRACK_DARK_Troops[#All],7))</f>
        <v>0</v>
      </c>
      <c r="M56" s="35">
        <f>IF($L56=0,0,IF(SUM(Paramètres!$K$6:$K$45)&lt;&gt;Paramètres!$K$3,0,VLOOKUP(MATCH(1,Paramètres!$K$6:$K$45,0),LABO_Dark_Troops[#All],7)))</f>
        <v>0</v>
      </c>
      <c r="O56" s="454">
        <v>8</v>
      </c>
      <c r="P56" s="67">
        <f t="shared" si="63"/>
        <v>0</v>
      </c>
      <c r="Q56" s="64">
        <f t="shared" si="62"/>
        <v>0</v>
      </c>
      <c r="R56" s="65">
        <f t="shared" si="62"/>
        <v>0</v>
      </c>
      <c r="S56" s="66">
        <f t="shared" si="62"/>
        <v>0</v>
      </c>
      <c r="T56" s="63">
        <f t="shared" si="62"/>
        <v>0</v>
      </c>
      <c r="U56" s="64">
        <f t="shared" si="62"/>
        <v>0</v>
      </c>
      <c r="V56" s="65">
        <f t="shared" si="62"/>
        <v>0</v>
      </c>
      <c r="W56" s="66">
        <f t="shared" si="62"/>
        <v>0</v>
      </c>
      <c r="X56" s="63">
        <f t="shared" si="62"/>
        <v>0</v>
      </c>
      <c r="Y56" s="64">
        <f t="shared" si="62"/>
        <v>0</v>
      </c>
      <c r="Z56" s="65">
        <f t="shared" si="62"/>
        <v>0</v>
      </c>
      <c r="AA56" s="68">
        <f t="shared" si="62"/>
        <v>0</v>
      </c>
      <c r="AL56" s="13">
        <v>8</v>
      </c>
      <c r="AM56" s="645">
        <v>6</v>
      </c>
      <c r="AN56" s="34">
        <v>5</v>
      </c>
      <c r="AO56" s="6">
        <v>4</v>
      </c>
      <c r="AP56" s="34">
        <v>5</v>
      </c>
      <c r="AQ56" s="46">
        <v>2</v>
      </c>
      <c r="AR56" s="34">
        <v>3</v>
      </c>
    </row>
    <row r="57" spans="1:44">
      <c r="A57" s="454">
        <v>9</v>
      </c>
      <c r="B57" s="457">
        <f>IF(Paramètres!$I$46=0,0,VLOOKUP(Paramètres!$I$47,BARRACK_DARK_Troops[#All],2))</f>
        <v>0</v>
      </c>
      <c r="C57" s="6">
        <f>IF($B57=0,0,IF(SUM(Paramètres!$K$6:$K$45)&lt;&gt;Paramètres!$K$3,0,VLOOKUP(MATCH(1,Paramètres!$K$6:$K$45,0),LABO_Dark_Troops[#All],2)))</f>
        <v>0</v>
      </c>
      <c r="D57" s="3">
        <f>IF(Paramètres!$I$46=0,0,VLOOKUP(Paramètres!$I$47,BARRACK_DARK_Troops[#All],3))</f>
        <v>0</v>
      </c>
      <c r="E57" s="34">
        <f>IF($D57=0,0,IF(SUM(Paramètres!$K$6:$K$45)&lt;&gt;Paramètres!$K$3,0,VLOOKUP(MATCH(1,Paramètres!$K$6:$K$45,0),LABO_Dark_Troops[#All],3)))</f>
        <v>0</v>
      </c>
      <c r="F57" s="1">
        <f>IF(Paramètres!$I$46=0,0,VLOOKUP(Paramètres!$I$47,BARRACK_DARK_Troops[#All],4))</f>
        <v>0</v>
      </c>
      <c r="G57" s="5">
        <f>IF($F57=0,0,IF(SUM(Paramètres!$K$6:$K$45)&lt;&gt;Paramètres!$K$3,0,VLOOKUP(MATCH(1,Paramètres!$K$6:$K$45,0),LABO_Dark_Troops[#All],4)))</f>
        <v>0</v>
      </c>
      <c r="H57" s="3">
        <f>IF(Paramètres!$I$46=0,0,VLOOKUP(Paramètres!$I$47,BARRACK_DARK_Troops[#All],5))</f>
        <v>0</v>
      </c>
      <c r="I57" s="36">
        <f>IF($H57=0,0,IF(SUM(Paramètres!$K$6:$K$45)&lt;&gt;Paramètres!$K$3,0,VLOOKUP(MATCH(1,Paramètres!$K$6:$K$45,0),LABO_Dark_Troops[#All],5)))</f>
        <v>0</v>
      </c>
      <c r="J57" s="1">
        <f>IF(Paramètres!$I$46=0,0,VLOOKUP(Paramètres!$I$47,BARRACK_DARK_Troops[#All],6))</f>
        <v>0</v>
      </c>
      <c r="K57" s="5">
        <f>IF($J57=0,0,IF(SUM(Paramètres!$K$6:$K$45)&lt;&gt;Paramètres!$K$3,0,VLOOKUP(MATCH(1,Paramètres!$K$6:$K$45,0),LABO_Dark_Troops[#All],6)))</f>
        <v>0</v>
      </c>
      <c r="L57" s="3">
        <f>IF(Paramètres!$I$46=0,0,VLOOKUP(Paramètres!$I$47,BARRACK_DARK_Troops[#All],7))</f>
        <v>0</v>
      </c>
      <c r="M57" s="36">
        <f>IF($L57=0,0,IF(SUM(Paramètres!$K$6:$K$45)&lt;&gt;Paramètres!$K$3,0,VLOOKUP(MATCH(1,Paramètres!$K$6:$K$45,0),LABO_Dark_Troops[#All],7)))</f>
        <v>0</v>
      </c>
      <c r="O57" s="454">
        <v>9</v>
      </c>
      <c r="P57" s="67">
        <f t="shared" si="63"/>
        <v>0</v>
      </c>
      <c r="Q57" s="64">
        <f t="shared" si="62"/>
        <v>0</v>
      </c>
      <c r="R57" s="65">
        <f t="shared" si="62"/>
        <v>0</v>
      </c>
      <c r="S57" s="66">
        <f t="shared" si="62"/>
        <v>0</v>
      </c>
      <c r="T57" s="63">
        <f t="shared" si="62"/>
        <v>0</v>
      </c>
      <c r="U57" s="64">
        <f t="shared" si="62"/>
        <v>0</v>
      </c>
      <c r="V57" s="65">
        <f t="shared" si="62"/>
        <v>0</v>
      </c>
      <c r="W57" s="66">
        <f t="shared" si="62"/>
        <v>0</v>
      </c>
      <c r="X57" s="63">
        <f t="shared" si="62"/>
        <v>0</v>
      </c>
      <c r="Y57" s="64">
        <f t="shared" si="62"/>
        <v>0</v>
      </c>
      <c r="Z57" s="65">
        <f t="shared" si="62"/>
        <v>0</v>
      </c>
      <c r="AA57" s="68">
        <f t="shared" si="62"/>
        <v>0</v>
      </c>
      <c r="AL57" s="13">
        <v>9</v>
      </c>
      <c r="AM57" s="645">
        <v>7</v>
      </c>
      <c r="AN57" s="34">
        <v>5</v>
      </c>
      <c r="AO57" s="6">
        <v>4</v>
      </c>
      <c r="AP57" s="34">
        <v>5</v>
      </c>
      <c r="AQ57" s="46">
        <v>3</v>
      </c>
      <c r="AR57" s="34">
        <v>3</v>
      </c>
    </row>
    <row r="58" spans="1:44" ht="12" thickBot="1">
      <c r="A58" s="455">
        <v>10</v>
      </c>
      <c r="B58" s="458">
        <f>IF(Paramètres!$I$46=0,0,VLOOKUP(Paramètres!$I$47,BARRACK_DARK_Troops[#All],2))</f>
        <v>0</v>
      </c>
      <c r="C58" s="5">
        <f>IF($B58=0,0,IF(SUM(Paramètres!$K$6:$K$45)&lt;&gt;Paramètres!$K$3,0,VLOOKUP(MATCH(1,Paramètres!$K$6:$K$45,0),LABO_Dark_Troops[#All],2)))</f>
        <v>0</v>
      </c>
      <c r="D58" s="43">
        <f>IF(Paramètres!$I$46=0,0,VLOOKUP(Paramètres!$I$47,BARRACK_DARK_Troops[#All],3))</f>
        <v>0</v>
      </c>
      <c r="E58" s="36">
        <f>IF($D58=0,0,IF(SUM(Paramètres!$K$6:$K$45)&lt;&gt;Paramètres!$K$3,0,VLOOKUP(MATCH(1,Paramètres!$K$6:$K$45,0),LABO_Dark_Troops[#All],3)))</f>
        <v>0</v>
      </c>
      <c r="F58" s="41">
        <f>IF(Paramètres!$I$46=0,0,VLOOKUP(Paramètres!$I$47,BARRACK_DARK_Troops[#All],4))</f>
        <v>0</v>
      </c>
      <c r="G58" s="42">
        <f>IF($F58=0,0,IF(SUM(Paramètres!$K$6:$K$45)&lt;&gt;Paramètres!$K$3,0,VLOOKUP(MATCH(1,Paramètres!$K$6:$K$45,0),LABO_Dark_Troops[#All],4)))</f>
        <v>0</v>
      </c>
      <c r="H58" s="43">
        <f>IF(Paramètres!$I$46=0,0,VLOOKUP(Paramètres!$I$47,BARRACK_DARK_Troops[#All],5))</f>
        <v>0</v>
      </c>
      <c r="I58" s="44">
        <f>IF($H58=0,0,IF(SUM(Paramètres!$K$6:$K$45)&lt;&gt;Paramètres!$K$3,0,VLOOKUP(MATCH(1,Paramètres!$K$6:$K$45,0),LABO_Dark_Troops[#All],5)))</f>
        <v>0</v>
      </c>
      <c r="J58" s="41">
        <f>IF(Paramètres!$I$46=0,0,VLOOKUP(Paramètres!$I$47,BARRACK_DARK_Troops[#All],6))</f>
        <v>0</v>
      </c>
      <c r="K58" s="42">
        <f>IF($J58=0,0,IF(SUM(Paramètres!$K$6:$K$45)&lt;&gt;Paramètres!$K$3,0,VLOOKUP(MATCH(1,Paramètres!$K$6:$K$45,0),LABO_Dark_Troops[#All],6)))</f>
        <v>0</v>
      </c>
      <c r="L58" s="43">
        <f>IF(Paramètres!$I$46=0,0,VLOOKUP(Paramètres!$I$47,BARRACK_DARK_Troops[#All],7))</f>
        <v>0</v>
      </c>
      <c r="M58" s="44">
        <f>IF($L58=0,0,IF(SUM(Paramètres!$K$6:$K$45)&lt;&gt;Paramètres!$K$3,0,VLOOKUP(MATCH(1,Paramètres!$K$6:$K$45,0),LABO_Dark_Troops[#All],7)))</f>
        <v>0</v>
      </c>
      <c r="O58" s="455">
        <v>10</v>
      </c>
      <c r="P58" s="69">
        <f t="shared" si="63"/>
        <v>0</v>
      </c>
      <c r="Q58" s="70">
        <f t="shared" si="62"/>
        <v>0</v>
      </c>
      <c r="R58" s="71">
        <f t="shared" si="62"/>
        <v>0</v>
      </c>
      <c r="S58" s="72">
        <f t="shared" si="62"/>
        <v>0</v>
      </c>
      <c r="T58" s="73">
        <f t="shared" si="62"/>
        <v>0</v>
      </c>
      <c r="U58" s="70">
        <f t="shared" si="62"/>
        <v>0</v>
      </c>
      <c r="V58" s="71">
        <f t="shared" si="62"/>
        <v>0</v>
      </c>
      <c r="W58" s="72">
        <f t="shared" si="62"/>
        <v>0</v>
      </c>
      <c r="X58" s="73">
        <f t="shared" si="62"/>
        <v>0</v>
      </c>
      <c r="Y58" s="70">
        <f t="shared" si="62"/>
        <v>0</v>
      </c>
      <c r="Z58" s="71">
        <f t="shared" si="62"/>
        <v>0</v>
      </c>
      <c r="AA58" s="74">
        <f t="shared" si="62"/>
        <v>0</v>
      </c>
    </row>
    <row r="59" spans="1:44" ht="12" thickBot="1">
      <c r="A59" s="455">
        <v>11</v>
      </c>
      <c r="B59" s="458">
        <f>IF(Paramètres!$I$46=0,0,VLOOKUP(Paramètres!$I$47,BARRACK_DARK_Troops[#All],2))</f>
        <v>0</v>
      </c>
      <c r="C59" s="5">
        <f>IF($B59=0,0,IF(SUM(Paramètres!$K$6:$K$45)&lt;&gt;Paramètres!$K$3,0,VLOOKUP(MATCH(1,Paramètres!$K$6:$K$45,0),LABO_Dark_Troops[#All],2)))</f>
        <v>0</v>
      </c>
      <c r="D59" s="43">
        <f>IF(Paramètres!$I$46=0,0,VLOOKUP(Paramètres!$I$47,BARRACK_DARK_Troops[#All],3))</f>
        <v>0</v>
      </c>
      <c r="E59" s="36">
        <f>IF($D59=0,0,IF(SUM(Paramètres!$K$6:$K$45)&lt;&gt;Paramètres!$K$3,0,VLOOKUP(MATCH(1,Paramètres!$K$6:$K$45,0),LABO_Dark_Troops[#All],3)))</f>
        <v>0</v>
      </c>
      <c r="F59" s="41">
        <f>IF(Paramètres!$I$46=0,0,VLOOKUP(Paramètres!$I$47,BARRACK_DARK_Troops[#All],4))</f>
        <v>0</v>
      </c>
      <c r="G59" s="42">
        <f>IF($F59=0,0,IF(SUM(Paramètres!$K$6:$K$45)&lt;&gt;Paramètres!$K$3,0,VLOOKUP(MATCH(1,Paramètres!$K$6:$K$45,0),LABO_Dark_Troops[#All],4)))</f>
        <v>0</v>
      </c>
      <c r="H59" s="43">
        <f>IF(Paramètres!$I$46=0,0,VLOOKUP(Paramètres!$I$47,BARRACK_DARK_Troops[#All],5))</f>
        <v>0</v>
      </c>
      <c r="I59" s="44">
        <f>IF($H59=0,0,IF(SUM(Paramètres!$K$6:$K$45)&lt;&gt;Paramètres!$K$3,0,VLOOKUP(MATCH(1,Paramètres!$K$6:$K$45,0),LABO_Dark_Troops[#All],5)))</f>
        <v>0</v>
      </c>
      <c r="J59" s="41">
        <f>IF(Paramètres!$I$46=0,0,VLOOKUP(Paramètres!$I$47,BARRACK_DARK_Troops[#All],6))</f>
        <v>0</v>
      </c>
      <c r="K59" s="42">
        <f>IF($J59=0,0,IF(SUM(Paramètres!$K$6:$K$45)&lt;&gt;Paramètres!$K$3,0,VLOOKUP(MATCH(1,Paramètres!$K$6:$K$45,0),LABO_Dark_Troops[#All],6)))</f>
        <v>0</v>
      </c>
      <c r="L59" s="43">
        <f>IF(Paramètres!$I$46=0,0,VLOOKUP(Paramètres!$I$47,BARRACK_DARK_Troops[#All],7))</f>
        <v>0</v>
      </c>
      <c r="M59" s="44">
        <f>IF($L59=0,0,IF(SUM(Paramètres!$K$6:$K$45)&lt;&gt;Paramètres!$K$3,0,VLOOKUP(MATCH(1,Paramètres!$K$6:$K$45,0),LABO_Dark_Troops[#All],7)))</f>
        <v>0</v>
      </c>
      <c r="O59" s="455">
        <v>11</v>
      </c>
      <c r="P59" s="69">
        <f t="shared" ref="P59" si="64">B59-B58</f>
        <v>0</v>
      </c>
      <c r="Q59" s="70">
        <f t="shared" ref="Q59" si="65">C59-C58</f>
        <v>0</v>
      </c>
      <c r="R59" s="71">
        <f t="shared" ref="R59" si="66">D59-D58</f>
        <v>0</v>
      </c>
      <c r="S59" s="72">
        <f t="shared" ref="S59" si="67">E59-E58</f>
        <v>0</v>
      </c>
      <c r="T59" s="73">
        <f t="shared" ref="T59" si="68">F59-F58</f>
        <v>0</v>
      </c>
      <c r="U59" s="70">
        <f t="shared" ref="U59" si="69">G59-G58</f>
        <v>0</v>
      </c>
      <c r="V59" s="71">
        <f t="shared" ref="V59" si="70">H59-H58</f>
        <v>0</v>
      </c>
      <c r="W59" s="72">
        <f t="shared" ref="W59" si="71">I59-I58</f>
        <v>0</v>
      </c>
      <c r="X59" s="73">
        <f t="shared" ref="X59" si="72">J59-J58</f>
        <v>0</v>
      </c>
      <c r="Y59" s="70">
        <f t="shared" ref="Y59" si="73">K59-K58</f>
        <v>0</v>
      </c>
      <c r="Z59" s="71">
        <f t="shared" ref="Z59" si="74">L59-L58</f>
        <v>0</v>
      </c>
      <c r="AA59" s="74">
        <f t="shared" ref="AA59" si="75">M59-M58</f>
        <v>0</v>
      </c>
    </row>
  </sheetData>
  <sheetProtection selectLockedCells="1"/>
  <mergeCells count="16">
    <mergeCell ref="AS31:BC31"/>
    <mergeCell ref="BE31:BO31"/>
    <mergeCell ref="AD46:AJ46"/>
    <mergeCell ref="AL46:AR46"/>
    <mergeCell ref="O46:AA46"/>
    <mergeCell ref="A46:M46"/>
    <mergeCell ref="M1:W1"/>
    <mergeCell ref="A1:K1"/>
    <mergeCell ref="A31:U31"/>
    <mergeCell ref="W31:AQ31"/>
    <mergeCell ref="Y1:AD1"/>
    <mergeCell ref="AF1:AK1"/>
    <mergeCell ref="A16:G16"/>
    <mergeCell ref="I16:O16"/>
    <mergeCell ref="Q16:T16"/>
    <mergeCell ref="V16:Y16"/>
  </mergeCells>
  <pageMargins left="0.7" right="0.7" top="0.75" bottom="0.75" header="0.3" footer="0.3"/>
  <pageSetup paperSize="9" orientation="portrait" r:id="rId1"/>
  <ignoredErrors>
    <ignoredError sqref="N3:O3 X33:Y33 Q3:U3 Z33:AQ33 X34:AQ39 X43:AQ43 Y41:AQ41 P48:AA58 Y40:AQ40 Y42:AQ42 X40:X42" calculatedColumn="1"/>
  </ignoredErrors>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10.xml><?xml version="1.0" encoding="utf-8"?>
<worksheet xmlns="http://schemas.openxmlformats.org/spreadsheetml/2006/main" xmlns:r="http://schemas.openxmlformats.org/officeDocument/2006/relationships">
  <sheetPr codeName="Feuil4">
    <tabColor rgb="FFFF0000"/>
  </sheetPr>
  <dimension ref="A1:O14"/>
  <sheetViews>
    <sheetView showGridLines="0" workbookViewId="0">
      <selection activeCell="A15" sqref="A15"/>
    </sheetView>
  </sheetViews>
  <sheetFormatPr baseColWidth="10" defaultColWidth="11.42578125" defaultRowHeight="11.25"/>
  <cols>
    <col min="1" max="2" width="8.7109375" style="156" customWidth="1"/>
    <col min="3" max="3" width="4.7109375" style="156" customWidth="1"/>
    <col min="4" max="4" width="8.7109375" style="156" customWidth="1"/>
    <col min="5" max="5" width="4.7109375" style="156" customWidth="1"/>
    <col min="6" max="6" width="8.7109375" style="156" customWidth="1"/>
    <col min="7" max="7" width="4.7109375" style="156" customWidth="1"/>
    <col min="8" max="8" width="8.7109375" style="156" customWidth="1"/>
    <col min="9" max="9" width="4.7109375" style="156" customWidth="1"/>
    <col min="10" max="10" width="8.7109375" style="156" customWidth="1"/>
    <col min="11" max="11" width="4.7109375" style="156" customWidth="1"/>
    <col min="12" max="12" width="8.7109375" style="156" customWidth="1"/>
    <col min="13" max="13" width="4.7109375" style="156" customWidth="1"/>
    <col min="14" max="14" width="8.7109375" style="156" customWidth="1"/>
    <col min="15" max="15" width="4.7109375" style="156" customWidth="1"/>
    <col min="16" max="16384" width="11.42578125" style="156"/>
  </cols>
  <sheetData>
    <row r="1" spans="1:15" ht="30" customHeight="1" thickBot="1">
      <c r="A1" s="1027" t="s">
        <v>400</v>
      </c>
      <c r="B1" s="1028"/>
      <c r="C1" s="1028"/>
      <c r="D1" s="1028"/>
      <c r="E1" s="1028"/>
      <c r="F1" s="1028"/>
      <c r="G1" s="1028"/>
      <c r="I1" s="1027" t="s">
        <v>371</v>
      </c>
      <c r="J1" s="1028"/>
      <c r="K1" s="1028"/>
      <c r="L1" s="1028"/>
      <c r="M1" s="1028"/>
      <c r="N1" s="1028"/>
      <c r="O1" s="1028"/>
    </row>
    <row r="2" spans="1:15" ht="23.25" thickBot="1">
      <c r="A2" s="144" t="s">
        <v>291</v>
      </c>
      <c r="B2" s="17" t="s">
        <v>196</v>
      </c>
      <c r="C2" s="17" t="s">
        <v>15</v>
      </c>
      <c r="D2" s="17" t="s">
        <v>182</v>
      </c>
      <c r="E2" s="57" t="s">
        <v>21</v>
      </c>
      <c r="F2" s="909" t="s">
        <v>739</v>
      </c>
      <c r="G2" s="909" t="s">
        <v>23</v>
      </c>
      <c r="I2" s="144" t="s">
        <v>291</v>
      </c>
      <c r="J2" s="52" t="s">
        <v>196</v>
      </c>
      <c r="K2" s="17" t="s">
        <v>15</v>
      </c>
      <c r="L2" s="17" t="s">
        <v>182</v>
      </c>
      <c r="M2" s="57" t="s">
        <v>21</v>
      </c>
      <c r="N2" s="909" t="s">
        <v>739</v>
      </c>
      <c r="O2" s="909" t="s">
        <v>23</v>
      </c>
    </row>
    <row r="3" spans="1:15">
      <c r="A3" s="51">
        <v>0</v>
      </c>
      <c r="B3" s="146">
        <v>0</v>
      </c>
      <c r="C3" s="147">
        <v>0</v>
      </c>
      <c r="D3" s="151">
        <v>0</v>
      </c>
      <c r="E3" s="152">
        <v>0</v>
      </c>
      <c r="F3" s="146">
        <v>0</v>
      </c>
      <c r="G3" s="147">
        <v>0</v>
      </c>
      <c r="I3" s="910">
        <v>0</v>
      </c>
      <c r="J3" s="929">
        <f t="shared" ref="J3:O3" si="0">B3</f>
        <v>0</v>
      </c>
      <c r="K3" s="930">
        <f t="shared" si="0"/>
        <v>0</v>
      </c>
      <c r="L3" s="931">
        <f t="shared" si="0"/>
        <v>0</v>
      </c>
      <c r="M3" s="932">
        <f t="shared" si="0"/>
        <v>0</v>
      </c>
      <c r="N3" s="929">
        <f t="shared" si="0"/>
        <v>0</v>
      </c>
      <c r="O3" s="930">
        <f t="shared" si="0"/>
        <v>0</v>
      </c>
    </row>
    <row r="4" spans="1:15">
      <c r="A4" s="145">
        <v>1</v>
      </c>
      <c r="B4" s="11">
        <v>0</v>
      </c>
      <c r="C4" s="9">
        <v>0</v>
      </c>
      <c r="D4" s="10">
        <v>0</v>
      </c>
      <c r="E4" s="35">
        <v>0</v>
      </c>
      <c r="F4" s="11">
        <v>0</v>
      </c>
      <c r="G4" s="9">
        <v>0</v>
      </c>
      <c r="I4" s="482">
        <v>1</v>
      </c>
      <c r="J4" s="63">
        <f t="shared" ref="J4:J14" si="1">B4-B3</f>
        <v>0</v>
      </c>
      <c r="K4" s="64">
        <f t="shared" ref="K4:K14" si="2">C4-C3</f>
        <v>0</v>
      </c>
      <c r="L4" s="65">
        <f t="shared" ref="L4:L14" si="3">D4-D3</f>
        <v>0</v>
      </c>
      <c r="M4" s="66">
        <f t="shared" ref="M4:M14" si="4">E4-E3</f>
        <v>0</v>
      </c>
      <c r="N4" s="63">
        <f t="shared" ref="N4:N14" si="5">F4-F3</f>
        <v>0</v>
      </c>
      <c r="O4" s="64">
        <f t="shared" ref="O4:O14" si="6">G4-G3</f>
        <v>0</v>
      </c>
    </row>
    <row r="5" spans="1:15">
      <c r="A5" s="7">
        <v>2</v>
      </c>
      <c r="B5" s="2">
        <v>0</v>
      </c>
      <c r="C5" s="6">
        <v>0</v>
      </c>
      <c r="D5" s="4">
        <v>0</v>
      </c>
      <c r="E5" s="34">
        <v>0</v>
      </c>
      <c r="F5" s="2">
        <v>0</v>
      </c>
      <c r="G5" s="6">
        <v>0</v>
      </c>
      <c r="I5" s="482">
        <v>2</v>
      </c>
      <c r="J5" s="63">
        <f t="shared" si="1"/>
        <v>0</v>
      </c>
      <c r="K5" s="64">
        <f t="shared" si="2"/>
        <v>0</v>
      </c>
      <c r="L5" s="65">
        <f t="shared" si="3"/>
        <v>0</v>
      </c>
      <c r="M5" s="66">
        <f t="shared" si="4"/>
        <v>0</v>
      </c>
      <c r="N5" s="63">
        <f t="shared" si="5"/>
        <v>0</v>
      </c>
      <c r="O5" s="64">
        <f t="shared" si="6"/>
        <v>0</v>
      </c>
    </row>
    <row r="6" spans="1:15">
      <c r="A6" s="7">
        <v>3</v>
      </c>
      <c r="B6" s="1">
        <v>0</v>
      </c>
      <c r="C6" s="5">
        <v>0</v>
      </c>
      <c r="D6" s="3">
        <v>0</v>
      </c>
      <c r="E6" s="36">
        <v>0</v>
      </c>
      <c r="F6" s="1">
        <v>0</v>
      </c>
      <c r="G6" s="5">
        <v>0</v>
      </c>
      <c r="I6" s="482">
        <v>3</v>
      </c>
      <c r="J6" s="63">
        <f t="shared" si="1"/>
        <v>0</v>
      </c>
      <c r="K6" s="64">
        <f t="shared" si="2"/>
        <v>0</v>
      </c>
      <c r="L6" s="65">
        <f t="shared" si="3"/>
        <v>0</v>
      </c>
      <c r="M6" s="66">
        <f t="shared" si="4"/>
        <v>0</v>
      </c>
      <c r="N6" s="63">
        <f t="shared" si="5"/>
        <v>0</v>
      </c>
      <c r="O6" s="64">
        <f t="shared" si="6"/>
        <v>0</v>
      </c>
    </row>
    <row r="7" spans="1:15">
      <c r="A7" s="7">
        <v>4</v>
      </c>
      <c r="B7" s="2">
        <v>0</v>
      </c>
      <c r="C7" s="6">
        <v>0</v>
      </c>
      <c r="D7" s="4">
        <v>0</v>
      </c>
      <c r="E7" s="34">
        <v>0</v>
      </c>
      <c r="F7" s="2">
        <v>0</v>
      </c>
      <c r="G7" s="6">
        <v>0</v>
      </c>
      <c r="I7" s="482">
        <v>4</v>
      </c>
      <c r="J7" s="63">
        <f t="shared" si="1"/>
        <v>0</v>
      </c>
      <c r="K7" s="64">
        <f t="shared" si="2"/>
        <v>0</v>
      </c>
      <c r="L7" s="65">
        <f t="shared" si="3"/>
        <v>0</v>
      </c>
      <c r="M7" s="66">
        <f t="shared" si="4"/>
        <v>0</v>
      </c>
      <c r="N7" s="63">
        <f t="shared" si="5"/>
        <v>0</v>
      </c>
      <c r="O7" s="64">
        <f t="shared" si="6"/>
        <v>0</v>
      </c>
    </row>
    <row r="8" spans="1:15">
      <c r="A8" s="7">
        <v>5</v>
      </c>
      <c r="B8" s="1">
        <v>0</v>
      </c>
      <c r="C8" s="5">
        <v>0</v>
      </c>
      <c r="D8" s="3">
        <v>0</v>
      </c>
      <c r="E8" s="36">
        <v>0</v>
      </c>
      <c r="F8" s="1">
        <v>0</v>
      </c>
      <c r="G8" s="5">
        <v>0</v>
      </c>
      <c r="I8" s="482">
        <v>5</v>
      </c>
      <c r="J8" s="63">
        <f t="shared" si="1"/>
        <v>0</v>
      </c>
      <c r="K8" s="64">
        <f t="shared" si="2"/>
        <v>0</v>
      </c>
      <c r="L8" s="65">
        <f t="shared" si="3"/>
        <v>0</v>
      </c>
      <c r="M8" s="66">
        <f t="shared" si="4"/>
        <v>0</v>
      </c>
      <c r="N8" s="63">
        <f t="shared" si="5"/>
        <v>0</v>
      </c>
      <c r="O8" s="64">
        <f t="shared" si="6"/>
        <v>0</v>
      </c>
    </row>
    <row r="9" spans="1:15">
      <c r="A9" s="7">
        <v>6</v>
      </c>
      <c r="B9" s="2">
        <v>0</v>
      </c>
      <c r="C9" s="6">
        <v>0</v>
      </c>
      <c r="D9" s="4">
        <v>0</v>
      </c>
      <c r="E9" s="34">
        <v>0</v>
      </c>
      <c r="F9" s="2">
        <v>0</v>
      </c>
      <c r="G9" s="6">
        <v>0</v>
      </c>
      <c r="I9" s="482">
        <v>6</v>
      </c>
      <c r="J9" s="63">
        <f t="shared" si="1"/>
        <v>0</v>
      </c>
      <c r="K9" s="64">
        <f t="shared" si="2"/>
        <v>0</v>
      </c>
      <c r="L9" s="65">
        <f t="shared" si="3"/>
        <v>0</v>
      </c>
      <c r="M9" s="66">
        <f t="shared" si="4"/>
        <v>0</v>
      </c>
      <c r="N9" s="63">
        <f t="shared" si="5"/>
        <v>0</v>
      </c>
      <c r="O9" s="64">
        <f t="shared" si="6"/>
        <v>0</v>
      </c>
    </row>
    <row r="10" spans="1:15">
      <c r="A10" s="7">
        <v>7</v>
      </c>
      <c r="B10" s="1">
        <v>1</v>
      </c>
      <c r="C10" s="5">
        <v>5</v>
      </c>
      <c r="D10" s="3">
        <v>0</v>
      </c>
      <c r="E10" s="36">
        <v>0</v>
      </c>
      <c r="F10" s="1">
        <v>0</v>
      </c>
      <c r="G10" s="5">
        <v>0</v>
      </c>
      <c r="I10" s="482">
        <v>7</v>
      </c>
      <c r="J10" s="63">
        <f t="shared" si="1"/>
        <v>1</v>
      </c>
      <c r="K10" s="64">
        <f t="shared" si="2"/>
        <v>5</v>
      </c>
      <c r="L10" s="65">
        <f t="shared" si="3"/>
        <v>0</v>
      </c>
      <c r="M10" s="66">
        <f t="shared" si="4"/>
        <v>0</v>
      </c>
      <c r="N10" s="63">
        <f t="shared" si="5"/>
        <v>0</v>
      </c>
      <c r="O10" s="64">
        <f t="shared" si="6"/>
        <v>0</v>
      </c>
    </row>
    <row r="11" spans="1:15">
      <c r="A11" s="7">
        <v>8</v>
      </c>
      <c r="B11" s="2">
        <v>1</v>
      </c>
      <c r="C11" s="6">
        <v>10</v>
      </c>
      <c r="D11" s="4">
        <v>0</v>
      </c>
      <c r="E11" s="34">
        <v>0</v>
      </c>
      <c r="F11" s="2">
        <v>0</v>
      </c>
      <c r="G11" s="6">
        <v>0</v>
      </c>
      <c r="I11" s="482">
        <v>8</v>
      </c>
      <c r="J11" s="63">
        <f t="shared" si="1"/>
        <v>0</v>
      </c>
      <c r="K11" s="64">
        <f t="shared" si="2"/>
        <v>5</v>
      </c>
      <c r="L11" s="65">
        <f t="shared" si="3"/>
        <v>0</v>
      </c>
      <c r="M11" s="66">
        <f t="shared" si="4"/>
        <v>0</v>
      </c>
      <c r="N11" s="63">
        <f t="shared" si="5"/>
        <v>0</v>
      </c>
      <c r="O11" s="64">
        <f t="shared" si="6"/>
        <v>0</v>
      </c>
    </row>
    <row r="12" spans="1:15">
      <c r="A12" s="7">
        <v>9</v>
      </c>
      <c r="B12" s="1">
        <v>1</v>
      </c>
      <c r="C12" s="5">
        <v>30</v>
      </c>
      <c r="D12" s="3">
        <v>1</v>
      </c>
      <c r="E12" s="36">
        <v>30</v>
      </c>
      <c r="F12" s="1">
        <v>0</v>
      </c>
      <c r="G12" s="5">
        <v>0</v>
      </c>
      <c r="I12" s="482">
        <v>9</v>
      </c>
      <c r="J12" s="63">
        <f t="shared" si="1"/>
        <v>0</v>
      </c>
      <c r="K12" s="64">
        <f t="shared" si="2"/>
        <v>20</v>
      </c>
      <c r="L12" s="65">
        <f t="shared" si="3"/>
        <v>1</v>
      </c>
      <c r="M12" s="66">
        <f t="shared" si="4"/>
        <v>30</v>
      </c>
      <c r="N12" s="63">
        <f t="shared" si="5"/>
        <v>0</v>
      </c>
      <c r="O12" s="64">
        <f t="shared" si="6"/>
        <v>0</v>
      </c>
    </row>
    <row r="13" spans="1:15" ht="12" thickBot="1">
      <c r="A13" s="8">
        <v>10</v>
      </c>
      <c r="B13" s="22">
        <v>1</v>
      </c>
      <c r="C13" s="20">
        <v>40</v>
      </c>
      <c r="D13" s="21">
        <v>1</v>
      </c>
      <c r="E13" s="37">
        <v>40</v>
      </c>
      <c r="F13" s="22">
        <v>0</v>
      </c>
      <c r="G13" s="20">
        <v>0</v>
      </c>
      <c r="I13" s="482">
        <v>10</v>
      </c>
      <c r="J13" s="63">
        <f t="shared" si="1"/>
        <v>0</v>
      </c>
      <c r="K13" s="64">
        <f t="shared" si="2"/>
        <v>10</v>
      </c>
      <c r="L13" s="65">
        <f t="shared" si="3"/>
        <v>0</v>
      </c>
      <c r="M13" s="66">
        <f t="shared" si="4"/>
        <v>10</v>
      </c>
      <c r="N13" s="63">
        <f t="shared" si="5"/>
        <v>0</v>
      </c>
      <c r="O13" s="64">
        <f t="shared" si="6"/>
        <v>0</v>
      </c>
    </row>
    <row r="14" spans="1:15" ht="12" thickBot="1">
      <c r="A14" s="8">
        <v>11</v>
      </c>
      <c r="B14" s="22">
        <v>1</v>
      </c>
      <c r="C14" s="20">
        <v>40</v>
      </c>
      <c r="D14" s="21">
        <v>1</v>
      </c>
      <c r="E14" s="37">
        <v>40</v>
      </c>
      <c r="F14" s="22">
        <v>1</v>
      </c>
      <c r="G14" s="20">
        <v>20</v>
      </c>
      <c r="I14" s="489">
        <v>11</v>
      </c>
      <c r="J14" s="923">
        <f t="shared" si="1"/>
        <v>0</v>
      </c>
      <c r="K14" s="920">
        <f t="shared" si="2"/>
        <v>0</v>
      </c>
      <c r="L14" s="921">
        <f t="shared" si="3"/>
        <v>0</v>
      </c>
      <c r="M14" s="922">
        <f t="shared" si="4"/>
        <v>0</v>
      </c>
      <c r="N14" s="923">
        <f t="shared" si="5"/>
        <v>1</v>
      </c>
      <c r="O14" s="920">
        <f t="shared" si="6"/>
        <v>20</v>
      </c>
    </row>
  </sheetData>
  <sheetProtection selectLockedCells="1"/>
  <mergeCells count="2">
    <mergeCell ref="I1:O1"/>
    <mergeCell ref="A1:G1"/>
  </mergeCells>
  <pageMargins left="0.7" right="0.7" top="0.75" bottom="0.75" header="0.3" footer="0.3"/>
  <pageSetup paperSize="9" orientation="portrait" r:id="rId1"/>
  <tableParts count="2">
    <tablePart r:id="rId2"/>
    <tablePart r:id="rId3"/>
  </tableParts>
</worksheet>
</file>

<file path=xl/worksheets/sheet11.xml><?xml version="1.0" encoding="utf-8"?>
<worksheet xmlns="http://schemas.openxmlformats.org/spreadsheetml/2006/main" xmlns:r="http://schemas.openxmlformats.org/officeDocument/2006/relationships">
  <sheetPr codeName="Feuil5">
    <tabColor rgb="FFFF0000"/>
  </sheetPr>
  <dimension ref="A1:AN163"/>
  <sheetViews>
    <sheetView showGridLines="0" topLeftCell="A103" zoomScale="85" zoomScaleNormal="85" workbookViewId="0">
      <selection activeCell="K67" sqref="K67:N70"/>
    </sheetView>
  </sheetViews>
  <sheetFormatPr baseColWidth="10" defaultColWidth="11.42578125" defaultRowHeight="11.25"/>
  <cols>
    <col min="1" max="1" width="4.7109375" style="156" customWidth="1"/>
    <col min="2" max="2" width="8.7109375" style="156" customWidth="1"/>
    <col min="3" max="3" width="5.7109375" style="156" customWidth="1"/>
    <col min="4" max="4" width="4.7109375" style="156" customWidth="1"/>
    <col min="5" max="5" width="8.7109375" style="156" customWidth="1"/>
    <col min="6" max="6" width="5.7109375" style="156" customWidth="1"/>
    <col min="7" max="7" width="4.7109375" style="156" customWidth="1"/>
    <col min="8" max="8" width="8.7109375" style="156" customWidth="1"/>
    <col min="9" max="9" width="5.7109375" style="156" customWidth="1"/>
    <col min="10" max="10" width="4.7109375" style="156" customWidth="1"/>
    <col min="11" max="11" width="8.7109375" style="156" customWidth="1"/>
    <col min="12" max="12" width="5.7109375" style="156" customWidth="1"/>
    <col min="13" max="13" width="5.42578125" style="156" customWidth="1"/>
    <col min="14" max="14" width="8.7109375" style="156" customWidth="1"/>
    <col min="15" max="15" width="7.5703125" style="156" customWidth="1"/>
    <col min="16" max="16" width="4.7109375" style="156" customWidth="1"/>
    <col min="17" max="17" width="8.7109375" style="156" customWidth="1"/>
    <col min="18" max="18" width="5.7109375" style="156" customWidth="1"/>
    <col min="19" max="19" width="4.7109375" style="156" customWidth="1"/>
    <col min="20" max="20" width="8.7109375" style="156" customWidth="1"/>
    <col min="21" max="21" width="5.7109375" style="156" customWidth="1"/>
    <col min="22" max="22" width="4.7109375" style="156" customWidth="1"/>
    <col min="23" max="23" width="8.7109375" style="156" customWidth="1"/>
    <col min="24" max="24" width="5.7109375" style="156" customWidth="1"/>
    <col min="25" max="25" width="5.42578125" style="156" customWidth="1"/>
    <col min="26" max="26" width="8.7109375" style="156" customWidth="1"/>
    <col min="27" max="27" width="7.5703125" style="156" customWidth="1"/>
    <col min="28" max="28" width="5.42578125" style="156" customWidth="1"/>
    <col min="29" max="29" width="8.7109375" style="156" customWidth="1"/>
    <col min="30" max="30" width="7.5703125" style="156" customWidth="1"/>
    <col min="31" max="31" width="5.42578125" style="156" customWidth="1"/>
    <col min="32" max="32" width="8.7109375" style="156" customWidth="1"/>
    <col min="33" max="33" width="7.5703125" style="156" customWidth="1"/>
    <col min="34" max="34" width="4.7109375" style="156" customWidth="1"/>
    <col min="35" max="35" width="8.7109375" style="156" customWidth="1"/>
    <col min="36" max="36" width="5.7109375" style="156" customWidth="1"/>
    <col min="37" max="37" width="4.7109375" style="156" customWidth="1"/>
    <col min="38" max="38" width="8.7109375" style="156" customWidth="1"/>
    <col min="39" max="39" width="5.7109375" style="156" customWidth="1"/>
    <col min="40" max="40" width="4.7109375" style="156" customWidth="1"/>
    <col min="41" max="41" width="8.7109375" style="156" customWidth="1"/>
    <col min="42" max="42" width="5.7109375" style="156" customWidth="1"/>
    <col min="43" max="16384" width="11.42578125" style="156"/>
  </cols>
  <sheetData>
    <row r="1" spans="1:18" ht="30" customHeight="1" thickBot="1">
      <c r="A1" s="1272" t="s">
        <v>373</v>
      </c>
      <c r="B1" s="1273"/>
      <c r="C1" s="1273"/>
      <c r="D1" s="1273"/>
      <c r="E1" s="1273"/>
      <c r="F1" s="1273"/>
      <c r="G1" s="1273"/>
      <c r="H1" s="1273"/>
      <c r="I1" s="1273"/>
      <c r="J1" s="1273"/>
      <c r="K1" s="1273"/>
      <c r="L1" s="1273"/>
      <c r="M1" s="1273"/>
      <c r="N1" s="1273"/>
      <c r="O1" s="1273"/>
      <c r="P1" s="1273"/>
      <c r="Q1" s="1273"/>
      <c r="R1" s="1274"/>
    </row>
    <row r="2" spans="1:18" ht="12" customHeight="1" thickBot="1">
      <c r="A2" s="1282" t="s">
        <v>176</v>
      </c>
      <c r="B2" s="1283"/>
      <c r="C2" s="1284"/>
      <c r="D2" s="1282" t="s">
        <v>211</v>
      </c>
      <c r="E2" s="1283"/>
      <c r="F2" s="1284"/>
      <c r="G2" s="1282" t="s">
        <v>212</v>
      </c>
      <c r="H2" s="1283"/>
      <c r="I2" s="1284"/>
      <c r="J2" s="1282" t="s">
        <v>451</v>
      </c>
      <c r="K2" s="1283"/>
      <c r="L2" s="1284"/>
      <c r="M2" s="1282" t="s">
        <v>210</v>
      </c>
      <c r="N2" s="1283"/>
      <c r="O2" s="1284"/>
      <c r="P2" s="1282" t="s">
        <v>452</v>
      </c>
      <c r="Q2" s="1283"/>
      <c r="R2" s="1284"/>
    </row>
    <row r="3" spans="1:18" ht="12" thickBot="1">
      <c r="A3" s="161" t="s">
        <v>17</v>
      </c>
      <c r="B3" s="614" t="s">
        <v>258</v>
      </c>
      <c r="C3" s="163" t="s">
        <v>259</v>
      </c>
      <c r="D3" s="547" t="s">
        <v>17</v>
      </c>
      <c r="E3" s="162" t="s">
        <v>258</v>
      </c>
      <c r="F3" s="163" t="s">
        <v>259</v>
      </c>
      <c r="G3" s="161" t="s">
        <v>17</v>
      </c>
      <c r="H3" s="162" t="s">
        <v>258</v>
      </c>
      <c r="I3" s="163" t="s">
        <v>259</v>
      </c>
      <c r="J3" s="164" t="s">
        <v>17</v>
      </c>
      <c r="K3" s="165" t="s">
        <v>258</v>
      </c>
      <c r="L3" s="166" t="s">
        <v>259</v>
      </c>
      <c r="M3" s="161" t="s">
        <v>17</v>
      </c>
      <c r="N3" s="614" t="s">
        <v>258</v>
      </c>
      <c r="O3" s="163" t="s">
        <v>259</v>
      </c>
      <c r="P3" s="547" t="s">
        <v>17</v>
      </c>
      <c r="Q3" s="162" t="s">
        <v>258</v>
      </c>
      <c r="R3" s="163" t="s">
        <v>259</v>
      </c>
    </row>
    <row r="4" spans="1:18">
      <c r="A4" s="7">
        <v>1</v>
      </c>
      <c r="B4" s="615">
        <v>150</v>
      </c>
      <c r="C4" s="548">
        <f>1/60</f>
        <v>1.6666666666666666E-2</v>
      </c>
      <c r="D4" s="13">
        <v>1</v>
      </c>
      <c r="E4" s="399">
        <v>1000000</v>
      </c>
      <c r="F4" s="167">
        <v>24</v>
      </c>
      <c r="G4" s="7">
        <v>1</v>
      </c>
      <c r="H4" s="399">
        <v>300</v>
      </c>
      <c r="I4" s="167">
        <f>15/60</f>
        <v>0.25</v>
      </c>
      <c r="J4" s="13">
        <v>1</v>
      </c>
      <c r="K4" s="399">
        <v>600000</v>
      </c>
      <c r="L4" s="167">
        <v>24</v>
      </c>
      <c r="M4" s="7">
        <v>1</v>
      </c>
      <c r="N4" s="619">
        <v>150</v>
      </c>
      <c r="O4" s="548">
        <f>1/60</f>
        <v>1.6666666666666666E-2</v>
      </c>
      <c r="P4" s="13">
        <v>1</v>
      </c>
      <c r="Q4" s="168">
        <v>300</v>
      </c>
      <c r="R4" s="167">
        <f>15/60</f>
        <v>0.25</v>
      </c>
    </row>
    <row r="5" spans="1:18">
      <c r="A5" s="7">
        <v>2</v>
      </c>
      <c r="B5" s="616">
        <v>300</v>
      </c>
      <c r="C5" s="175">
        <f>5/60</f>
        <v>8.3333333333333329E-2</v>
      </c>
      <c r="D5" s="13">
        <v>2</v>
      </c>
      <c r="E5" s="400">
        <v>1500000</v>
      </c>
      <c r="F5" s="169">
        <v>48</v>
      </c>
      <c r="G5" s="7">
        <v>2</v>
      </c>
      <c r="H5" s="400">
        <v>750</v>
      </c>
      <c r="I5" s="169">
        <f>30/60</f>
        <v>0.5</v>
      </c>
      <c r="J5" s="13">
        <v>2</v>
      </c>
      <c r="K5" s="400">
        <v>1200000</v>
      </c>
      <c r="L5" s="169">
        <v>48</v>
      </c>
      <c r="M5" s="7">
        <v>2</v>
      </c>
      <c r="N5" s="620">
        <v>300</v>
      </c>
      <c r="O5" s="175">
        <f>5/60</f>
        <v>8.3333333333333329E-2</v>
      </c>
      <c r="P5" s="13">
        <v>2</v>
      </c>
      <c r="Q5" s="170">
        <v>750</v>
      </c>
      <c r="R5" s="169">
        <f>30/60</f>
        <v>0.5</v>
      </c>
    </row>
    <row r="6" spans="1:18">
      <c r="A6" s="7">
        <v>3</v>
      </c>
      <c r="B6" s="616">
        <v>700</v>
      </c>
      <c r="C6" s="175">
        <f>15/60</f>
        <v>0.25</v>
      </c>
      <c r="D6" s="13">
        <v>3</v>
      </c>
      <c r="E6" s="400">
        <v>2000000</v>
      </c>
      <c r="F6" s="169">
        <v>72</v>
      </c>
      <c r="G6" s="7">
        <v>3</v>
      </c>
      <c r="H6" s="400">
        <v>1500</v>
      </c>
      <c r="I6" s="169">
        <v>1</v>
      </c>
      <c r="J6" s="13">
        <v>3</v>
      </c>
      <c r="K6" s="400">
        <v>1800000</v>
      </c>
      <c r="L6" s="169">
        <v>72</v>
      </c>
      <c r="M6" s="7">
        <v>3</v>
      </c>
      <c r="N6" s="620">
        <v>700</v>
      </c>
      <c r="O6" s="175">
        <f>15/60</f>
        <v>0.25</v>
      </c>
      <c r="P6" s="13">
        <v>3</v>
      </c>
      <c r="Q6" s="170">
        <v>1500</v>
      </c>
      <c r="R6" s="169">
        <v>1</v>
      </c>
    </row>
    <row r="7" spans="1:18">
      <c r="A7" s="7">
        <v>4</v>
      </c>
      <c r="B7" s="616">
        <v>1400</v>
      </c>
      <c r="C7" s="175">
        <v>1</v>
      </c>
      <c r="D7" s="13">
        <v>4</v>
      </c>
      <c r="E7" s="400">
        <v>3000000</v>
      </c>
      <c r="F7" s="169">
        <v>96</v>
      </c>
      <c r="G7" s="7">
        <v>4</v>
      </c>
      <c r="H7" s="400">
        <v>3000</v>
      </c>
      <c r="I7" s="169">
        <v>2</v>
      </c>
      <c r="J7" s="13">
        <v>4</v>
      </c>
      <c r="K7" s="400">
        <v>2400000</v>
      </c>
      <c r="L7" s="169">
        <v>96</v>
      </c>
      <c r="M7" s="7">
        <v>4</v>
      </c>
      <c r="N7" s="620">
        <v>1400</v>
      </c>
      <c r="O7" s="175">
        <v>1</v>
      </c>
      <c r="P7" s="13">
        <v>4</v>
      </c>
      <c r="Q7" s="170">
        <v>3000</v>
      </c>
      <c r="R7" s="169">
        <v>2</v>
      </c>
    </row>
    <row r="8" spans="1:18">
      <c r="A8" s="7">
        <v>5</v>
      </c>
      <c r="B8" s="616">
        <v>3000</v>
      </c>
      <c r="C8" s="175">
        <v>2</v>
      </c>
      <c r="D8" s="13">
        <v>5</v>
      </c>
      <c r="E8" s="400">
        <v>4000000</v>
      </c>
      <c r="F8" s="169">
        <v>144</v>
      </c>
      <c r="G8" s="7">
        <v>5</v>
      </c>
      <c r="H8" s="400">
        <v>6000</v>
      </c>
      <c r="I8" s="169">
        <v>3</v>
      </c>
      <c r="J8" s="13">
        <v>5</v>
      </c>
      <c r="K8" s="400">
        <v>3000000</v>
      </c>
      <c r="L8" s="169">
        <v>120</v>
      </c>
      <c r="M8" s="7">
        <v>5</v>
      </c>
      <c r="N8" s="620">
        <v>3000</v>
      </c>
      <c r="O8" s="175">
        <v>2</v>
      </c>
      <c r="P8" s="13">
        <v>5</v>
      </c>
      <c r="Q8" s="170">
        <v>6000</v>
      </c>
      <c r="R8" s="169">
        <v>3</v>
      </c>
    </row>
    <row r="9" spans="1:18">
      <c r="A9" s="7">
        <v>6</v>
      </c>
      <c r="B9" s="616">
        <v>7000</v>
      </c>
      <c r="C9" s="175">
        <v>6</v>
      </c>
      <c r="D9" s="13">
        <v>6</v>
      </c>
      <c r="E9" s="400">
        <v>5000000</v>
      </c>
      <c r="F9" s="169">
        <v>192</v>
      </c>
      <c r="G9" s="7">
        <v>6</v>
      </c>
      <c r="H9" s="400">
        <v>12000</v>
      </c>
      <c r="I9" s="169">
        <v>4</v>
      </c>
      <c r="J9" s="19">
        <v>6</v>
      </c>
      <c r="K9" s="403">
        <v>3600000</v>
      </c>
      <c r="L9" s="171">
        <v>144</v>
      </c>
      <c r="M9" s="7">
        <v>6</v>
      </c>
      <c r="N9" s="620">
        <v>7000</v>
      </c>
      <c r="O9" s="175">
        <v>6</v>
      </c>
      <c r="P9" s="13">
        <v>6</v>
      </c>
      <c r="Q9" s="170">
        <v>12000</v>
      </c>
      <c r="R9" s="169">
        <v>4</v>
      </c>
    </row>
    <row r="10" spans="1:18">
      <c r="A10" s="7">
        <v>7</v>
      </c>
      <c r="B10" s="616">
        <v>14000</v>
      </c>
      <c r="C10" s="175">
        <v>12</v>
      </c>
      <c r="G10" s="7">
        <v>7</v>
      </c>
      <c r="H10" s="400">
        <v>25000</v>
      </c>
      <c r="I10" s="169">
        <v>6</v>
      </c>
      <c r="M10" s="7">
        <v>7</v>
      </c>
      <c r="N10" s="620">
        <v>14000</v>
      </c>
      <c r="O10" s="175">
        <v>12</v>
      </c>
      <c r="P10" s="13">
        <v>7</v>
      </c>
      <c r="Q10" s="170">
        <v>25000</v>
      </c>
      <c r="R10" s="169">
        <v>6</v>
      </c>
    </row>
    <row r="11" spans="1:18">
      <c r="A11" s="7">
        <v>8</v>
      </c>
      <c r="B11" s="616">
        <v>28000</v>
      </c>
      <c r="C11" s="175">
        <v>24</v>
      </c>
      <c r="G11" s="7">
        <v>8</v>
      </c>
      <c r="H11" s="400">
        <v>50000</v>
      </c>
      <c r="I11" s="169">
        <v>8</v>
      </c>
      <c r="M11" s="7">
        <v>8</v>
      </c>
      <c r="N11" s="620">
        <v>28000</v>
      </c>
      <c r="O11" s="175">
        <v>24</v>
      </c>
      <c r="P11" s="13">
        <v>8</v>
      </c>
      <c r="Q11" s="170">
        <v>50000</v>
      </c>
      <c r="R11" s="169">
        <v>8</v>
      </c>
    </row>
    <row r="12" spans="1:18">
      <c r="A12" s="7">
        <v>9</v>
      </c>
      <c r="B12" s="617">
        <v>56000</v>
      </c>
      <c r="C12" s="55">
        <v>48</v>
      </c>
      <c r="G12" s="7">
        <v>9</v>
      </c>
      <c r="H12" s="401">
        <v>100000</v>
      </c>
      <c r="I12" s="53">
        <v>12</v>
      </c>
      <c r="M12" s="7">
        <v>9</v>
      </c>
      <c r="N12" s="621">
        <v>56000</v>
      </c>
      <c r="O12" s="55">
        <v>48</v>
      </c>
      <c r="P12" s="13">
        <v>9</v>
      </c>
      <c r="Q12" s="24">
        <v>100000</v>
      </c>
      <c r="R12" s="53">
        <v>12</v>
      </c>
    </row>
    <row r="13" spans="1:18">
      <c r="A13" s="7">
        <v>10</v>
      </c>
      <c r="B13" s="617">
        <v>84000</v>
      </c>
      <c r="C13" s="55">
        <v>72</v>
      </c>
      <c r="G13" s="7">
        <v>10</v>
      </c>
      <c r="H13" s="401">
        <v>250000</v>
      </c>
      <c r="I13" s="53">
        <v>24</v>
      </c>
      <c r="M13" s="7">
        <v>10</v>
      </c>
      <c r="N13" s="621">
        <v>84000</v>
      </c>
      <c r="O13" s="55">
        <v>72</v>
      </c>
      <c r="P13" s="13">
        <v>10</v>
      </c>
      <c r="Q13" s="24">
        <v>250000</v>
      </c>
      <c r="R13" s="53">
        <v>24</v>
      </c>
    </row>
    <row r="14" spans="1:18" ht="12" thickBot="1">
      <c r="A14" s="7">
        <v>11</v>
      </c>
      <c r="B14" s="617">
        <v>168000</v>
      </c>
      <c r="C14" s="55">
        <v>96</v>
      </c>
      <c r="G14" s="8">
        <v>11</v>
      </c>
      <c r="H14" s="402">
        <v>500000</v>
      </c>
      <c r="I14" s="54">
        <v>48</v>
      </c>
      <c r="M14" s="7">
        <v>11</v>
      </c>
      <c r="N14" s="621">
        <v>168000</v>
      </c>
      <c r="O14" s="55">
        <v>96</v>
      </c>
      <c r="P14" s="461">
        <v>11</v>
      </c>
      <c r="Q14" s="25">
        <v>500000</v>
      </c>
      <c r="R14" s="54">
        <v>48</v>
      </c>
    </row>
    <row r="15" spans="1:18" ht="12" thickBot="1">
      <c r="A15" s="8">
        <v>12</v>
      </c>
      <c r="B15" s="618">
        <v>336000</v>
      </c>
      <c r="C15" s="56">
        <v>120</v>
      </c>
      <c r="G15" s="188">
        <v>12</v>
      </c>
      <c r="H15" s="402">
        <v>2500000</v>
      </c>
      <c r="I15" s="54">
        <v>168</v>
      </c>
      <c r="J15" s="141"/>
      <c r="K15" s="141"/>
      <c r="M15" s="8">
        <v>12</v>
      </c>
      <c r="N15" s="622">
        <v>336000</v>
      </c>
      <c r="O15" s="56">
        <v>120</v>
      </c>
      <c r="P15" s="19">
        <v>12</v>
      </c>
      <c r="Q15" s="25">
        <v>2500000</v>
      </c>
      <c r="R15" s="54">
        <v>168</v>
      </c>
    </row>
    <row r="16" spans="1:18">
      <c r="A16" s="141"/>
      <c r="B16" s="141"/>
      <c r="C16" s="141"/>
      <c r="I16" s="141"/>
      <c r="J16" s="141"/>
      <c r="K16" s="141"/>
    </row>
    <row r="17" spans="1:18">
      <c r="A17" s="141"/>
      <c r="B17" s="141"/>
      <c r="C17" s="141"/>
      <c r="I17" s="141"/>
      <c r="J17" s="141"/>
      <c r="K17" s="141"/>
    </row>
    <row r="18" spans="1:18" ht="30" customHeight="1" thickBot="1">
      <c r="A18" s="1027" t="s">
        <v>374</v>
      </c>
      <c r="B18" s="1028"/>
      <c r="C18" s="1028"/>
      <c r="D18" s="1028"/>
      <c r="E18" s="1028"/>
      <c r="F18" s="1028"/>
      <c r="G18" s="1028"/>
      <c r="H18" s="1028"/>
      <c r="I18" s="1028"/>
      <c r="J18" s="1028"/>
      <c r="K18" s="1028"/>
      <c r="L18" s="1028"/>
      <c r="M18" s="1028"/>
      <c r="N18" s="1028"/>
      <c r="O18" s="1028"/>
      <c r="P18" s="1028"/>
      <c r="Q18" s="1028"/>
      <c r="R18" s="1028"/>
    </row>
    <row r="19" spans="1:18" ht="12" customHeight="1" thickBot="1">
      <c r="A19" s="1288" t="s">
        <v>343</v>
      </c>
      <c r="B19" s="1289"/>
      <c r="C19" s="1290"/>
      <c r="D19" s="1288" t="s">
        <v>207</v>
      </c>
      <c r="E19" s="1289"/>
      <c r="F19" s="1290"/>
      <c r="G19" s="1282" t="s">
        <v>338</v>
      </c>
      <c r="H19" s="1283"/>
      <c r="I19" s="1284"/>
      <c r="J19" s="1282" t="s">
        <v>208</v>
      </c>
      <c r="K19" s="1283"/>
      <c r="L19" s="1284"/>
      <c r="M19" s="1282" t="s">
        <v>209</v>
      </c>
      <c r="N19" s="1283"/>
      <c r="O19" s="1284"/>
      <c r="P19" s="1282" t="s">
        <v>702</v>
      </c>
      <c r="Q19" s="1283"/>
      <c r="R19" s="1284"/>
    </row>
    <row r="20" spans="1:18" ht="12" thickBot="1">
      <c r="A20" s="550" t="s">
        <v>17</v>
      </c>
      <c r="B20" s="551" t="s">
        <v>258</v>
      </c>
      <c r="C20" s="552" t="s">
        <v>259</v>
      </c>
      <c r="D20" s="164" t="s">
        <v>17</v>
      </c>
      <c r="E20" s="165" t="s">
        <v>258</v>
      </c>
      <c r="F20" s="166" t="s">
        <v>259</v>
      </c>
      <c r="G20" s="161" t="s">
        <v>17</v>
      </c>
      <c r="H20" s="162" t="s">
        <v>258</v>
      </c>
      <c r="I20" s="163" t="s">
        <v>259</v>
      </c>
      <c r="J20" s="161" t="s">
        <v>17</v>
      </c>
      <c r="K20" s="162" t="s">
        <v>258</v>
      </c>
      <c r="L20" s="163" t="s">
        <v>259</v>
      </c>
      <c r="M20" s="161" t="s">
        <v>17</v>
      </c>
      <c r="N20" s="162" t="s">
        <v>258</v>
      </c>
      <c r="O20" s="163" t="s">
        <v>259</v>
      </c>
      <c r="P20" s="161" t="s">
        <v>17</v>
      </c>
      <c r="Q20" s="162" t="s">
        <v>258</v>
      </c>
      <c r="R20" s="163" t="s">
        <v>259</v>
      </c>
    </row>
    <row r="21" spans="1:18">
      <c r="A21" s="565">
        <v>1</v>
      </c>
      <c r="B21" s="564">
        <v>750000</v>
      </c>
      <c r="C21" s="169">
        <v>72</v>
      </c>
      <c r="D21" s="459">
        <v>1</v>
      </c>
      <c r="E21" s="404">
        <v>200</v>
      </c>
      <c r="F21" s="174">
        <v>0.02</v>
      </c>
      <c r="G21" s="7">
        <v>1</v>
      </c>
      <c r="H21" s="399">
        <v>250</v>
      </c>
      <c r="I21" s="167">
        <f>5/60</f>
        <v>8.3333333333333329E-2</v>
      </c>
      <c r="J21" s="7">
        <v>1</v>
      </c>
      <c r="K21" s="399">
        <v>25000</v>
      </c>
      <c r="L21" s="167">
        <f>30/60</f>
        <v>0.5</v>
      </c>
      <c r="M21" s="7">
        <v>1</v>
      </c>
      <c r="N21" s="399">
        <v>200000</v>
      </c>
      <c r="O21" s="167">
        <v>24</v>
      </c>
      <c r="P21" s="7">
        <v>1</v>
      </c>
      <c r="Q21" s="399">
        <v>1500000</v>
      </c>
      <c r="R21" s="167">
        <v>96</v>
      </c>
    </row>
    <row r="22" spans="1:18">
      <c r="A22" s="565">
        <v>2</v>
      </c>
      <c r="B22" s="564">
        <v>1250000</v>
      </c>
      <c r="C22" s="169">
        <v>120</v>
      </c>
      <c r="D22" s="13">
        <v>2</v>
      </c>
      <c r="E22" s="400">
        <v>1000</v>
      </c>
      <c r="F22" s="175">
        <v>0.25</v>
      </c>
      <c r="G22" s="7">
        <v>2</v>
      </c>
      <c r="H22" s="400">
        <v>2500</v>
      </c>
      <c r="I22" s="169">
        <v>1</v>
      </c>
      <c r="J22" s="7">
        <v>2</v>
      </c>
      <c r="K22" s="400">
        <v>50000</v>
      </c>
      <c r="L22" s="169">
        <v>5</v>
      </c>
      <c r="M22" s="7">
        <v>2</v>
      </c>
      <c r="N22" s="400">
        <v>400000</v>
      </c>
      <c r="O22" s="169">
        <v>48</v>
      </c>
      <c r="P22" s="7">
        <v>2</v>
      </c>
      <c r="Q22" s="400">
        <v>2500000</v>
      </c>
      <c r="R22" s="169">
        <v>144</v>
      </c>
    </row>
    <row r="23" spans="1:18">
      <c r="A23" s="565">
        <v>3</v>
      </c>
      <c r="B23" s="564">
        <v>1750000</v>
      </c>
      <c r="C23" s="169">
        <v>144</v>
      </c>
      <c r="D23" s="13">
        <v>3</v>
      </c>
      <c r="E23" s="400">
        <v>2500</v>
      </c>
      <c r="F23" s="175">
        <v>2</v>
      </c>
      <c r="G23" s="7">
        <v>3</v>
      </c>
      <c r="H23" s="400">
        <v>10000</v>
      </c>
      <c r="I23" s="169">
        <v>3</v>
      </c>
      <c r="J23" s="7">
        <v>3</v>
      </c>
      <c r="K23" s="400">
        <v>90000</v>
      </c>
      <c r="L23" s="169">
        <v>12</v>
      </c>
      <c r="M23" s="7">
        <v>3</v>
      </c>
      <c r="N23" s="400">
        <v>800000</v>
      </c>
      <c r="O23" s="169">
        <v>96</v>
      </c>
      <c r="P23" s="7">
        <v>3</v>
      </c>
      <c r="Q23" s="400">
        <v>3500000</v>
      </c>
      <c r="R23" s="169">
        <v>192</v>
      </c>
    </row>
    <row r="24" spans="1:18">
      <c r="A24" s="565">
        <v>4</v>
      </c>
      <c r="B24" s="564">
        <v>2250000</v>
      </c>
      <c r="C24" s="169">
        <v>168</v>
      </c>
      <c r="D24" s="13">
        <v>4</v>
      </c>
      <c r="E24" s="400">
        <v>5000</v>
      </c>
      <c r="F24" s="175">
        <v>4</v>
      </c>
      <c r="G24" s="7">
        <v>4</v>
      </c>
      <c r="H24" s="400">
        <v>100000</v>
      </c>
      <c r="I24" s="169">
        <v>8</v>
      </c>
      <c r="J24" s="7">
        <v>4</v>
      </c>
      <c r="K24" s="400">
        <v>270000</v>
      </c>
      <c r="L24" s="169">
        <v>24</v>
      </c>
      <c r="M24" s="7">
        <v>4</v>
      </c>
      <c r="N24" s="400">
        <v>1600000</v>
      </c>
      <c r="O24" s="169">
        <v>120</v>
      </c>
    </row>
    <row r="25" spans="1:18">
      <c r="A25" s="565">
        <v>5</v>
      </c>
      <c r="B25" s="564">
        <v>2750000</v>
      </c>
      <c r="C25" s="169">
        <v>192</v>
      </c>
      <c r="D25" s="13">
        <v>5</v>
      </c>
      <c r="E25" s="400">
        <v>10000</v>
      </c>
      <c r="F25" s="175">
        <v>10</v>
      </c>
      <c r="G25" s="7">
        <v>5</v>
      </c>
      <c r="H25" s="400">
        <v>250000</v>
      </c>
      <c r="I25" s="169">
        <v>24</v>
      </c>
      <c r="J25" s="7">
        <v>5</v>
      </c>
      <c r="K25" s="400">
        <v>500000</v>
      </c>
      <c r="L25" s="169">
        <v>48</v>
      </c>
      <c r="M25" s="176">
        <v>5</v>
      </c>
      <c r="N25" s="406">
        <v>3200000</v>
      </c>
      <c r="O25" s="171">
        <v>144</v>
      </c>
    </row>
    <row r="26" spans="1:18">
      <c r="A26" s="566">
        <v>6</v>
      </c>
      <c r="B26" s="406">
        <v>3500000</v>
      </c>
      <c r="C26" s="171">
        <v>216</v>
      </c>
      <c r="D26" s="13">
        <v>6</v>
      </c>
      <c r="E26" s="400">
        <v>80000</v>
      </c>
      <c r="F26" s="175">
        <v>16</v>
      </c>
      <c r="G26" s="7">
        <v>6</v>
      </c>
      <c r="H26" s="400">
        <v>750000</v>
      </c>
      <c r="I26" s="169">
        <v>72</v>
      </c>
      <c r="J26" s="7">
        <v>6</v>
      </c>
      <c r="K26" s="400">
        <v>1000000</v>
      </c>
      <c r="L26" s="169">
        <v>96</v>
      </c>
    </row>
    <row r="27" spans="1:18">
      <c r="D27" s="7">
        <v>7</v>
      </c>
      <c r="E27" s="400">
        <v>240000</v>
      </c>
      <c r="F27" s="175">
        <v>24</v>
      </c>
      <c r="G27" s="7">
        <v>7</v>
      </c>
      <c r="H27" s="400">
        <v>2250000</v>
      </c>
      <c r="I27" s="169">
        <v>120</v>
      </c>
      <c r="J27" s="7">
        <v>7</v>
      </c>
      <c r="K27" s="400">
        <v>2500000</v>
      </c>
      <c r="L27" s="169">
        <v>120</v>
      </c>
    </row>
    <row r="28" spans="1:18">
      <c r="D28" s="7">
        <v>8</v>
      </c>
      <c r="E28" s="400">
        <v>700000</v>
      </c>
      <c r="F28" s="175">
        <v>48</v>
      </c>
      <c r="G28" s="176">
        <v>8</v>
      </c>
      <c r="H28" s="406">
        <v>6750000</v>
      </c>
      <c r="I28" s="171">
        <v>240</v>
      </c>
      <c r="J28" s="7">
        <v>8</v>
      </c>
      <c r="K28" s="400">
        <v>4000000</v>
      </c>
      <c r="L28" s="169">
        <v>144</v>
      </c>
      <c r="M28" s="141"/>
      <c r="N28" s="141"/>
      <c r="O28" s="141"/>
    </row>
    <row r="29" spans="1:18">
      <c r="D29" s="7">
        <v>9</v>
      </c>
      <c r="E29" s="401">
        <v>1500000</v>
      </c>
      <c r="F29" s="55">
        <v>96</v>
      </c>
      <c r="J29" s="188">
        <v>9</v>
      </c>
      <c r="K29" s="403">
        <v>6000000</v>
      </c>
      <c r="L29" s="171">
        <v>240</v>
      </c>
    </row>
    <row r="30" spans="1:18" ht="12" thickBot="1">
      <c r="D30" s="8">
        <v>10</v>
      </c>
      <c r="E30" s="405">
        <v>2000000</v>
      </c>
      <c r="F30" s="56">
        <v>144</v>
      </c>
    </row>
    <row r="31" spans="1:18">
      <c r="A31" s="141"/>
      <c r="B31" s="141"/>
      <c r="C31" s="141"/>
      <c r="I31" s="141"/>
      <c r="J31" s="141"/>
      <c r="K31" s="141"/>
    </row>
    <row r="32" spans="1:18">
      <c r="A32" s="141"/>
      <c r="B32" s="141"/>
      <c r="C32" s="141"/>
      <c r="I32" s="141"/>
      <c r="J32" s="141"/>
      <c r="K32" s="141"/>
    </row>
    <row r="33" spans="1:40" ht="30" customHeight="1" thickBot="1">
      <c r="A33" s="1027" t="s">
        <v>375</v>
      </c>
      <c r="B33" s="1028"/>
      <c r="C33" s="1028"/>
      <c r="D33" s="1028"/>
      <c r="E33" s="1028"/>
      <c r="F33" s="1028"/>
      <c r="G33" s="1028"/>
      <c r="H33" s="1028"/>
      <c r="I33" s="1028"/>
      <c r="J33" s="1028"/>
      <c r="K33" s="1028"/>
      <c r="L33" s="1028"/>
      <c r="M33" s="1028"/>
      <c r="N33" s="1028"/>
      <c r="O33" s="1028"/>
      <c r="P33" s="1028"/>
      <c r="Q33" s="1028"/>
      <c r="R33" s="1028"/>
      <c r="S33" s="1028"/>
      <c r="T33" s="1028"/>
      <c r="U33" s="1028"/>
      <c r="V33" s="1028"/>
      <c r="W33" s="1028"/>
      <c r="X33" s="1028"/>
      <c r="Y33" s="1028"/>
      <c r="Z33" s="1028"/>
      <c r="AA33" s="1028"/>
      <c r="AB33" s="1028"/>
      <c r="AC33" s="1028"/>
      <c r="AD33" s="1028"/>
      <c r="AE33" s="1028"/>
      <c r="AF33" s="1028"/>
      <c r="AG33" s="1028"/>
    </row>
    <row r="34" spans="1:40" ht="12" customHeight="1" thickBot="1">
      <c r="A34" s="1282" t="s">
        <v>206</v>
      </c>
      <c r="B34" s="1283"/>
      <c r="C34" s="1284"/>
      <c r="D34" s="1282" t="s">
        <v>205</v>
      </c>
      <c r="E34" s="1283"/>
      <c r="F34" s="1284"/>
      <c r="G34" s="1282" t="s">
        <v>204</v>
      </c>
      <c r="H34" s="1283"/>
      <c r="I34" s="1284"/>
      <c r="J34" s="1282" t="s">
        <v>203</v>
      </c>
      <c r="K34" s="1283"/>
      <c r="L34" s="1283"/>
      <c r="M34" s="1289" t="s">
        <v>202</v>
      </c>
      <c r="N34" s="1289"/>
      <c r="O34" s="1290"/>
      <c r="P34" s="1288" t="s">
        <v>454</v>
      </c>
      <c r="Q34" s="1289"/>
      <c r="R34" s="1290"/>
      <c r="S34" s="1282" t="s">
        <v>643</v>
      </c>
      <c r="T34" s="1283"/>
      <c r="U34" s="1284"/>
      <c r="V34" s="1282" t="s">
        <v>201</v>
      </c>
      <c r="W34" s="1283"/>
      <c r="X34" s="1284"/>
      <c r="Y34" s="1282" t="s">
        <v>200</v>
      </c>
      <c r="Z34" s="1283"/>
      <c r="AA34" s="1284"/>
      <c r="AB34" s="1282" t="s">
        <v>199</v>
      </c>
      <c r="AC34" s="1283"/>
      <c r="AD34" s="1284"/>
      <c r="AE34" s="1282" t="s">
        <v>747</v>
      </c>
      <c r="AF34" s="1283"/>
      <c r="AG34" s="1284"/>
    </row>
    <row r="35" spans="1:40" ht="12" thickBot="1">
      <c r="A35" s="161" t="s">
        <v>17</v>
      </c>
      <c r="B35" s="162" t="s">
        <v>258</v>
      </c>
      <c r="C35" s="163" t="s">
        <v>259</v>
      </c>
      <c r="D35" s="177" t="s">
        <v>17</v>
      </c>
      <c r="E35" s="162" t="s">
        <v>258</v>
      </c>
      <c r="F35" s="163" t="s">
        <v>259</v>
      </c>
      <c r="G35" s="161" t="s">
        <v>17</v>
      </c>
      <c r="H35" s="162" t="s">
        <v>258</v>
      </c>
      <c r="I35" s="163" t="s">
        <v>259</v>
      </c>
      <c r="J35" s="164" t="s">
        <v>17</v>
      </c>
      <c r="K35" s="165" t="s">
        <v>258</v>
      </c>
      <c r="L35" s="166" t="s">
        <v>259</v>
      </c>
      <c r="M35" s="547" t="s">
        <v>17</v>
      </c>
      <c r="N35" s="165" t="s">
        <v>258</v>
      </c>
      <c r="O35" s="183" t="s">
        <v>259</v>
      </c>
      <c r="P35" s="164" t="s">
        <v>17</v>
      </c>
      <c r="Q35" s="165" t="s">
        <v>258</v>
      </c>
      <c r="R35" s="166" t="s">
        <v>259</v>
      </c>
      <c r="S35" s="161" t="s">
        <v>17</v>
      </c>
      <c r="T35" s="162" t="s">
        <v>258</v>
      </c>
      <c r="U35" s="163" t="s">
        <v>259</v>
      </c>
      <c r="V35" s="161" t="s">
        <v>17</v>
      </c>
      <c r="W35" s="162" t="s">
        <v>258</v>
      </c>
      <c r="X35" s="163" t="s">
        <v>259</v>
      </c>
      <c r="Y35" s="161" t="s">
        <v>17</v>
      </c>
      <c r="Z35" s="162" t="s">
        <v>258</v>
      </c>
      <c r="AA35" s="163" t="s">
        <v>259</v>
      </c>
      <c r="AB35" s="161" t="s">
        <v>17</v>
      </c>
      <c r="AC35" s="162" t="s">
        <v>258</v>
      </c>
      <c r="AD35" s="163" t="s">
        <v>259</v>
      </c>
      <c r="AE35" s="161" t="s">
        <v>17</v>
      </c>
      <c r="AF35" s="162" t="s">
        <v>258</v>
      </c>
      <c r="AG35" s="163" t="s">
        <v>259</v>
      </c>
    </row>
    <row r="36" spans="1:40">
      <c r="A36" s="7">
        <v>1</v>
      </c>
      <c r="B36" s="168">
        <v>50</v>
      </c>
      <c r="C36" s="167">
        <v>0</v>
      </c>
      <c r="D36" s="51">
        <v>1</v>
      </c>
      <c r="E36" s="168">
        <v>250</v>
      </c>
      <c r="F36" s="167">
        <f>1/60</f>
        <v>1.6666666666666666E-2</v>
      </c>
      <c r="G36" s="7">
        <v>1</v>
      </c>
      <c r="H36" s="168">
        <v>1000</v>
      </c>
      <c r="I36" s="167">
        <f>15/60</f>
        <v>0.25</v>
      </c>
      <c r="J36" s="13">
        <v>1</v>
      </c>
      <c r="K36" s="168">
        <v>8000</v>
      </c>
      <c r="L36" s="167">
        <v>8</v>
      </c>
      <c r="M36" s="13">
        <v>1</v>
      </c>
      <c r="N36" s="168">
        <v>22500</v>
      </c>
      <c r="O36" s="548">
        <v>5</v>
      </c>
      <c r="P36" s="51">
        <v>1</v>
      </c>
      <c r="Q36" s="178">
        <v>180000</v>
      </c>
      <c r="R36" s="174">
        <v>12</v>
      </c>
      <c r="S36" s="7">
        <v>1</v>
      </c>
      <c r="T36" s="168">
        <v>500000</v>
      </c>
      <c r="U36" s="167">
        <v>24</v>
      </c>
      <c r="V36" s="7">
        <v>1</v>
      </c>
      <c r="W36" s="168">
        <v>1000000</v>
      </c>
      <c r="X36" s="167">
        <v>24</v>
      </c>
      <c r="Y36" s="7">
        <v>1</v>
      </c>
      <c r="Z36" s="168">
        <v>3000000</v>
      </c>
      <c r="AA36" s="167">
        <v>168</v>
      </c>
      <c r="AB36" s="7">
        <v>1</v>
      </c>
      <c r="AC36" s="168">
        <v>5000000</v>
      </c>
      <c r="AD36" s="167">
        <v>168</v>
      </c>
      <c r="AE36" s="7">
        <v>1</v>
      </c>
      <c r="AF36" s="168">
        <v>8000000</v>
      </c>
      <c r="AG36" s="167">
        <v>168</v>
      </c>
    </row>
    <row r="37" spans="1:40">
      <c r="A37" s="7">
        <v>2</v>
      </c>
      <c r="B37" s="170">
        <v>1000</v>
      </c>
      <c r="C37" s="169">
        <v>0</v>
      </c>
      <c r="D37" s="7">
        <v>2</v>
      </c>
      <c r="E37" s="170">
        <v>1000</v>
      </c>
      <c r="F37" s="169">
        <f>15/60</f>
        <v>0.25</v>
      </c>
      <c r="G37" s="7">
        <v>2</v>
      </c>
      <c r="H37" s="170">
        <v>2000</v>
      </c>
      <c r="I37" s="169">
        <f>30/60</f>
        <v>0.5</v>
      </c>
      <c r="J37" s="13">
        <v>2</v>
      </c>
      <c r="K37" s="170">
        <v>32000</v>
      </c>
      <c r="L37" s="169">
        <v>12</v>
      </c>
      <c r="M37" s="13">
        <v>2</v>
      </c>
      <c r="N37" s="170">
        <v>90000</v>
      </c>
      <c r="O37" s="175">
        <v>24</v>
      </c>
      <c r="P37" s="7">
        <v>2</v>
      </c>
      <c r="Q37" s="170">
        <v>360000</v>
      </c>
      <c r="R37" s="175">
        <v>24</v>
      </c>
      <c r="S37" s="7">
        <v>2</v>
      </c>
      <c r="T37" s="170">
        <v>750000</v>
      </c>
      <c r="U37" s="169">
        <v>72</v>
      </c>
      <c r="V37" s="7">
        <v>2</v>
      </c>
      <c r="W37" s="170">
        <v>1250000</v>
      </c>
      <c r="X37" s="169">
        <v>72</v>
      </c>
      <c r="Y37" s="7">
        <v>2</v>
      </c>
      <c r="Z37" s="170">
        <v>5000000</v>
      </c>
      <c r="AA37" s="169">
        <v>240</v>
      </c>
      <c r="AB37" s="7">
        <v>2</v>
      </c>
      <c r="AC37" s="170">
        <v>6500000</v>
      </c>
      <c r="AD37" s="169">
        <v>240</v>
      </c>
      <c r="AE37" s="7">
        <v>2</v>
      </c>
      <c r="AF37" s="170">
        <v>9000000</v>
      </c>
      <c r="AG37" s="169">
        <v>336</v>
      </c>
    </row>
    <row r="38" spans="1:40">
      <c r="A38" s="7">
        <v>3</v>
      </c>
      <c r="B38" s="170">
        <v>5000</v>
      </c>
      <c r="C38" s="169">
        <v>0</v>
      </c>
      <c r="D38" s="7">
        <v>3</v>
      </c>
      <c r="E38" s="170">
        <v>4000</v>
      </c>
      <c r="F38" s="169">
        <f>45/60</f>
        <v>0.75</v>
      </c>
      <c r="G38" s="7">
        <v>3</v>
      </c>
      <c r="H38" s="170">
        <v>5000</v>
      </c>
      <c r="I38" s="169">
        <f>45/60</f>
        <v>0.75</v>
      </c>
      <c r="J38" s="13">
        <v>3</v>
      </c>
      <c r="K38" s="170">
        <v>120000</v>
      </c>
      <c r="L38" s="169">
        <v>24</v>
      </c>
      <c r="M38" s="13">
        <v>3</v>
      </c>
      <c r="N38" s="170">
        <v>270000</v>
      </c>
      <c r="O38" s="175">
        <v>72</v>
      </c>
      <c r="P38" s="7">
        <v>3</v>
      </c>
      <c r="Q38" s="170">
        <v>720000</v>
      </c>
      <c r="R38" s="175">
        <v>48</v>
      </c>
      <c r="S38" s="7">
        <v>3</v>
      </c>
      <c r="T38" s="170">
        <v>1250000</v>
      </c>
      <c r="U38" s="169">
        <v>120</v>
      </c>
      <c r="V38" s="7">
        <v>3</v>
      </c>
      <c r="W38" s="170">
        <v>1500000</v>
      </c>
      <c r="X38" s="169">
        <v>120</v>
      </c>
      <c r="Y38" s="7">
        <v>3</v>
      </c>
      <c r="Z38" s="170">
        <v>7000000</v>
      </c>
      <c r="AA38" s="169">
        <v>336</v>
      </c>
      <c r="AB38" s="188">
        <v>3</v>
      </c>
      <c r="AC38" s="179">
        <v>8000000</v>
      </c>
      <c r="AD38" s="171">
        <v>336</v>
      </c>
    </row>
    <row r="39" spans="1:40">
      <c r="A39" s="7">
        <v>4</v>
      </c>
      <c r="B39" s="170">
        <v>10000</v>
      </c>
      <c r="C39" s="169">
        <v>0</v>
      </c>
      <c r="D39" s="7">
        <v>4</v>
      </c>
      <c r="E39" s="170">
        <v>16000</v>
      </c>
      <c r="F39" s="169">
        <v>2</v>
      </c>
      <c r="G39" s="7">
        <v>4</v>
      </c>
      <c r="H39" s="170">
        <v>20000</v>
      </c>
      <c r="I39" s="169">
        <v>4</v>
      </c>
      <c r="J39" s="13">
        <v>4</v>
      </c>
      <c r="K39" s="170">
        <v>400000</v>
      </c>
      <c r="L39" s="169">
        <v>48</v>
      </c>
      <c r="M39" s="13">
        <v>4</v>
      </c>
      <c r="N39" s="170">
        <v>540000</v>
      </c>
      <c r="O39" s="175">
        <v>120</v>
      </c>
      <c r="P39" s="7">
        <v>4</v>
      </c>
      <c r="Q39" s="170">
        <v>1280000</v>
      </c>
      <c r="R39" s="175">
        <v>72</v>
      </c>
      <c r="S39" s="7">
        <v>4</v>
      </c>
      <c r="T39" s="170">
        <v>2400000</v>
      </c>
      <c r="U39" s="169">
        <v>168</v>
      </c>
      <c r="V39" s="7">
        <v>4</v>
      </c>
      <c r="W39" s="170">
        <v>2000000</v>
      </c>
      <c r="X39" s="169">
        <v>144</v>
      </c>
      <c r="Y39" s="7">
        <v>4</v>
      </c>
      <c r="Z39" s="170">
        <v>8000000</v>
      </c>
      <c r="AA39" s="169">
        <v>336</v>
      </c>
      <c r="AB39" s="141"/>
      <c r="AC39" s="141"/>
      <c r="AD39" s="141"/>
      <c r="AE39" s="141"/>
      <c r="AF39" s="141"/>
      <c r="AG39" s="141"/>
    </row>
    <row r="40" spans="1:40" s="141" customFormat="1">
      <c r="A40" s="7">
        <v>5</v>
      </c>
      <c r="B40" s="170">
        <v>30000</v>
      </c>
      <c r="C40" s="169">
        <v>0</v>
      </c>
      <c r="D40" s="7">
        <v>5</v>
      </c>
      <c r="E40" s="170">
        <v>50000</v>
      </c>
      <c r="F40" s="169">
        <v>6</v>
      </c>
      <c r="G40" s="7">
        <v>5</v>
      </c>
      <c r="H40" s="170">
        <v>80000</v>
      </c>
      <c r="I40" s="169">
        <v>12</v>
      </c>
      <c r="J40" s="13">
        <v>5</v>
      </c>
      <c r="K40" s="170">
        <v>800000</v>
      </c>
      <c r="L40" s="169">
        <v>96</v>
      </c>
      <c r="M40" s="13">
        <v>5</v>
      </c>
      <c r="N40" s="170">
        <v>1080000</v>
      </c>
      <c r="O40" s="175">
        <v>144</v>
      </c>
      <c r="P40" s="7">
        <v>5</v>
      </c>
      <c r="Q40" s="170">
        <v>1960000</v>
      </c>
      <c r="R40" s="175">
        <v>96</v>
      </c>
      <c r="S40" s="7">
        <v>5</v>
      </c>
      <c r="T40" s="170">
        <v>4800000</v>
      </c>
      <c r="U40" s="169">
        <v>192</v>
      </c>
      <c r="V40" s="7">
        <v>5</v>
      </c>
      <c r="W40" s="170">
        <v>2500000</v>
      </c>
      <c r="X40" s="169">
        <v>192</v>
      </c>
      <c r="Y40" s="156"/>
      <c r="Z40" s="156"/>
      <c r="AA40" s="156"/>
      <c r="AB40" s="156"/>
      <c r="AC40" s="156"/>
      <c r="AD40" s="156"/>
      <c r="AH40" s="156"/>
      <c r="AI40" s="156"/>
      <c r="AJ40" s="156"/>
      <c r="AK40" s="156"/>
      <c r="AL40" s="156"/>
      <c r="AM40" s="156"/>
      <c r="AN40" s="156"/>
    </row>
    <row r="41" spans="1:40" s="141" customFormat="1">
      <c r="A41" s="7">
        <v>6</v>
      </c>
      <c r="B41" s="170">
        <v>75000</v>
      </c>
      <c r="C41" s="169">
        <v>0</v>
      </c>
      <c r="D41" s="7">
        <v>6</v>
      </c>
      <c r="E41" s="170">
        <v>100000</v>
      </c>
      <c r="F41" s="169">
        <v>12</v>
      </c>
      <c r="G41" s="7">
        <v>6</v>
      </c>
      <c r="H41" s="170">
        <v>180000</v>
      </c>
      <c r="I41" s="169">
        <v>24</v>
      </c>
      <c r="J41" s="19">
        <v>6</v>
      </c>
      <c r="K41" s="170">
        <v>1600000</v>
      </c>
      <c r="L41" s="171">
        <v>120</v>
      </c>
      <c r="M41" s="13">
        <v>6</v>
      </c>
      <c r="N41" s="170">
        <v>2160000</v>
      </c>
      <c r="O41" s="175">
        <v>192</v>
      </c>
      <c r="P41" s="7">
        <v>6</v>
      </c>
      <c r="Q41" s="170">
        <v>2680000</v>
      </c>
      <c r="R41" s="175">
        <v>120</v>
      </c>
      <c r="S41" s="7">
        <v>6</v>
      </c>
      <c r="T41" s="170">
        <v>7200000</v>
      </c>
      <c r="U41" s="169">
        <v>216</v>
      </c>
      <c r="V41" s="7">
        <v>6</v>
      </c>
      <c r="W41" s="170">
        <v>3000000</v>
      </c>
      <c r="X41" s="169">
        <v>240</v>
      </c>
      <c r="Y41" s="156"/>
      <c r="Z41" s="156"/>
      <c r="AA41" s="156"/>
      <c r="AB41" s="156"/>
      <c r="AC41" s="156"/>
      <c r="AD41" s="156"/>
      <c r="AH41" s="156"/>
      <c r="AI41" s="156"/>
      <c r="AJ41" s="156"/>
      <c r="AK41" s="156"/>
      <c r="AL41" s="156"/>
      <c r="AM41" s="156"/>
      <c r="AN41" s="156"/>
    </row>
    <row r="42" spans="1:40" s="141" customFormat="1">
      <c r="A42" s="7">
        <v>7</v>
      </c>
      <c r="B42" s="170">
        <v>200000</v>
      </c>
      <c r="C42" s="169">
        <v>0</v>
      </c>
      <c r="D42" s="7">
        <v>7</v>
      </c>
      <c r="E42" s="170">
        <v>200000</v>
      </c>
      <c r="F42" s="169">
        <v>24</v>
      </c>
      <c r="G42" s="7">
        <v>7</v>
      </c>
      <c r="H42" s="170">
        <v>360000</v>
      </c>
      <c r="I42" s="169">
        <v>48</v>
      </c>
      <c r="J42" s="7">
        <v>7</v>
      </c>
      <c r="K42" s="24">
        <v>3200000</v>
      </c>
      <c r="L42" s="53">
        <v>168</v>
      </c>
      <c r="M42" s="7">
        <v>7</v>
      </c>
      <c r="N42" s="170">
        <v>4320000</v>
      </c>
      <c r="O42" s="175">
        <v>240</v>
      </c>
      <c r="P42" s="7">
        <v>7</v>
      </c>
      <c r="Q42" s="170">
        <v>5360000</v>
      </c>
      <c r="R42" s="175">
        <v>168</v>
      </c>
      <c r="S42" s="156"/>
      <c r="T42" s="156"/>
      <c r="U42" s="156"/>
      <c r="V42" s="176">
        <v>7</v>
      </c>
      <c r="W42" s="181">
        <v>3500000</v>
      </c>
      <c r="X42" s="171">
        <v>288</v>
      </c>
      <c r="Y42" s="156"/>
      <c r="Z42" s="156"/>
      <c r="AA42" s="156"/>
      <c r="AB42" s="156"/>
      <c r="AC42" s="156"/>
      <c r="AD42" s="156"/>
      <c r="AH42" s="156"/>
      <c r="AI42" s="156"/>
      <c r="AJ42" s="156"/>
      <c r="AK42" s="156"/>
      <c r="AL42" s="156"/>
      <c r="AM42" s="156"/>
      <c r="AN42" s="156"/>
    </row>
    <row r="43" spans="1:40" s="141" customFormat="1" ht="12" thickBot="1">
      <c r="A43" s="7">
        <v>8</v>
      </c>
      <c r="B43" s="170">
        <v>500000</v>
      </c>
      <c r="C43" s="169">
        <v>0</v>
      </c>
      <c r="D43" s="7">
        <v>8</v>
      </c>
      <c r="E43" s="170">
        <v>400000</v>
      </c>
      <c r="F43" s="169">
        <v>48</v>
      </c>
      <c r="G43" s="7">
        <v>8</v>
      </c>
      <c r="H43" s="170">
        <v>720000</v>
      </c>
      <c r="I43" s="169">
        <v>72</v>
      </c>
      <c r="J43" s="188">
        <v>8</v>
      </c>
      <c r="K43" s="179">
        <v>6400000</v>
      </c>
      <c r="L43" s="171">
        <v>240</v>
      </c>
      <c r="M43" s="8">
        <v>8</v>
      </c>
      <c r="N43" s="549">
        <v>7560000</v>
      </c>
      <c r="O43" s="460">
        <v>288</v>
      </c>
      <c r="P43" s="176">
        <v>8</v>
      </c>
      <c r="Q43" s="500">
        <v>6400000</v>
      </c>
      <c r="R43" s="501">
        <v>240</v>
      </c>
      <c r="S43" s="156"/>
      <c r="T43" s="156"/>
      <c r="U43" s="156"/>
      <c r="V43" s="176">
        <v>8</v>
      </c>
      <c r="W43" s="181">
        <v>5000000</v>
      </c>
      <c r="X43" s="171">
        <v>336</v>
      </c>
      <c r="Y43" s="156"/>
      <c r="Z43" s="156"/>
      <c r="AA43" s="156"/>
      <c r="AE43" s="156"/>
      <c r="AF43" s="156"/>
      <c r="AG43" s="156"/>
      <c r="AH43" s="156"/>
      <c r="AI43" s="156"/>
      <c r="AJ43" s="156"/>
      <c r="AK43" s="156"/>
      <c r="AL43" s="156"/>
      <c r="AM43" s="156"/>
      <c r="AN43" s="156"/>
    </row>
    <row r="44" spans="1:40">
      <c r="A44" s="7">
        <v>9</v>
      </c>
      <c r="B44" s="639">
        <v>1000000</v>
      </c>
      <c r="C44" s="53">
        <v>0</v>
      </c>
      <c r="D44" s="7">
        <v>9</v>
      </c>
      <c r="E44" s="24">
        <v>800000</v>
      </c>
      <c r="F44" s="53">
        <v>72</v>
      </c>
      <c r="G44" s="7">
        <v>9</v>
      </c>
      <c r="H44" s="24">
        <v>1500000</v>
      </c>
      <c r="I44" s="53">
        <v>96</v>
      </c>
      <c r="P44" s="176">
        <v>9</v>
      </c>
      <c r="Q44" s="500">
        <v>8560000</v>
      </c>
      <c r="R44" s="501">
        <v>288</v>
      </c>
    </row>
    <row r="45" spans="1:40">
      <c r="A45" s="7">
        <v>10</v>
      </c>
      <c r="B45" s="639">
        <v>3000000</v>
      </c>
      <c r="C45" s="53">
        <v>0</v>
      </c>
      <c r="D45" s="7">
        <v>10</v>
      </c>
      <c r="E45" s="24">
        <v>1600000</v>
      </c>
      <c r="F45" s="53">
        <v>96</v>
      </c>
      <c r="G45" s="7">
        <v>10</v>
      </c>
      <c r="H45" s="24">
        <v>2500000</v>
      </c>
      <c r="I45" s="53">
        <v>120</v>
      </c>
      <c r="L45" s="518"/>
    </row>
    <row r="46" spans="1:40" ht="12" thickBot="1">
      <c r="A46" s="8">
        <v>11</v>
      </c>
      <c r="B46" s="640">
        <v>4000000</v>
      </c>
      <c r="C46" s="54">
        <v>0</v>
      </c>
      <c r="D46" s="7">
        <v>11</v>
      </c>
      <c r="E46" s="25">
        <v>3200000</v>
      </c>
      <c r="F46" s="54">
        <v>120</v>
      </c>
      <c r="G46" s="8">
        <v>11</v>
      </c>
      <c r="H46" s="25">
        <v>4500000</v>
      </c>
      <c r="I46" s="54">
        <v>144</v>
      </c>
      <c r="L46" s="518"/>
    </row>
    <row r="47" spans="1:40">
      <c r="D47" s="7">
        <v>12</v>
      </c>
      <c r="E47" s="181">
        <v>6400000</v>
      </c>
      <c r="F47" s="171">
        <v>144</v>
      </c>
      <c r="G47" s="188">
        <v>12</v>
      </c>
      <c r="H47" s="25">
        <v>6500000</v>
      </c>
      <c r="I47" s="54">
        <v>168</v>
      </c>
    </row>
    <row r="48" spans="1:40">
      <c r="D48" s="7">
        <v>13</v>
      </c>
      <c r="E48" s="181">
        <v>7500000</v>
      </c>
      <c r="F48" s="171">
        <v>168</v>
      </c>
      <c r="G48" s="188">
        <v>13</v>
      </c>
      <c r="H48" s="25">
        <v>7500000</v>
      </c>
      <c r="I48" s="54">
        <v>192</v>
      </c>
    </row>
    <row r="51" spans="1:27" ht="30" customHeight="1" thickBot="1">
      <c r="A51" s="1027" t="s">
        <v>669</v>
      </c>
      <c r="B51" s="1028"/>
      <c r="C51" s="1028"/>
      <c r="D51" s="1028"/>
      <c r="E51" s="1028"/>
      <c r="F51" s="1028"/>
      <c r="G51" s="1028"/>
      <c r="H51" s="1028"/>
      <c r="I51" s="1028"/>
      <c r="J51" s="1028"/>
      <c r="K51" s="1028"/>
      <c r="L51" s="1028"/>
      <c r="M51" s="1028"/>
      <c r="N51" s="1028"/>
      <c r="O51" s="1028"/>
      <c r="P51" s="1028"/>
      <c r="Q51" s="1028"/>
      <c r="R51" s="1028"/>
    </row>
    <row r="52" spans="1:27" ht="12" thickBot="1">
      <c r="A52" s="1285" t="s">
        <v>561</v>
      </c>
      <c r="B52" s="1286"/>
      <c r="C52" s="1287"/>
      <c r="D52" s="1289" t="s">
        <v>559</v>
      </c>
      <c r="E52" s="1289"/>
      <c r="F52" s="1290"/>
      <c r="G52" s="1288" t="s">
        <v>558</v>
      </c>
      <c r="H52" s="1289"/>
      <c r="I52" s="1290"/>
      <c r="J52" s="1288" t="s">
        <v>560</v>
      </c>
      <c r="K52" s="1289"/>
      <c r="L52" s="1290"/>
      <c r="M52" s="1288" t="s">
        <v>562</v>
      </c>
      <c r="N52" s="1289"/>
      <c r="O52" s="1290"/>
      <c r="P52" s="1288" t="s">
        <v>564</v>
      </c>
      <c r="Q52" s="1289"/>
      <c r="R52" s="1290"/>
    </row>
    <row r="53" spans="1:27" ht="12" thickBot="1">
      <c r="A53" s="550" t="s">
        <v>17</v>
      </c>
      <c r="B53" s="551" t="s">
        <v>258</v>
      </c>
      <c r="C53" s="552" t="s">
        <v>259</v>
      </c>
      <c r="D53" s="547" t="s">
        <v>17</v>
      </c>
      <c r="E53" s="165" t="s">
        <v>258</v>
      </c>
      <c r="F53" s="166" t="s">
        <v>259</v>
      </c>
      <c r="G53" s="161" t="s">
        <v>17</v>
      </c>
      <c r="H53" s="165" t="s">
        <v>258</v>
      </c>
      <c r="I53" s="166" t="s">
        <v>259</v>
      </c>
      <c r="J53" s="547" t="s">
        <v>17</v>
      </c>
      <c r="K53" s="165" t="s">
        <v>258</v>
      </c>
      <c r="L53" s="166" t="s">
        <v>259</v>
      </c>
      <c r="M53" s="547" t="s">
        <v>17</v>
      </c>
      <c r="N53" s="165" t="s">
        <v>258</v>
      </c>
      <c r="O53" s="166" t="s">
        <v>259</v>
      </c>
      <c r="P53" s="547" t="s">
        <v>17</v>
      </c>
      <c r="Q53" s="165" t="s">
        <v>258</v>
      </c>
      <c r="R53" s="166" t="s">
        <v>259</v>
      </c>
    </row>
    <row r="54" spans="1:27">
      <c r="A54" s="13">
        <v>1</v>
      </c>
      <c r="B54" s="168">
        <v>400</v>
      </c>
      <c r="C54" s="548">
        <v>0</v>
      </c>
      <c r="D54" s="13">
        <v>1</v>
      </c>
      <c r="E54" s="168">
        <v>2000</v>
      </c>
      <c r="F54" s="167">
        <v>0</v>
      </c>
      <c r="G54" s="7">
        <v>1</v>
      </c>
      <c r="H54" s="168">
        <v>12500</v>
      </c>
      <c r="I54" s="167">
        <v>0</v>
      </c>
      <c r="J54" s="13">
        <v>1</v>
      </c>
      <c r="K54" s="517">
        <v>4000</v>
      </c>
      <c r="L54" s="519">
        <v>0</v>
      </c>
      <c r="M54" s="13">
        <v>1</v>
      </c>
      <c r="N54" s="517">
        <v>15000</v>
      </c>
      <c r="O54" s="519">
        <v>5</v>
      </c>
      <c r="P54" s="13">
        <v>1</v>
      </c>
      <c r="Q54" s="517">
        <v>6000</v>
      </c>
      <c r="R54" s="519">
        <v>0</v>
      </c>
    </row>
    <row r="55" spans="1:27">
      <c r="A55" s="13">
        <v>2</v>
      </c>
      <c r="B55" s="170">
        <v>1000</v>
      </c>
      <c r="C55" s="175">
        <v>0.25</v>
      </c>
      <c r="G55" s="7">
        <v>2</v>
      </c>
      <c r="H55" s="168">
        <v>75000</v>
      </c>
      <c r="I55" s="167">
        <v>6</v>
      </c>
      <c r="J55" s="13">
        <v>2</v>
      </c>
      <c r="K55" s="517">
        <v>20000</v>
      </c>
      <c r="L55" s="519">
        <v>4</v>
      </c>
      <c r="M55" s="13">
        <v>2</v>
      </c>
      <c r="N55" s="517">
        <v>2000000</v>
      </c>
      <c r="O55" s="519">
        <v>24</v>
      </c>
      <c r="P55" s="13">
        <v>2</v>
      </c>
      <c r="Q55" s="517">
        <v>600000</v>
      </c>
      <c r="R55" s="519">
        <v>6</v>
      </c>
    </row>
    <row r="56" spans="1:27">
      <c r="A56" s="13">
        <v>3</v>
      </c>
      <c r="B56" s="170">
        <v>10000</v>
      </c>
      <c r="C56" s="175">
        <v>2</v>
      </c>
      <c r="G56" s="7">
        <v>3</v>
      </c>
      <c r="H56" s="168">
        <v>750000</v>
      </c>
      <c r="I56" s="167">
        <v>24</v>
      </c>
      <c r="J56" s="13">
        <v>3</v>
      </c>
      <c r="K56" s="517">
        <v>200000</v>
      </c>
      <c r="L56" s="519">
        <v>12</v>
      </c>
      <c r="M56" s="19">
        <v>3</v>
      </c>
      <c r="N56" s="553">
        <v>4000000</v>
      </c>
      <c r="O56" s="554">
        <v>72</v>
      </c>
      <c r="P56" s="19">
        <v>3</v>
      </c>
      <c r="Q56" s="553">
        <v>1300000</v>
      </c>
      <c r="R56" s="554">
        <v>24</v>
      </c>
    </row>
    <row r="57" spans="1:27">
      <c r="A57" s="13">
        <v>4</v>
      </c>
      <c r="B57" s="170">
        <v>100000</v>
      </c>
      <c r="C57" s="175">
        <v>8</v>
      </c>
      <c r="G57" s="7">
        <v>4</v>
      </c>
      <c r="H57" s="168">
        <v>2500000</v>
      </c>
      <c r="I57" s="167">
        <v>72</v>
      </c>
      <c r="J57" s="19">
        <v>4</v>
      </c>
      <c r="K57" s="553">
        <v>1500000</v>
      </c>
      <c r="L57" s="554">
        <v>24</v>
      </c>
    </row>
    <row r="58" spans="1:27">
      <c r="A58" s="13">
        <v>5</v>
      </c>
      <c r="B58" s="170">
        <v>1000000</v>
      </c>
      <c r="C58" s="175">
        <v>24</v>
      </c>
    </row>
    <row r="59" spans="1:27">
      <c r="A59" s="13">
        <v>6</v>
      </c>
      <c r="B59" s="170">
        <v>1500000</v>
      </c>
      <c r="C59" s="175">
        <v>48</v>
      </c>
    </row>
    <row r="61" spans="1:27" ht="12" thickBot="1"/>
    <row r="62" spans="1:27" ht="30" customHeight="1" thickBot="1">
      <c r="A62" s="1272" t="s">
        <v>376</v>
      </c>
      <c r="B62" s="1273"/>
      <c r="C62" s="1273"/>
      <c r="D62" s="1273"/>
      <c r="E62" s="1273"/>
      <c r="F62" s="1274"/>
    </row>
    <row r="63" spans="1:27" ht="12" customHeight="1" thickBot="1">
      <c r="A63" s="1282" t="s">
        <v>198</v>
      </c>
      <c r="B63" s="1283"/>
      <c r="C63" s="1284"/>
      <c r="D63" s="1282" t="s">
        <v>197</v>
      </c>
      <c r="E63" s="1283"/>
      <c r="F63" s="1284"/>
      <c r="Y63" s="518"/>
      <c r="Z63" s="518"/>
      <c r="AA63" s="518"/>
    </row>
    <row r="64" spans="1:27" ht="12" thickBot="1">
      <c r="A64" s="161" t="s">
        <v>17</v>
      </c>
      <c r="B64" s="162" t="s">
        <v>258</v>
      </c>
      <c r="C64" s="163" t="s">
        <v>259</v>
      </c>
      <c r="D64" s="161" t="s">
        <v>17</v>
      </c>
      <c r="E64" s="162" t="s">
        <v>258</v>
      </c>
      <c r="F64" s="163" t="s">
        <v>259</v>
      </c>
      <c r="Y64" s="518"/>
      <c r="Z64" s="518"/>
      <c r="AA64" s="518"/>
    </row>
    <row r="65" spans="1:15">
      <c r="A65" s="7">
        <v>1</v>
      </c>
      <c r="B65" s="168">
        <v>40000</v>
      </c>
      <c r="C65" s="167">
        <v>0</v>
      </c>
      <c r="D65" s="7">
        <v>1</v>
      </c>
      <c r="E65" s="168">
        <v>0</v>
      </c>
      <c r="F65" s="167">
        <v>0</v>
      </c>
    </row>
    <row r="66" spans="1:15">
      <c r="A66" s="7">
        <v>2</v>
      </c>
      <c r="B66" s="170">
        <v>100000</v>
      </c>
      <c r="C66" s="169">
        <v>6</v>
      </c>
      <c r="D66" s="7">
        <v>2</v>
      </c>
      <c r="E66" s="170">
        <v>1000</v>
      </c>
      <c r="F66" s="169">
        <f>5/60</f>
        <v>8.3333333333333329E-2</v>
      </c>
    </row>
    <row r="67" spans="1:15">
      <c r="A67" s="7">
        <v>3</v>
      </c>
      <c r="B67" s="170">
        <v>800000</v>
      </c>
      <c r="C67" s="169">
        <v>24</v>
      </c>
      <c r="D67" s="7">
        <v>3</v>
      </c>
      <c r="E67" s="170">
        <v>4000</v>
      </c>
      <c r="F67" s="169">
        <v>3</v>
      </c>
    </row>
    <row r="68" spans="1:15">
      <c r="A68" s="7">
        <v>4</v>
      </c>
      <c r="B68" s="170">
        <v>1800000</v>
      </c>
      <c r="C68" s="169">
        <v>48</v>
      </c>
      <c r="D68" s="7">
        <v>4</v>
      </c>
      <c r="E68" s="170">
        <v>25000</v>
      </c>
      <c r="F68" s="169">
        <v>24</v>
      </c>
    </row>
    <row r="69" spans="1:15">
      <c r="A69" s="454">
        <v>5</v>
      </c>
      <c r="B69" s="503">
        <v>5000000</v>
      </c>
      <c r="C69" s="169">
        <v>168</v>
      </c>
      <c r="D69" s="7">
        <v>5</v>
      </c>
      <c r="E69" s="170">
        <v>150000</v>
      </c>
      <c r="F69" s="169">
        <v>48</v>
      </c>
    </row>
    <row r="70" spans="1:15">
      <c r="A70" s="7">
        <v>6</v>
      </c>
      <c r="B70" s="170">
        <v>7000000</v>
      </c>
      <c r="C70" s="169">
        <v>336</v>
      </c>
      <c r="D70" s="7">
        <v>6</v>
      </c>
      <c r="E70" s="180">
        <v>750000</v>
      </c>
      <c r="F70" s="169">
        <v>96</v>
      </c>
    </row>
    <row r="71" spans="1:15">
      <c r="D71" s="7">
        <v>7</v>
      </c>
      <c r="E71" s="180">
        <v>1200000</v>
      </c>
      <c r="F71" s="169">
        <v>144</v>
      </c>
    </row>
    <row r="72" spans="1:15">
      <c r="D72" s="7">
        <v>8</v>
      </c>
      <c r="E72" s="180">
        <v>2000000</v>
      </c>
      <c r="F72" s="169">
        <v>192</v>
      </c>
    </row>
    <row r="73" spans="1:15">
      <c r="D73" s="7">
        <v>9</v>
      </c>
      <c r="E73" s="180">
        <v>3000000</v>
      </c>
      <c r="F73" s="169">
        <v>240</v>
      </c>
    </row>
    <row r="74" spans="1:15">
      <c r="D74" s="7">
        <v>10</v>
      </c>
      <c r="E74" s="181">
        <v>4000000</v>
      </c>
      <c r="F74" s="171">
        <v>288</v>
      </c>
    </row>
    <row r="75" spans="1:15">
      <c r="D75" s="188">
        <v>11</v>
      </c>
      <c r="E75" s="181">
        <v>7000000</v>
      </c>
      <c r="F75" s="171">
        <v>336</v>
      </c>
    </row>
    <row r="76" spans="1:15" ht="12" thickBot="1"/>
    <row r="77" spans="1:15" ht="30" customHeight="1" thickBot="1">
      <c r="A77" s="1272" t="s">
        <v>377</v>
      </c>
      <c r="B77" s="1273"/>
      <c r="C77" s="1273"/>
      <c r="D77" s="1273"/>
      <c r="E77" s="1273"/>
      <c r="F77" s="1273"/>
      <c r="G77" s="1273"/>
      <c r="H77" s="1273"/>
      <c r="I77" s="1273"/>
      <c r="J77" s="1273"/>
      <c r="K77" s="1273"/>
      <c r="L77" s="1273"/>
      <c r="M77" s="1273"/>
      <c r="N77" s="1273"/>
      <c r="O77" s="1274"/>
    </row>
    <row r="78" spans="1:15" ht="12" customHeight="1" thickBot="1">
      <c r="A78" s="1282" t="s">
        <v>190</v>
      </c>
      <c r="B78" s="1283"/>
      <c r="C78" s="1284"/>
      <c r="D78" s="1282" t="s">
        <v>191</v>
      </c>
      <c r="E78" s="1283"/>
      <c r="F78" s="1284"/>
      <c r="G78" s="1282" t="s">
        <v>192</v>
      </c>
      <c r="H78" s="1283"/>
      <c r="I78" s="1284"/>
      <c r="J78" s="1282" t="s">
        <v>193</v>
      </c>
      <c r="K78" s="1283"/>
      <c r="L78" s="1284"/>
      <c r="M78" s="1282" t="s">
        <v>194</v>
      </c>
      <c r="N78" s="1283"/>
      <c r="O78" s="1284"/>
    </row>
    <row r="79" spans="1:15" ht="12" customHeight="1" thickBot="1">
      <c r="A79" s="182" t="s">
        <v>17</v>
      </c>
      <c r="B79" s="165" t="s">
        <v>258</v>
      </c>
      <c r="C79" s="183" t="s">
        <v>259</v>
      </c>
      <c r="D79" s="182" t="s">
        <v>17</v>
      </c>
      <c r="E79" s="165" t="s">
        <v>258</v>
      </c>
      <c r="F79" s="183" t="s">
        <v>259</v>
      </c>
      <c r="G79" s="182" t="s">
        <v>17</v>
      </c>
      <c r="H79" s="165" t="s">
        <v>258</v>
      </c>
      <c r="I79" s="183" t="s">
        <v>259</v>
      </c>
      <c r="J79" s="182" t="s">
        <v>17</v>
      </c>
      <c r="K79" s="165" t="s">
        <v>258</v>
      </c>
      <c r="L79" s="166" t="s">
        <v>259</v>
      </c>
      <c r="M79" s="161" t="s">
        <v>17</v>
      </c>
      <c r="N79" s="162" t="s">
        <v>258</v>
      </c>
      <c r="O79" s="163" t="s">
        <v>259</v>
      </c>
    </row>
    <row r="80" spans="1:15">
      <c r="A80" s="7">
        <v>1</v>
      </c>
      <c r="B80" s="399">
        <v>0</v>
      </c>
      <c r="C80" s="167">
        <v>0</v>
      </c>
      <c r="D80" s="7">
        <v>1</v>
      </c>
      <c r="E80" s="399">
        <v>0</v>
      </c>
      <c r="F80" s="167">
        <v>0</v>
      </c>
      <c r="G80" s="7">
        <v>1</v>
      </c>
      <c r="H80" s="399">
        <v>0</v>
      </c>
      <c r="I80" s="167">
        <v>0</v>
      </c>
      <c r="J80" s="7">
        <v>1</v>
      </c>
      <c r="K80" s="399">
        <v>0</v>
      </c>
      <c r="L80" s="167">
        <v>0</v>
      </c>
      <c r="M80" s="145">
        <v>1</v>
      </c>
      <c r="N80" s="399">
        <v>0</v>
      </c>
      <c r="O80" s="253">
        <v>0</v>
      </c>
    </row>
    <row r="81" spans="1:30">
      <c r="A81" s="7">
        <v>2</v>
      </c>
      <c r="B81" s="400">
        <v>200000</v>
      </c>
      <c r="C81" s="169">
        <v>24</v>
      </c>
      <c r="D81" s="7">
        <v>2</v>
      </c>
      <c r="E81" s="400">
        <v>300000</v>
      </c>
      <c r="F81" s="169">
        <v>24</v>
      </c>
      <c r="G81" s="7">
        <v>2</v>
      </c>
      <c r="H81" s="400">
        <v>450000</v>
      </c>
      <c r="I81" s="169">
        <v>48</v>
      </c>
      <c r="J81" s="176">
        <v>2</v>
      </c>
      <c r="K81" s="403">
        <v>3000000</v>
      </c>
      <c r="L81" s="171">
        <v>120</v>
      </c>
      <c r="M81" s="7">
        <v>2</v>
      </c>
      <c r="N81" s="400">
        <v>4000000</v>
      </c>
      <c r="O81" s="252">
        <v>120</v>
      </c>
    </row>
    <row r="82" spans="1:30">
      <c r="A82" s="7">
        <v>3</v>
      </c>
      <c r="B82" s="400">
        <v>500000</v>
      </c>
      <c r="C82" s="169">
        <v>48</v>
      </c>
      <c r="D82" s="7">
        <v>3</v>
      </c>
      <c r="E82" s="400">
        <v>600000</v>
      </c>
      <c r="F82" s="169">
        <v>48</v>
      </c>
      <c r="G82" s="7">
        <v>3</v>
      </c>
      <c r="H82" s="400">
        <v>900000</v>
      </c>
      <c r="I82" s="169">
        <v>72</v>
      </c>
      <c r="J82" s="176">
        <v>3</v>
      </c>
      <c r="K82" s="403">
        <v>6000000</v>
      </c>
      <c r="L82" s="171">
        <v>168</v>
      </c>
      <c r="M82" s="184">
        <v>3</v>
      </c>
      <c r="N82" s="516">
        <v>5000000</v>
      </c>
      <c r="O82" s="185">
        <v>168</v>
      </c>
    </row>
    <row r="83" spans="1:30">
      <c r="A83" s="184">
        <v>4</v>
      </c>
      <c r="B83" s="407">
        <v>1000000</v>
      </c>
      <c r="C83" s="185">
        <v>72</v>
      </c>
      <c r="D83" s="184">
        <v>4</v>
      </c>
      <c r="E83" s="407">
        <v>1200000</v>
      </c>
      <c r="F83" s="185">
        <v>72</v>
      </c>
      <c r="G83" s="184">
        <v>4</v>
      </c>
      <c r="H83" s="407">
        <v>1800000</v>
      </c>
      <c r="I83" s="185">
        <v>120</v>
      </c>
      <c r="M83" s="186">
        <v>4</v>
      </c>
      <c r="N83" s="407">
        <v>6500000</v>
      </c>
      <c r="O83" s="187">
        <v>240</v>
      </c>
    </row>
    <row r="84" spans="1:30">
      <c r="A84" s="186">
        <v>5</v>
      </c>
      <c r="B84" s="408">
        <v>2000000</v>
      </c>
      <c r="C84" s="187">
        <v>96</v>
      </c>
      <c r="D84" s="186">
        <v>5</v>
      </c>
      <c r="E84" s="408">
        <v>2400000</v>
      </c>
      <c r="F84" s="187">
        <v>120</v>
      </c>
      <c r="G84" s="186">
        <v>5</v>
      </c>
      <c r="H84" s="408">
        <v>3000000</v>
      </c>
      <c r="I84" s="187">
        <v>168</v>
      </c>
      <c r="M84" s="186">
        <v>5</v>
      </c>
      <c r="N84" s="408">
        <v>8000000</v>
      </c>
      <c r="O84" s="187">
        <v>336</v>
      </c>
    </row>
    <row r="85" spans="1:30">
      <c r="A85" s="186">
        <v>6</v>
      </c>
      <c r="B85" s="403">
        <v>6000000</v>
      </c>
      <c r="C85" s="171">
        <v>240</v>
      </c>
      <c r="D85" s="188">
        <v>6</v>
      </c>
      <c r="E85" s="403">
        <v>4800000</v>
      </c>
      <c r="F85" s="171">
        <v>168</v>
      </c>
    </row>
    <row r="86" spans="1:30">
      <c r="A86" s="186">
        <v>7</v>
      </c>
      <c r="B86" s="403">
        <v>8000000</v>
      </c>
      <c r="C86" s="171">
        <v>336</v>
      </c>
    </row>
    <row r="88" spans="1:30" ht="12" thickBot="1"/>
    <row r="89" spans="1:30" ht="30" customHeight="1" thickBot="1">
      <c r="A89" s="1272" t="s">
        <v>378</v>
      </c>
      <c r="B89" s="1273"/>
      <c r="C89" s="1273"/>
      <c r="D89" s="1273"/>
      <c r="E89" s="1273"/>
      <c r="F89" s="1273"/>
      <c r="G89" s="1273"/>
      <c r="H89" s="1273"/>
      <c r="I89" s="1273"/>
      <c r="J89" s="1273"/>
      <c r="K89" s="1273"/>
      <c r="L89" s="1273"/>
      <c r="M89" s="1273"/>
      <c r="N89" s="1273"/>
      <c r="O89" s="1273"/>
      <c r="P89" s="1273"/>
      <c r="Q89" s="1273"/>
      <c r="R89" s="1273"/>
      <c r="S89" s="1273"/>
      <c r="T89" s="1273"/>
      <c r="U89" s="1273"/>
      <c r="V89" s="1273"/>
      <c r="W89" s="1273"/>
      <c r="X89" s="1273"/>
      <c r="Y89" s="1273"/>
      <c r="Z89" s="1273"/>
      <c r="AA89" s="1273"/>
      <c r="AB89" s="1273"/>
      <c r="AC89" s="1273"/>
      <c r="AD89" s="1274"/>
    </row>
    <row r="90" spans="1:30" ht="12" customHeight="1" thickBot="1">
      <c r="A90" s="1282" t="s">
        <v>195</v>
      </c>
      <c r="B90" s="1283"/>
      <c r="C90" s="1284"/>
      <c r="D90" s="1282" t="s">
        <v>50</v>
      </c>
      <c r="E90" s="1283"/>
      <c r="F90" s="1284"/>
      <c r="G90" s="1282" t="s">
        <v>189</v>
      </c>
      <c r="H90" s="1283"/>
      <c r="I90" s="1284"/>
      <c r="J90" s="1282" t="s">
        <v>188</v>
      </c>
      <c r="K90" s="1283"/>
      <c r="L90" s="1284"/>
      <c r="M90" s="1288" t="s">
        <v>187</v>
      </c>
      <c r="N90" s="1289"/>
      <c r="O90" s="1290"/>
      <c r="P90" s="1288" t="s">
        <v>186</v>
      </c>
      <c r="Q90" s="1289"/>
      <c r="R90" s="1290"/>
      <c r="S90" s="1282" t="s">
        <v>185</v>
      </c>
      <c r="T90" s="1283"/>
      <c r="U90" s="1284"/>
      <c r="V90" s="1282" t="s">
        <v>184</v>
      </c>
      <c r="W90" s="1283"/>
      <c r="X90" s="1284"/>
      <c r="Y90" s="1282" t="s">
        <v>57</v>
      </c>
      <c r="Z90" s="1283"/>
      <c r="AA90" s="1284"/>
      <c r="AB90" s="1282" t="s">
        <v>58</v>
      </c>
      <c r="AC90" s="1283"/>
      <c r="AD90" s="1284"/>
    </row>
    <row r="91" spans="1:30" ht="12" customHeight="1" thickBot="1">
      <c r="A91" s="161" t="s">
        <v>17</v>
      </c>
      <c r="B91" s="162" t="s">
        <v>258</v>
      </c>
      <c r="C91" s="163" t="s">
        <v>259</v>
      </c>
      <c r="D91" s="161" t="s">
        <v>17</v>
      </c>
      <c r="E91" s="162" t="s">
        <v>258</v>
      </c>
      <c r="F91" s="163" t="s">
        <v>259</v>
      </c>
      <c r="G91" s="161" t="s">
        <v>17</v>
      </c>
      <c r="H91" s="162" t="s">
        <v>258</v>
      </c>
      <c r="I91" s="163" t="s">
        <v>259</v>
      </c>
      <c r="J91" s="164" t="s">
        <v>17</v>
      </c>
      <c r="K91" s="165" t="s">
        <v>258</v>
      </c>
      <c r="L91" s="166" t="s">
        <v>259</v>
      </c>
      <c r="M91" s="161" t="s">
        <v>17</v>
      </c>
      <c r="N91" s="165" t="s">
        <v>258</v>
      </c>
      <c r="O91" s="166" t="s">
        <v>259</v>
      </c>
      <c r="P91" s="164" t="s">
        <v>17</v>
      </c>
      <c r="Q91" s="165" t="s">
        <v>258</v>
      </c>
      <c r="R91" s="166" t="s">
        <v>259</v>
      </c>
      <c r="S91" s="161" t="s">
        <v>17</v>
      </c>
      <c r="T91" s="162" t="s">
        <v>258</v>
      </c>
      <c r="U91" s="163" t="s">
        <v>259</v>
      </c>
      <c r="V91" s="161" t="s">
        <v>17</v>
      </c>
      <c r="W91" s="162" t="s">
        <v>258</v>
      </c>
      <c r="X91" s="163" t="s">
        <v>259</v>
      </c>
      <c r="Y91" s="161" t="s">
        <v>17</v>
      </c>
      <c r="Z91" s="162" t="s">
        <v>258</v>
      </c>
      <c r="AA91" s="163" t="s">
        <v>259</v>
      </c>
      <c r="AB91" s="161" t="s">
        <v>17</v>
      </c>
      <c r="AC91" s="162" t="s">
        <v>258</v>
      </c>
      <c r="AD91" s="163" t="s">
        <v>259</v>
      </c>
    </row>
    <row r="92" spans="1:30">
      <c r="A92" s="7">
        <v>1</v>
      </c>
      <c r="B92" s="399">
        <v>0</v>
      </c>
      <c r="C92" s="167">
        <v>0</v>
      </c>
      <c r="D92" s="7">
        <v>1</v>
      </c>
      <c r="E92" s="399">
        <v>0</v>
      </c>
      <c r="F92" s="167">
        <v>0</v>
      </c>
      <c r="G92" s="7">
        <v>1</v>
      </c>
      <c r="H92" s="399">
        <v>0</v>
      </c>
      <c r="I92" s="167">
        <v>0</v>
      </c>
      <c r="J92" s="7">
        <v>1</v>
      </c>
      <c r="K92" s="399">
        <v>0</v>
      </c>
      <c r="L92" s="167">
        <v>0</v>
      </c>
      <c r="M92" s="7">
        <v>1</v>
      </c>
      <c r="N92" s="399">
        <v>0</v>
      </c>
      <c r="O92" s="167">
        <v>0</v>
      </c>
      <c r="P92" s="7">
        <v>1</v>
      </c>
      <c r="Q92" s="399">
        <v>0</v>
      </c>
      <c r="R92" s="167">
        <v>0</v>
      </c>
      <c r="S92" s="7">
        <v>1</v>
      </c>
      <c r="T92" s="399">
        <v>0</v>
      </c>
      <c r="U92" s="167">
        <v>0</v>
      </c>
      <c r="V92" s="7">
        <v>1</v>
      </c>
      <c r="W92" s="399">
        <v>0</v>
      </c>
      <c r="X92" s="167">
        <v>0</v>
      </c>
      <c r="Y92" s="7">
        <v>1</v>
      </c>
      <c r="Z92" s="399">
        <v>0</v>
      </c>
      <c r="AA92" s="167">
        <v>0</v>
      </c>
      <c r="AB92" s="7">
        <v>1</v>
      </c>
      <c r="AC92" s="399">
        <v>0</v>
      </c>
      <c r="AD92" s="167">
        <v>0</v>
      </c>
    </row>
    <row r="93" spans="1:30">
      <c r="A93" s="7">
        <v>2</v>
      </c>
      <c r="B93" s="400">
        <v>50000</v>
      </c>
      <c r="C93" s="169">
        <v>6</v>
      </c>
      <c r="D93" s="7">
        <v>2</v>
      </c>
      <c r="E93" s="400">
        <v>50000</v>
      </c>
      <c r="F93" s="169">
        <v>12</v>
      </c>
      <c r="G93" s="7">
        <v>2</v>
      </c>
      <c r="H93" s="400">
        <v>50000</v>
      </c>
      <c r="I93" s="169">
        <v>12</v>
      </c>
      <c r="J93" s="7">
        <v>2</v>
      </c>
      <c r="K93" s="400">
        <v>100000</v>
      </c>
      <c r="L93" s="169">
        <v>24</v>
      </c>
      <c r="M93" s="7">
        <v>2</v>
      </c>
      <c r="N93" s="400">
        <v>100000</v>
      </c>
      <c r="O93" s="169">
        <v>24</v>
      </c>
      <c r="P93" s="7">
        <v>2</v>
      </c>
      <c r="Q93" s="400">
        <v>150000</v>
      </c>
      <c r="R93" s="169">
        <v>24</v>
      </c>
      <c r="S93" s="7">
        <v>2</v>
      </c>
      <c r="T93" s="400">
        <v>150000</v>
      </c>
      <c r="U93" s="169">
        <v>24</v>
      </c>
      <c r="V93" s="7">
        <v>2</v>
      </c>
      <c r="W93" s="400">
        <v>750000</v>
      </c>
      <c r="X93" s="169">
        <v>72</v>
      </c>
      <c r="Y93" s="7">
        <v>2</v>
      </c>
      <c r="Z93" s="400">
        <v>2000000</v>
      </c>
      <c r="AA93" s="169">
        <v>168</v>
      </c>
      <c r="AB93" s="7">
        <v>2</v>
      </c>
      <c r="AC93" s="400">
        <v>3000000</v>
      </c>
      <c r="AD93" s="169">
        <v>240</v>
      </c>
    </row>
    <row r="94" spans="1:30">
      <c r="A94" s="7">
        <v>3</v>
      </c>
      <c r="B94" s="400">
        <v>150000</v>
      </c>
      <c r="C94" s="169">
        <v>24</v>
      </c>
      <c r="D94" s="7">
        <v>3</v>
      </c>
      <c r="E94" s="400">
        <v>250000</v>
      </c>
      <c r="F94" s="169">
        <v>48</v>
      </c>
      <c r="G94" s="7">
        <v>3</v>
      </c>
      <c r="H94" s="400">
        <v>250000</v>
      </c>
      <c r="I94" s="169">
        <v>48</v>
      </c>
      <c r="J94" s="7">
        <v>3</v>
      </c>
      <c r="K94" s="400">
        <v>250000</v>
      </c>
      <c r="L94" s="169">
        <v>48</v>
      </c>
      <c r="M94" s="7">
        <v>3</v>
      </c>
      <c r="N94" s="400">
        <v>250000</v>
      </c>
      <c r="O94" s="169">
        <v>48</v>
      </c>
      <c r="P94" s="7">
        <v>3</v>
      </c>
      <c r="Q94" s="400">
        <v>450000</v>
      </c>
      <c r="R94" s="169">
        <v>48</v>
      </c>
      <c r="S94" s="7">
        <v>3</v>
      </c>
      <c r="T94" s="400">
        <v>450000</v>
      </c>
      <c r="U94" s="169">
        <v>48</v>
      </c>
      <c r="V94" s="7">
        <v>3</v>
      </c>
      <c r="W94" s="400">
        <v>1500000</v>
      </c>
      <c r="X94" s="169">
        <v>120</v>
      </c>
      <c r="Y94" s="7">
        <v>3</v>
      </c>
      <c r="Z94" s="400">
        <v>3000000</v>
      </c>
      <c r="AA94" s="169">
        <v>240</v>
      </c>
      <c r="AB94" s="7">
        <v>3</v>
      </c>
      <c r="AC94" s="400">
        <v>6000000</v>
      </c>
      <c r="AD94" s="169">
        <v>288</v>
      </c>
    </row>
    <row r="95" spans="1:30">
      <c r="A95" s="7">
        <v>4</v>
      </c>
      <c r="B95" s="400">
        <v>500000</v>
      </c>
      <c r="C95" s="169">
        <v>72</v>
      </c>
      <c r="D95" s="7">
        <v>4</v>
      </c>
      <c r="E95" s="400">
        <v>750000</v>
      </c>
      <c r="F95" s="169">
        <v>72</v>
      </c>
      <c r="G95" s="7">
        <v>4</v>
      </c>
      <c r="H95" s="400">
        <v>750000</v>
      </c>
      <c r="I95" s="169">
        <v>72</v>
      </c>
      <c r="J95" s="7">
        <v>4</v>
      </c>
      <c r="K95" s="400">
        <v>750000</v>
      </c>
      <c r="L95" s="169">
        <v>72</v>
      </c>
      <c r="M95" s="7">
        <v>4</v>
      </c>
      <c r="N95" s="400">
        <v>750000</v>
      </c>
      <c r="O95" s="169">
        <v>72</v>
      </c>
      <c r="P95" s="7">
        <v>4</v>
      </c>
      <c r="Q95" s="400">
        <v>1350000</v>
      </c>
      <c r="R95" s="169">
        <v>72</v>
      </c>
      <c r="S95" s="7">
        <v>4</v>
      </c>
      <c r="T95" s="400">
        <v>1350000</v>
      </c>
      <c r="U95" s="169">
        <v>72</v>
      </c>
      <c r="V95" s="7">
        <v>4</v>
      </c>
      <c r="W95" s="400">
        <v>3000000</v>
      </c>
      <c r="X95" s="169">
        <v>168</v>
      </c>
      <c r="Y95" s="7">
        <v>4</v>
      </c>
      <c r="Z95" s="400">
        <v>7000000</v>
      </c>
      <c r="AA95" s="169">
        <v>336</v>
      </c>
      <c r="AB95" s="176">
        <v>4</v>
      </c>
      <c r="AC95" s="403">
        <v>7000000</v>
      </c>
      <c r="AD95" s="171">
        <v>336</v>
      </c>
    </row>
    <row r="96" spans="1:30">
      <c r="A96" s="7">
        <v>5</v>
      </c>
      <c r="B96" s="400">
        <v>1500000</v>
      </c>
      <c r="C96" s="169">
        <v>120</v>
      </c>
      <c r="D96" s="7">
        <v>5</v>
      </c>
      <c r="E96" s="400">
        <v>2250000</v>
      </c>
      <c r="F96" s="169">
        <v>120</v>
      </c>
      <c r="G96" s="7">
        <v>5</v>
      </c>
      <c r="H96" s="400">
        <v>2250000</v>
      </c>
      <c r="I96" s="169">
        <v>120</v>
      </c>
      <c r="J96" s="7">
        <v>5</v>
      </c>
      <c r="K96" s="400">
        <v>2250000</v>
      </c>
      <c r="L96" s="169">
        <v>120</v>
      </c>
      <c r="M96" s="7">
        <v>5</v>
      </c>
      <c r="N96" s="400">
        <v>2250000</v>
      </c>
      <c r="O96" s="169">
        <v>120</v>
      </c>
      <c r="P96" s="7">
        <v>5</v>
      </c>
      <c r="Q96" s="400">
        <v>2500000</v>
      </c>
      <c r="R96" s="169">
        <v>120</v>
      </c>
      <c r="S96" s="7">
        <v>5</v>
      </c>
      <c r="T96" s="400">
        <v>2500000</v>
      </c>
      <c r="U96" s="169">
        <v>120</v>
      </c>
      <c r="Y96" s="454">
        <v>5</v>
      </c>
      <c r="Z96" s="400">
        <v>8000000</v>
      </c>
      <c r="AA96" s="169">
        <v>336</v>
      </c>
      <c r="AB96" s="176">
        <v>5</v>
      </c>
      <c r="AC96" s="403">
        <v>8000000</v>
      </c>
      <c r="AD96" s="171">
        <v>336</v>
      </c>
    </row>
    <row r="97" spans="1:21">
      <c r="A97" s="176">
        <v>6</v>
      </c>
      <c r="B97" s="406">
        <v>4500000</v>
      </c>
      <c r="C97" s="171">
        <v>240</v>
      </c>
      <c r="D97" s="188">
        <v>6</v>
      </c>
      <c r="E97" s="403">
        <v>6000000</v>
      </c>
      <c r="F97" s="171">
        <v>240</v>
      </c>
      <c r="G97" s="188">
        <v>6</v>
      </c>
      <c r="H97" s="403">
        <v>4500000</v>
      </c>
      <c r="I97" s="171">
        <v>240</v>
      </c>
      <c r="J97" s="7">
        <v>6</v>
      </c>
      <c r="K97" s="400">
        <v>6000000</v>
      </c>
      <c r="L97" s="175">
        <v>240</v>
      </c>
      <c r="M97" s="19">
        <v>6</v>
      </c>
      <c r="N97" s="403">
        <v>6750000</v>
      </c>
      <c r="O97" s="171">
        <v>240</v>
      </c>
      <c r="P97" s="7">
        <v>6</v>
      </c>
      <c r="Q97" s="400">
        <v>6000000</v>
      </c>
      <c r="R97" s="169">
        <v>240</v>
      </c>
      <c r="S97" s="7">
        <v>6</v>
      </c>
      <c r="T97" s="400">
        <v>7500000</v>
      </c>
      <c r="U97" s="169">
        <v>336</v>
      </c>
    </row>
    <row r="98" spans="1:21" ht="12" thickBot="1">
      <c r="A98" s="176">
        <v>7</v>
      </c>
      <c r="B98" s="406">
        <v>6000000</v>
      </c>
      <c r="C98" s="171">
        <v>336</v>
      </c>
      <c r="D98" s="8">
        <v>7</v>
      </c>
      <c r="E98" s="403">
        <v>7500000</v>
      </c>
      <c r="F98" s="171">
        <v>336</v>
      </c>
      <c r="J98" s="8">
        <v>7</v>
      </c>
      <c r="K98" s="623">
        <v>7000000</v>
      </c>
      <c r="L98" s="460">
        <v>336</v>
      </c>
    </row>
    <row r="100" spans="1:21" ht="12" thickBot="1"/>
    <row r="101" spans="1:21" ht="30" customHeight="1" thickBot="1">
      <c r="A101" s="1272" t="s">
        <v>709</v>
      </c>
      <c r="B101" s="1273"/>
      <c r="C101" s="1273"/>
      <c r="D101" s="1273"/>
      <c r="E101" s="1273"/>
      <c r="F101" s="1273"/>
      <c r="G101" s="1273"/>
      <c r="H101" s="1273"/>
      <c r="I101" s="1274"/>
    </row>
    <row r="102" spans="1:21" ht="12" customHeight="1" thickBot="1">
      <c r="A102" s="1282" t="s">
        <v>707</v>
      </c>
      <c r="B102" s="1283"/>
      <c r="C102" s="1284"/>
      <c r="D102" s="1282" t="s">
        <v>719</v>
      </c>
      <c r="E102" s="1283"/>
      <c r="F102" s="1284"/>
      <c r="G102" s="1282" t="s">
        <v>708</v>
      </c>
      <c r="H102" s="1283"/>
      <c r="I102" s="1284"/>
    </row>
    <row r="103" spans="1:21" ht="12" customHeight="1" thickBot="1">
      <c r="A103" s="182" t="s">
        <v>17</v>
      </c>
      <c r="B103" s="165" t="s">
        <v>258</v>
      </c>
      <c r="C103" s="183" t="s">
        <v>259</v>
      </c>
      <c r="D103" s="182" t="s">
        <v>17</v>
      </c>
      <c r="E103" s="165" t="s">
        <v>258</v>
      </c>
      <c r="F103" s="183" t="s">
        <v>259</v>
      </c>
      <c r="G103" s="182" t="s">
        <v>17</v>
      </c>
      <c r="H103" s="165" t="s">
        <v>258</v>
      </c>
      <c r="I103" s="183" t="s">
        <v>259</v>
      </c>
    </row>
    <row r="104" spans="1:21">
      <c r="A104" s="7">
        <v>1</v>
      </c>
      <c r="B104" s="172">
        <v>0</v>
      </c>
      <c r="C104" s="167">
        <v>0</v>
      </c>
      <c r="D104" s="7">
        <v>1</v>
      </c>
      <c r="E104" s="172">
        <v>0</v>
      </c>
      <c r="F104" s="167">
        <v>0</v>
      </c>
      <c r="G104" s="7">
        <v>1</v>
      </c>
      <c r="H104" s="172">
        <v>0</v>
      </c>
      <c r="I104" s="167">
        <v>0</v>
      </c>
    </row>
    <row r="105" spans="1:21">
      <c r="A105" s="7">
        <v>2</v>
      </c>
      <c r="B105" s="792">
        <v>25000</v>
      </c>
      <c r="C105" s="169">
        <v>96</v>
      </c>
      <c r="D105" s="7">
        <v>2</v>
      </c>
      <c r="E105" s="792">
        <v>30000</v>
      </c>
      <c r="F105" s="169">
        <v>144</v>
      </c>
      <c r="G105" s="7">
        <v>2</v>
      </c>
      <c r="H105" s="792">
        <v>40000</v>
      </c>
      <c r="I105" s="169">
        <v>144</v>
      </c>
    </row>
    <row r="106" spans="1:21">
      <c r="A106" s="7">
        <v>3</v>
      </c>
      <c r="B106" s="792">
        <v>50000</v>
      </c>
      <c r="C106" s="169">
        <v>144</v>
      </c>
      <c r="D106" s="7">
        <v>3</v>
      </c>
      <c r="E106" s="792">
        <v>60000</v>
      </c>
      <c r="F106" s="169">
        <v>192</v>
      </c>
      <c r="G106" s="7">
        <v>3</v>
      </c>
      <c r="H106" s="792">
        <v>80000</v>
      </c>
      <c r="I106" s="169">
        <v>192</v>
      </c>
    </row>
    <row r="107" spans="1:21">
      <c r="A107" s="184">
        <v>4</v>
      </c>
      <c r="B107" s="792">
        <v>75000</v>
      </c>
      <c r="C107" s="185">
        <v>240</v>
      </c>
      <c r="D107" s="184">
        <v>4</v>
      </c>
      <c r="E107" s="792">
        <v>90000</v>
      </c>
      <c r="F107" s="185">
        <v>288</v>
      </c>
      <c r="G107" s="184">
        <v>4</v>
      </c>
      <c r="H107" s="792">
        <v>100000</v>
      </c>
      <c r="I107" s="185">
        <v>240</v>
      </c>
    </row>
    <row r="109" spans="1:21" ht="12" thickBot="1"/>
    <row r="110" spans="1:21" ht="30" customHeight="1" thickBot="1">
      <c r="A110" s="1272" t="s">
        <v>379</v>
      </c>
      <c r="B110" s="1273"/>
      <c r="C110" s="1273"/>
      <c r="D110" s="1273"/>
      <c r="E110" s="1273"/>
      <c r="F110" s="1273"/>
      <c r="G110" s="1273"/>
      <c r="H110" s="1273"/>
      <c r="I110" s="1273"/>
      <c r="J110" s="1273"/>
      <c r="K110" s="1273"/>
      <c r="L110" s="1273"/>
      <c r="M110" s="1273"/>
      <c r="N110" s="1273"/>
      <c r="O110" s="1273"/>
      <c r="P110" s="1273"/>
      <c r="Q110" s="1273"/>
      <c r="R110" s="1274"/>
    </row>
    <row r="111" spans="1:21" ht="12" customHeight="1" thickBot="1">
      <c r="A111" s="1291" t="s">
        <v>183</v>
      </c>
      <c r="B111" s="1292"/>
      <c r="C111" s="1293"/>
      <c r="D111" s="1291" t="s">
        <v>245</v>
      </c>
      <c r="E111" s="1292"/>
      <c r="F111" s="1293"/>
      <c r="G111" s="1291" t="s">
        <v>66</v>
      </c>
      <c r="H111" s="1292"/>
      <c r="I111" s="1293"/>
      <c r="J111" s="1291" t="s">
        <v>67</v>
      </c>
      <c r="K111" s="1292"/>
      <c r="L111" s="1293"/>
      <c r="M111" s="1291" t="s">
        <v>536</v>
      </c>
      <c r="N111" s="1292"/>
      <c r="O111" s="1293"/>
      <c r="P111" s="1294" t="s">
        <v>573</v>
      </c>
      <c r="Q111" s="1295"/>
      <c r="R111" s="1296"/>
    </row>
    <row r="112" spans="1:21" ht="12" customHeight="1" thickBot="1">
      <c r="A112" s="161" t="s">
        <v>17</v>
      </c>
      <c r="B112" s="162" t="s">
        <v>258</v>
      </c>
      <c r="C112" s="163" t="s">
        <v>259</v>
      </c>
      <c r="D112" s="161" t="s">
        <v>17</v>
      </c>
      <c r="E112" s="162" t="s">
        <v>258</v>
      </c>
      <c r="F112" s="163" t="s">
        <v>259</v>
      </c>
      <c r="G112" s="161" t="s">
        <v>17</v>
      </c>
      <c r="H112" s="162" t="s">
        <v>258</v>
      </c>
      <c r="I112" s="163" t="s">
        <v>259</v>
      </c>
      <c r="J112" s="164" t="s">
        <v>17</v>
      </c>
      <c r="K112" s="165" t="s">
        <v>258</v>
      </c>
      <c r="L112" s="166" t="s">
        <v>259</v>
      </c>
      <c r="M112" s="164" t="s">
        <v>17</v>
      </c>
      <c r="N112" s="165" t="s">
        <v>258</v>
      </c>
      <c r="O112" s="166" t="s">
        <v>259</v>
      </c>
      <c r="P112" s="164" t="s">
        <v>17</v>
      </c>
      <c r="Q112" s="165" t="s">
        <v>258</v>
      </c>
      <c r="R112" s="166" t="s">
        <v>259</v>
      </c>
    </row>
    <row r="113" spans="1:18">
      <c r="A113" s="7">
        <v>1</v>
      </c>
      <c r="B113" s="172">
        <v>0</v>
      </c>
      <c r="C113" s="167">
        <v>0</v>
      </c>
      <c r="D113" s="7">
        <v>1</v>
      </c>
      <c r="E113" s="172">
        <v>0</v>
      </c>
      <c r="F113" s="167">
        <v>0</v>
      </c>
      <c r="G113" s="7">
        <v>1</v>
      </c>
      <c r="H113" s="172">
        <v>0</v>
      </c>
      <c r="I113" s="167">
        <v>0</v>
      </c>
      <c r="J113" s="7">
        <v>1</v>
      </c>
      <c r="K113" s="172">
        <v>0</v>
      </c>
      <c r="L113" s="167">
        <v>0</v>
      </c>
      <c r="M113" s="13">
        <v>1</v>
      </c>
      <c r="N113" s="172">
        <v>0</v>
      </c>
      <c r="O113" s="167">
        <v>0</v>
      </c>
      <c r="P113" s="51">
        <v>1</v>
      </c>
      <c r="Q113" s="521">
        <v>0</v>
      </c>
      <c r="R113" s="174">
        <v>0</v>
      </c>
    </row>
    <row r="114" spans="1:18">
      <c r="A114" s="7">
        <v>2</v>
      </c>
      <c r="B114" s="504">
        <v>10000</v>
      </c>
      <c r="C114" s="169">
        <v>120</v>
      </c>
      <c r="D114" s="7">
        <v>2</v>
      </c>
      <c r="E114" s="173">
        <v>20000</v>
      </c>
      <c r="F114" s="169">
        <v>192</v>
      </c>
      <c r="G114" s="7">
        <v>2</v>
      </c>
      <c r="H114" s="173">
        <v>50000</v>
      </c>
      <c r="I114" s="169">
        <v>240</v>
      </c>
      <c r="J114" s="7">
        <v>2</v>
      </c>
      <c r="K114" s="173">
        <v>60000</v>
      </c>
      <c r="L114" s="169">
        <v>240</v>
      </c>
      <c r="M114" s="13">
        <v>2</v>
      </c>
      <c r="N114" s="446">
        <v>75000</v>
      </c>
      <c r="O114" s="169">
        <v>240</v>
      </c>
      <c r="P114" s="7">
        <v>2</v>
      </c>
      <c r="Q114" s="522">
        <v>60000</v>
      </c>
      <c r="R114" s="175">
        <v>240</v>
      </c>
    </row>
    <row r="115" spans="1:18">
      <c r="A115" s="7">
        <v>3</v>
      </c>
      <c r="B115" s="504">
        <v>20000</v>
      </c>
      <c r="C115" s="169">
        <v>144</v>
      </c>
      <c r="D115" s="7">
        <v>3</v>
      </c>
      <c r="E115" s="173">
        <v>30000</v>
      </c>
      <c r="F115" s="169">
        <v>240</v>
      </c>
      <c r="G115" s="7">
        <v>3</v>
      </c>
      <c r="H115" s="173">
        <v>60000</v>
      </c>
      <c r="I115" s="169">
        <v>288</v>
      </c>
      <c r="J115" s="7">
        <v>3</v>
      </c>
      <c r="K115" s="173">
        <v>70000</v>
      </c>
      <c r="L115" s="169">
        <v>288</v>
      </c>
      <c r="M115" s="13">
        <v>3</v>
      </c>
      <c r="N115" s="952">
        <v>85000</v>
      </c>
      <c r="O115" s="169">
        <v>288</v>
      </c>
      <c r="P115" s="188">
        <v>3</v>
      </c>
      <c r="Q115" s="502">
        <v>70000</v>
      </c>
      <c r="R115" s="501">
        <v>288</v>
      </c>
    </row>
    <row r="116" spans="1:18">
      <c r="A116" s="7">
        <v>4</v>
      </c>
      <c r="B116" s="504">
        <v>30000</v>
      </c>
      <c r="C116" s="169">
        <v>168</v>
      </c>
      <c r="D116" s="7">
        <v>4</v>
      </c>
      <c r="E116" s="173">
        <v>40000</v>
      </c>
      <c r="F116" s="169">
        <v>288</v>
      </c>
      <c r="G116" s="7">
        <v>4</v>
      </c>
      <c r="H116" s="173">
        <v>70000</v>
      </c>
      <c r="I116" s="169">
        <v>336</v>
      </c>
      <c r="J116" s="7">
        <v>4</v>
      </c>
      <c r="K116" s="173">
        <v>80000</v>
      </c>
      <c r="L116" s="169">
        <v>336</v>
      </c>
    </row>
    <row r="117" spans="1:18">
      <c r="A117" s="7">
        <v>5</v>
      </c>
      <c r="B117" s="504">
        <v>40000</v>
      </c>
      <c r="C117" s="169">
        <v>240</v>
      </c>
      <c r="D117" s="7">
        <v>5</v>
      </c>
      <c r="E117" s="173">
        <v>50000</v>
      </c>
      <c r="F117" s="169">
        <v>336</v>
      </c>
      <c r="J117" s="7">
        <v>5</v>
      </c>
      <c r="K117" s="173">
        <v>90000</v>
      </c>
      <c r="L117" s="169">
        <v>336</v>
      </c>
    </row>
    <row r="118" spans="1:18">
      <c r="A118" s="188">
        <v>6</v>
      </c>
      <c r="B118" s="502">
        <v>100000</v>
      </c>
      <c r="C118" s="171">
        <v>288</v>
      </c>
    </row>
    <row r="119" spans="1:18">
      <c r="A119" s="188">
        <v>7</v>
      </c>
      <c r="B119" s="502">
        <v>140000</v>
      </c>
      <c r="C119" s="171">
        <v>336</v>
      </c>
    </row>
    <row r="121" spans="1:18" ht="30" customHeight="1" thickBot="1">
      <c r="A121" s="1027" t="s">
        <v>380</v>
      </c>
      <c r="B121" s="1028"/>
      <c r="C121" s="1028"/>
      <c r="D121" s="1028"/>
      <c r="E121" s="1028"/>
      <c r="F121" s="1028"/>
      <c r="G121" s="1028"/>
      <c r="H121" s="1028"/>
      <c r="I121" s="1028"/>
    </row>
    <row r="122" spans="1:18" ht="12" customHeight="1" thickBot="1">
      <c r="A122" s="1282" t="s">
        <v>196</v>
      </c>
      <c r="B122" s="1283"/>
      <c r="C122" s="1284"/>
      <c r="D122" s="1282" t="s">
        <v>182</v>
      </c>
      <c r="E122" s="1283"/>
      <c r="F122" s="1284"/>
      <c r="G122" s="1282" t="s">
        <v>739</v>
      </c>
      <c r="H122" s="1283"/>
      <c r="I122" s="1284"/>
    </row>
    <row r="123" spans="1:18" ht="12" customHeight="1" thickBot="1">
      <c r="A123" s="161" t="s">
        <v>17</v>
      </c>
      <c r="B123" s="162" t="s">
        <v>258</v>
      </c>
      <c r="C123" s="163" t="s">
        <v>259</v>
      </c>
      <c r="D123" s="161" t="s">
        <v>17</v>
      </c>
      <c r="E123" s="162" t="s">
        <v>258</v>
      </c>
      <c r="F123" s="163" t="s">
        <v>259</v>
      </c>
      <c r="G123" s="161" t="s">
        <v>17</v>
      </c>
      <c r="H123" s="162" t="s">
        <v>258</v>
      </c>
      <c r="I123" s="163" t="s">
        <v>259</v>
      </c>
    </row>
    <row r="124" spans="1:18">
      <c r="A124" s="7">
        <v>1</v>
      </c>
      <c r="B124" s="172">
        <v>10000</v>
      </c>
      <c r="C124" s="167">
        <v>0</v>
      </c>
      <c r="D124" s="7">
        <v>1</v>
      </c>
      <c r="E124" s="172">
        <v>40000</v>
      </c>
      <c r="F124" s="167">
        <v>0</v>
      </c>
      <c r="G124" s="7">
        <v>1</v>
      </c>
      <c r="H124" s="400">
        <v>6000000</v>
      </c>
      <c r="I124" s="167">
        <v>0</v>
      </c>
    </row>
    <row r="125" spans="1:18">
      <c r="A125" s="7">
        <v>2</v>
      </c>
      <c r="B125" s="504">
        <v>12500</v>
      </c>
      <c r="C125" s="169">
        <v>12</v>
      </c>
      <c r="D125" s="7">
        <v>2</v>
      </c>
      <c r="E125" s="173">
        <v>22500</v>
      </c>
      <c r="F125" s="169">
        <v>12</v>
      </c>
      <c r="G125" s="7">
        <v>2</v>
      </c>
      <c r="H125" s="400">
        <v>6000000</v>
      </c>
      <c r="I125" s="169">
        <v>12</v>
      </c>
    </row>
    <row r="126" spans="1:18">
      <c r="A126" s="7">
        <v>3</v>
      </c>
      <c r="B126" s="504">
        <v>15000</v>
      </c>
      <c r="C126" s="169">
        <v>24</v>
      </c>
      <c r="D126" s="7">
        <v>3</v>
      </c>
      <c r="E126" s="173">
        <v>25000</v>
      </c>
      <c r="F126" s="169">
        <v>24</v>
      </c>
      <c r="G126" s="7">
        <v>3</v>
      </c>
      <c r="H126" s="400">
        <v>6000000</v>
      </c>
      <c r="I126" s="169">
        <v>24</v>
      </c>
    </row>
    <row r="127" spans="1:18">
      <c r="A127" s="7">
        <v>4</v>
      </c>
      <c r="B127" s="504">
        <v>17500</v>
      </c>
      <c r="C127" s="169">
        <v>36</v>
      </c>
      <c r="D127" s="7">
        <v>4</v>
      </c>
      <c r="E127" s="173">
        <v>27500</v>
      </c>
      <c r="F127" s="169">
        <v>36</v>
      </c>
      <c r="G127" s="7">
        <v>4</v>
      </c>
      <c r="H127" s="400">
        <v>6000000</v>
      </c>
      <c r="I127" s="169">
        <v>36</v>
      </c>
    </row>
    <row r="128" spans="1:18">
      <c r="A128" s="7">
        <v>5</v>
      </c>
      <c r="B128" s="504">
        <v>20000</v>
      </c>
      <c r="C128" s="169">
        <v>48</v>
      </c>
      <c r="D128" s="7">
        <v>5</v>
      </c>
      <c r="E128" s="173">
        <v>30000</v>
      </c>
      <c r="F128" s="169">
        <v>48</v>
      </c>
      <c r="G128" s="7">
        <v>5</v>
      </c>
      <c r="H128" s="400">
        <v>6000000</v>
      </c>
      <c r="I128" s="169">
        <v>48</v>
      </c>
    </row>
    <row r="129" spans="1:9">
      <c r="A129" s="7">
        <v>6</v>
      </c>
      <c r="B129" s="504">
        <v>22500</v>
      </c>
      <c r="C129" s="169">
        <v>60</v>
      </c>
      <c r="D129" s="7">
        <v>6</v>
      </c>
      <c r="E129" s="173">
        <v>32500</v>
      </c>
      <c r="F129" s="169">
        <v>60</v>
      </c>
      <c r="G129" s="7">
        <v>6</v>
      </c>
      <c r="H129" s="400">
        <v>6000000</v>
      </c>
      <c r="I129" s="169">
        <v>60</v>
      </c>
    </row>
    <row r="130" spans="1:9">
      <c r="A130" s="7">
        <v>7</v>
      </c>
      <c r="B130" s="504">
        <v>25000</v>
      </c>
      <c r="C130" s="169">
        <v>72</v>
      </c>
      <c r="D130" s="7">
        <v>7</v>
      </c>
      <c r="E130" s="173">
        <v>35000</v>
      </c>
      <c r="F130" s="169">
        <v>72</v>
      </c>
      <c r="G130" s="7">
        <v>7</v>
      </c>
      <c r="H130" s="400">
        <v>6000000</v>
      </c>
      <c r="I130" s="169">
        <v>72</v>
      </c>
    </row>
    <row r="131" spans="1:9">
      <c r="A131" s="7">
        <v>8</v>
      </c>
      <c r="B131" s="504">
        <v>30000</v>
      </c>
      <c r="C131" s="169">
        <v>84</v>
      </c>
      <c r="D131" s="7">
        <v>8</v>
      </c>
      <c r="E131" s="173">
        <v>40000</v>
      </c>
      <c r="F131" s="169">
        <v>84</v>
      </c>
      <c r="G131" s="7">
        <v>8</v>
      </c>
      <c r="H131" s="400">
        <v>6000000</v>
      </c>
      <c r="I131" s="169">
        <v>84</v>
      </c>
    </row>
    <row r="132" spans="1:9">
      <c r="A132" s="7">
        <v>9</v>
      </c>
      <c r="B132" s="504">
        <v>35000</v>
      </c>
      <c r="C132" s="169">
        <v>96</v>
      </c>
      <c r="D132" s="7">
        <v>9</v>
      </c>
      <c r="E132" s="173">
        <v>45000</v>
      </c>
      <c r="F132" s="169">
        <v>96</v>
      </c>
      <c r="G132" s="7">
        <v>9</v>
      </c>
      <c r="H132" s="400">
        <v>6000000</v>
      </c>
      <c r="I132" s="169">
        <v>96</v>
      </c>
    </row>
    <row r="133" spans="1:9">
      <c r="A133" s="7">
        <v>10</v>
      </c>
      <c r="B133" s="504">
        <v>40000</v>
      </c>
      <c r="C133" s="169">
        <v>108</v>
      </c>
      <c r="D133" s="7">
        <v>10</v>
      </c>
      <c r="E133" s="173">
        <v>50000</v>
      </c>
      <c r="F133" s="169">
        <v>108</v>
      </c>
      <c r="G133" s="7">
        <v>10</v>
      </c>
      <c r="H133" s="400">
        <v>6000000</v>
      </c>
      <c r="I133" s="169">
        <v>108</v>
      </c>
    </row>
    <row r="134" spans="1:9">
      <c r="A134" s="7">
        <v>11</v>
      </c>
      <c r="B134" s="504">
        <v>45000</v>
      </c>
      <c r="C134" s="169">
        <v>120</v>
      </c>
      <c r="D134" s="7">
        <v>11</v>
      </c>
      <c r="E134" s="173">
        <v>55000</v>
      </c>
      <c r="F134" s="169">
        <v>120</v>
      </c>
      <c r="G134" s="7">
        <v>11</v>
      </c>
      <c r="H134" s="400">
        <v>6000000</v>
      </c>
      <c r="I134" s="169">
        <v>120</v>
      </c>
    </row>
    <row r="135" spans="1:9">
      <c r="A135" s="7">
        <v>12</v>
      </c>
      <c r="B135" s="504">
        <v>50000</v>
      </c>
      <c r="C135" s="169">
        <v>132</v>
      </c>
      <c r="D135" s="7">
        <v>12</v>
      </c>
      <c r="E135" s="173">
        <v>60000</v>
      </c>
      <c r="F135" s="169">
        <v>132</v>
      </c>
      <c r="G135" s="7">
        <v>12</v>
      </c>
      <c r="H135" s="400">
        <v>6000000</v>
      </c>
      <c r="I135" s="169">
        <v>132</v>
      </c>
    </row>
    <row r="136" spans="1:9">
      <c r="A136" s="7">
        <v>13</v>
      </c>
      <c r="B136" s="504">
        <v>55000</v>
      </c>
      <c r="C136" s="169">
        <v>144</v>
      </c>
      <c r="D136" s="7">
        <v>13</v>
      </c>
      <c r="E136" s="173">
        <v>65000</v>
      </c>
      <c r="F136" s="169">
        <v>144</v>
      </c>
      <c r="G136" s="7">
        <v>13</v>
      </c>
      <c r="H136" s="400">
        <v>6000000</v>
      </c>
      <c r="I136" s="169">
        <v>144</v>
      </c>
    </row>
    <row r="137" spans="1:9">
      <c r="A137" s="7">
        <v>14</v>
      </c>
      <c r="B137" s="504">
        <v>60000</v>
      </c>
      <c r="C137" s="169">
        <v>156</v>
      </c>
      <c r="D137" s="7">
        <v>14</v>
      </c>
      <c r="E137" s="173">
        <v>70000</v>
      </c>
      <c r="F137" s="169">
        <v>156</v>
      </c>
      <c r="G137" s="7">
        <v>14</v>
      </c>
      <c r="H137" s="400">
        <v>6000000</v>
      </c>
      <c r="I137" s="169">
        <v>156</v>
      </c>
    </row>
    <row r="138" spans="1:9">
      <c r="A138" s="7">
        <v>15</v>
      </c>
      <c r="B138" s="504">
        <v>65000</v>
      </c>
      <c r="C138" s="169">
        <v>168</v>
      </c>
      <c r="D138" s="7">
        <v>15</v>
      </c>
      <c r="E138" s="173">
        <v>75000</v>
      </c>
      <c r="F138" s="169">
        <v>168</v>
      </c>
      <c r="G138" s="7">
        <v>15</v>
      </c>
      <c r="H138" s="400">
        <v>6000000</v>
      </c>
      <c r="I138" s="169">
        <v>168</v>
      </c>
    </row>
    <row r="139" spans="1:9">
      <c r="A139" s="7">
        <v>16</v>
      </c>
      <c r="B139" s="504">
        <v>70000</v>
      </c>
      <c r="C139" s="169">
        <v>168</v>
      </c>
      <c r="D139" s="7">
        <v>16</v>
      </c>
      <c r="E139" s="173">
        <v>80000</v>
      </c>
      <c r="F139" s="169">
        <v>168</v>
      </c>
      <c r="G139" s="7">
        <v>16</v>
      </c>
      <c r="H139" s="400">
        <v>6000000</v>
      </c>
      <c r="I139" s="169">
        <v>168</v>
      </c>
    </row>
    <row r="140" spans="1:9">
      <c r="A140" s="7">
        <v>17</v>
      </c>
      <c r="B140" s="504">
        <v>75000</v>
      </c>
      <c r="C140" s="169">
        <v>168</v>
      </c>
      <c r="D140" s="7">
        <v>17</v>
      </c>
      <c r="E140" s="173">
        <v>85000</v>
      </c>
      <c r="F140" s="169">
        <v>168</v>
      </c>
      <c r="G140" s="7">
        <v>17</v>
      </c>
      <c r="H140" s="400">
        <v>6000000</v>
      </c>
      <c r="I140" s="169">
        <v>168</v>
      </c>
    </row>
    <row r="141" spans="1:9">
      <c r="A141" s="7">
        <v>18</v>
      </c>
      <c r="B141" s="504">
        <v>80000</v>
      </c>
      <c r="C141" s="169">
        <v>168</v>
      </c>
      <c r="D141" s="7">
        <v>18</v>
      </c>
      <c r="E141" s="173">
        <v>90000</v>
      </c>
      <c r="F141" s="169">
        <v>168</v>
      </c>
      <c r="G141" s="7">
        <v>18</v>
      </c>
      <c r="H141" s="400">
        <v>6000000</v>
      </c>
      <c r="I141" s="169">
        <v>168</v>
      </c>
    </row>
    <row r="142" spans="1:9">
      <c r="A142" s="7">
        <v>19</v>
      </c>
      <c r="B142" s="504">
        <v>85000</v>
      </c>
      <c r="C142" s="169">
        <v>168</v>
      </c>
      <c r="D142" s="7">
        <v>19</v>
      </c>
      <c r="E142" s="173">
        <v>95000</v>
      </c>
      <c r="F142" s="169">
        <v>168</v>
      </c>
      <c r="G142" s="7">
        <v>19</v>
      </c>
      <c r="H142" s="400">
        <v>6000000</v>
      </c>
      <c r="I142" s="169">
        <v>168</v>
      </c>
    </row>
    <row r="143" spans="1:9">
      <c r="A143" s="7">
        <v>20</v>
      </c>
      <c r="B143" s="504">
        <v>90000</v>
      </c>
      <c r="C143" s="169">
        <v>168</v>
      </c>
      <c r="D143" s="7">
        <v>20</v>
      </c>
      <c r="E143" s="173">
        <v>100000</v>
      </c>
      <c r="F143" s="169">
        <v>168</v>
      </c>
      <c r="G143" s="7">
        <v>20</v>
      </c>
      <c r="H143" s="400">
        <v>6000000</v>
      </c>
      <c r="I143" s="169">
        <v>168</v>
      </c>
    </row>
    <row r="144" spans="1:9">
      <c r="A144" s="7">
        <v>21</v>
      </c>
      <c r="B144" s="504">
        <v>95000</v>
      </c>
      <c r="C144" s="169">
        <v>168</v>
      </c>
      <c r="D144" s="7">
        <v>21</v>
      </c>
      <c r="E144" s="173">
        <v>105000</v>
      </c>
      <c r="F144" s="169">
        <v>168</v>
      </c>
    </row>
    <row r="145" spans="1:6">
      <c r="A145" s="7">
        <v>22</v>
      </c>
      <c r="B145" s="504">
        <v>100000</v>
      </c>
      <c r="C145" s="169">
        <v>168</v>
      </c>
      <c r="D145" s="7">
        <v>22</v>
      </c>
      <c r="E145" s="173">
        <v>110000</v>
      </c>
      <c r="F145" s="169">
        <v>168</v>
      </c>
    </row>
    <row r="146" spans="1:6">
      <c r="A146" s="7">
        <v>23</v>
      </c>
      <c r="B146" s="504">
        <v>105000</v>
      </c>
      <c r="C146" s="169">
        <v>168</v>
      </c>
      <c r="D146" s="7">
        <v>23</v>
      </c>
      <c r="E146" s="173">
        <v>115000</v>
      </c>
      <c r="F146" s="169">
        <v>168</v>
      </c>
    </row>
    <row r="147" spans="1:6">
      <c r="A147" s="7">
        <v>24</v>
      </c>
      <c r="B147" s="504">
        <v>110000</v>
      </c>
      <c r="C147" s="169">
        <v>168</v>
      </c>
      <c r="D147" s="7">
        <v>24</v>
      </c>
      <c r="E147" s="173">
        <v>120000</v>
      </c>
      <c r="F147" s="169">
        <v>168</v>
      </c>
    </row>
    <row r="148" spans="1:6">
      <c r="A148" s="7">
        <v>25</v>
      </c>
      <c r="B148" s="504">
        <v>115000</v>
      </c>
      <c r="C148" s="169">
        <v>168</v>
      </c>
      <c r="D148" s="7">
        <v>25</v>
      </c>
      <c r="E148" s="173">
        <v>125000</v>
      </c>
      <c r="F148" s="169">
        <v>168</v>
      </c>
    </row>
    <row r="149" spans="1:6">
      <c r="A149" s="7">
        <v>26</v>
      </c>
      <c r="B149" s="504">
        <v>120000</v>
      </c>
      <c r="C149" s="169">
        <v>168</v>
      </c>
      <c r="D149" s="7">
        <v>26</v>
      </c>
      <c r="E149" s="173">
        <v>130000</v>
      </c>
      <c r="F149" s="169">
        <v>168</v>
      </c>
    </row>
    <row r="150" spans="1:6">
      <c r="A150" s="7">
        <v>27</v>
      </c>
      <c r="B150" s="504">
        <v>125000</v>
      </c>
      <c r="C150" s="169">
        <v>168</v>
      </c>
      <c r="D150" s="7">
        <v>27</v>
      </c>
      <c r="E150" s="173">
        <v>135000</v>
      </c>
      <c r="F150" s="169">
        <v>168</v>
      </c>
    </row>
    <row r="151" spans="1:6">
      <c r="A151" s="7">
        <v>28</v>
      </c>
      <c r="B151" s="504">
        <v>130000</v>
      </c>
      <c r="C151" s="169">
        <v>168</v>
      </c>
      <c r="D151" s="7">
        <v>28</v>
      </c>
      <c r="E151" s="173">
        <v>140000</v>
      </c>
      <c r="F151" s="169">
        <v>168</v>
      </c>
    </row>
    <row r="152" spans="1:6">
      <c r="A152" s="7">
        <v>29</v>
      </c>
      <c r="B152" s="504">
        <v>135000</v>
      </c>
      <c r="C152" s="169">
        <v>168</v>
      </c>
      <c r="D152" s="7">
        <v>29</v>
      </c>
      <c r="E152" s="173">
        <v>145000</v>
      </c>
      <c r="F152" s="169">
        <v>168</v>
      </c>
    </row>
    <row r="153" spans="1:6">
      <c r="A153" s="7">
        <v>30</v>
      </c>
      <c r="B153" s="504">
        <v>140000</v>
      </c>
      <c r="C153" s="169">
        <v>168</v>
      </c>
      <c r="D153" s="7">
        <v>30</v>
      </c>
      <c r="E153" s="173">
        <v>150000</v>
      </c>
      <c r="F153" s="169">
        <v>168</v>
      </c>
    </row>
    <row r="154" spans="1:6">
      <c r="A154" s="7">
        <v>31</v>
      </c>
      <c r="B154" s="504">
        <v>145000</v>
      </c>
      <c r="C154" s="169">
        <v>168</v>
      </c>
      <c r="D154" s="7">
        <v>31</v>
      </c>
      <c r="E154" s="173">
        <v>155000</v>
      </c>
      <c r="F154" s="169">
        <v>168</v>
      </c>
    </row>
    <row r="155" spans="1:6">
      <c r="A155" s="7">
        <v>32</v>
      </c>
      <c r="B155" s="504">
        <v>150000</v>
      </c>
      <c r="C155" s="169">
        <v>168</v>
      </c>
      <c r="D155" s="7">
        <v>32</v>
      </c>
      <c r="E155" s="173">
        <v>160000</v>
      </c>
      <c r="F155" s="169">
        <v>168</v>
      </c>
    </row>
    <row r="156" spans="1:6">
      <c r="A156" s="7">
        <v>33</v>
      </c>
      <c r="B156" s="504">
        <v>155000</v>
      </c>
      <c r="C156" s="169">
        <v>168</v>
      </c>
      <c r="D156" s="7">
        <v>33</v>
      </c>
      <c r="E156" s="173">
        <v>165000</v>
      </c>
      <c r="F156" s="169">
        <v>168</v>
      </c>
    </row>
    <row r="157" spans="1:6">
      <c r="A157" s="7">
        <v>34</v>
      </c>
      <c r="B157" s="504">
        <v>160000</v>
      </c>
      <c r="C157" s="169">
        <v>168</v>
      </c>
      <c r="D157" s="7">
        <v>34</v>
      </c>
      <c r="E157" s="173">
        <v>170000</v>
      </c>
      <c r="F157" s="169">
        <v>168</v>
      </c>
    </row>
    <row r="158" spans="1:6">
      <c r="A158" s="7">
        <v>35</v>
      </c>
      <c r="B158" s="504">
        <v>165000</v>
      </c>
      <c r="C158" s="169">
        <v>168</v>
      </c>
      <c r="D158" s="7">
        <v>35</v>
      </c>
      <c r="E158" s="173">
        <v>175000</v>
      </c>
      <c r="F158" s="169">
        <v>168</v>
      </c>
    </row>
    <row r="159" spans="1:6">
      <c r="A159" s="7">
        <v>36</v>
      </c>
      <c r="B159" s="504">
        <v>170000</v>
      </c>
      <c r="C159" s="169">
        <v>168</v>
      </c>
      <c r="D159" s="7">
        <v>36</v>
      </c>
      <c r="E159" s="173">
        <v>180000</v>
      </c>
      <c r="F159" s="169">
        <v>168</v>
      </c>
    </row>
    <row r="160" spans="1:6">
      <c r="A160" s="7">
        <v>37</v>
      </c>
      <c r="B160" s="504">
        <v>175000</v>
      </c>
      <c r="C160" s="169">
        <v>168</v>
      </c>
      <c r="D160" s="7">
        <v>37</v>
      </c>
      <c r="E160" s="173">
        <v>185000</v>
      </c>
      <c r="F160" s="169">
        <v>168</v>
      </c>
    </row>
    <row r="161" spans="1:6">
      <c r="A161" s="7">
        <v>38</v>
      </c>
      <c r="B161" s="504">
        <v>180000</v>
      </c>
      <c r="C161" s="169">
        <v>168</v>
      </c>
      <c r="D161" s="7">
        <v>38</v>
      </c>
      <c r="E161" s="173">
        <v>190000</v>
      </c>
      <c r="F161" s="169">
        <v>168</v>
      </c>
    </row>
    <row r="162" spans="1:6">
      <c r="A162" s="7">
        <v>39</v>
      </c>
      <c r="B162" s="504">
        <v>185000</v>
      </c>
      <c r="C162" s="169">
        <v>168</v>
      </c>
      <c r="D162" s="7">
        <v>39</v>
      </c>
      <c r="E162" s="173">
        <v>195000</v>
      </c>
      <c r="F162" s="169">
        <v>168</v>
      </c>
    </row>
    <row r="163" spans="1:6">
      <c r="A163" s="7">
        <v>40</v>
      </c>
      <c r="B163" s="173">
        <v>190000</v>
      </c>
      <c r="C163" s="169">
        <v>168</v>
      </c>
      <c r="D163" s="7">
        <v>40</v>
      </c>
      <c r="E163" s="173">
        <v>200000</v>
      </c>
      <c r="F163" s="169">
        <v>168</v>
      </c>
    </row>
  </sheetData>
  <sheetProtection selectLockedCells="1"/>
  <mergeCells count="68">
    <mergeCell ref="AE34:AG34"/>
    <mergeCell ref="A33:AG33"/>
    <mergeCell ref="V90:X90"/>
    <mergeCell ref="P34:R34"/>
    <mergeCell ref="Y34:AA34"/>
    <mergeCell ref="V34:X34"/>
    <mergeCell ref="AB90:AD90"/>
    <mergeCell ref="S90:U90"/>
    <mergeCell ref="Y90:AA90"/>
    <mergeCell ref="AB34:AD34"/>
    <mergeCell ref="S34:U34"/>
    <mergeCell ref="A89:AD89"/>
    <mergeCell ref="A34:C34"/>
    <mergeCell ref="A63:C63"/>
    <mergeCell ref="G52:I52"/>
    <mergeCell ref="J52:L52"/>
    <mergeCell ref="P111:R111"/>
    <mergeCell ref="A90:C90"/>
    <mergeCell ref="A110:R110"/>
    <mergeCell ref="A111:C111"/>
    <mergeCell ref="D90:F90"/>
    <mergeCell ref="G90:I90"/>
    <mergeCell ref="J90:L90"/>
    <mergeCell ref="M90:O90"/>
    <mergeCell ref="P90:R90"/>
    <mergeCell ref="M111:O111"/>
    <mergeCell ref="G111:I111"/>
    <mergeCell ref="J111:L111"/>
    <mergeCell ref="D111:F111"/>
    <mergeCell ref="G122:I122"/>
    <mergeCell ref="A121:I121"/>
    <mergeCell ref="A102:C102"/>
    <mergeCell ref="D102:F102"/>
    <mergeCell ref="G102:I102"/>
    <mergeCell ref="D122:F122"/>
    <mergeCell ref="A122:C122"/>
    <mergeCell ref="A1:R1"/>
    <mergeCell ref="A62:F62"/>
    <mergeCell ref="M19:O19"/>
    <mergeCell ref="M2:O2"/>
    <mergeCell ref="P2:R2"/>
    <mergeCell ref="A52:C52"/>
    <mergeCell ref="J2:L2"/>
    <mergeCell ref="A19:C19"/>
    <mergeCell ref="D19:F19"/>
    <mergeCell ref="A2:C2"/>
    <mergeCell ref="D2:F2"/>
    <mergeCell ref="G2:I2"/>
    <mergeCell ref="J34:L34"/>
    <mergeCell ref="M52:O52"/>
    <mergeCell ref="D52:F52"/>
    <mergeCell ref="P52:R52"/>
    <mergeCell ref="A18:R18"/>
    <mergeCell ref="A101:I101"/>
    <mergeCell ref="G78:I78"/>
    <mergeCell ref="J78:L78"/>
    <mergeCell ref="D34:F34"/>
    <mergeCell ref="G34:I34"/>
    <mergeCell ref="D78:F78"/>
    <mergeCell ref="D63:F63"/>
    <mergeCell ref="A77:O77"/>
    <mergeCell ref="J19:L19"/>
    <mergeCell ref="A51:R51"/>
    <mergeCell ref="G19:I19"/>
    <mergeCell ref="M34:O34"/>
    <mergeCell ref="P19:R19"/>
    <mergeCell ref="A78:C78"/>
    <mergeCell ref="M78:O78"/>
  </mergeCells>
  <pageMargins left="0.7" right="0.7" top="0.75" bottom="0.75" header="0.3" footer="0.3"/>
  <pageSetup paperSize="9" orientation="portrait" r:id="rId1"/>
  <tableParts count="5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s>
</worksheet>
</file>

<file path=xl/worksheets/sheet12.xml><?xml version="1.0" encoding="utf-8"?>
<worksheet xmlns="http://schemas.openxmlformats.org/spreadsheetml/2006/main" xmlns:r="http://schemas.openxmlformats.org/officeDocument/2006/relationships">
  <sheetPr codeName="Feuil9">
    <tabColor rgb="FFFF0000"/>
  </sheetPr>
  <dimension ref="A1:S22"/>
  <sheetViews>
    <sheetView showGridLines="0" workbookViewId="0">
      <selection activeCell="I17" sqref="I17"/>
    </sheetView>
  </sheetViews>
  <sheetFormatPr baseColWidth="10" defaultColWidth="11.42578125" defaultRowHeight="11.25"/>
  <cols>
    <col min="1" max="1" width="4.7109375" style="156" customWidth="1"/>
    <col min="2" max="3" width="8.7109375" style="156" customWidth="1"/>
    <col min="4" max="4" width="4.7109375" style="156" customWidth="1"/>
    <col min="5" max="5" width="8.7109375" style="156" customWidth="1"/>
    <col min="6" max="6" width="4.7109375" style="156" customWidth="1"/>
    <col min="7" max="8" width="8.7109375" style="156" customWidth="1"/>
    <col min="9" max="9" width="4.7109375" style="156" customWidth="1"/>
    <col min="10" max="10" width="8.7109375" style="156" customWidth="1"/>
    <col min="11" max="11" width="4.7109375" style="156" customWidth="1"/>
    <col min="12" max="13" width="8.7109375" style="156" customWidth="1"/>
    <col min="14" max="14" width="4.7109375" style="156" customWidth="1"/>
    <col min="15" max="15" width="8.7109375" style="156" customWidth="1"/>
    <col min="16" max="16384" width="11.42578125" style="156"/>
  </cols>
  <sheetData>
    <row r="1" spans="1:19" ht="30" customHeight="1" thickBot="1">
      <c r="A1" s="1030" t="s">
        <v>381</v>
      </c>
      <c r="B1" s="1031"/>
      <c r="C1" s="1031"/>
      <c r="D1" s="1031"/>
      <c r="E1" s="1031"/>
      <c r="F1" s="1031"/>
      <c r="G1" s="1031"/>
      <c r="H1" s="1031"/>
      <c r="I1" s="1031"/>
      <c r="J1" s="1031"/>
      <c r="K1" s="1031"/>
      <c r="L1" s="1031"/>
      <c r="M1" s="1031"/>
      <c r="N1" s="1031"/>
      <c r="O1" s="1031"/>
      <c r="P1" s="1031"/>
      <c r="Q1" s="1031"/>
      <c r="R1" s="1031"/>
      <c r="S1" s="1031"/>
    </row>
    <row r="2" spans="1:19" ht="20.100000000000001" customHeight="1" thickBot="1">
      <c r="A2" s="1297" t="s">
        <v>246</v>
      </c>
      <c r="B2" s="1298"/>
      <c r="C2" s="1298"/>
      <c r="D2" s="1298"/>
      <c r="E2" s="1299"/>
      <c r="F2" s="1300" t="s">
        <v>247</v>
      </c>
      <c r="G2" s="1301"/>
      <c r="H2" s="1301"/>
      <c r="I2" s="1301"/>
      <c r="J2" s="1302"/>
      <c r="K2" s="1303" t="s">
        <v>248</v>
      </c>
      <c r="L2" s="1304"/>
      <c r="M2" s="1304"/>
      <c r="N2" s="1304"/>
      <c r="O2" s="1305"/>
      <c r="P2" s="1042" t="s">
        <v>743</v>
      </c>
      <c r="Q2" s="1306"/>
      <c r="R2" s="1306"/>
      <c r="S2" s="1307"/>
    </row>
    <row r="3" spans="1:19" ht="15.75" customHeight="1" thickBot="1">
      <c r="A3" s="1282" t="s">
        <v>176</v>
      </c>
      <c r="B3" s="1283"/>
      <c r="C3" s="1284"/>
      <c r="D3" s="1282" t="s">
        <v>212</v>
      </c>
      <c r="E3" s="1284"/>
      <c r="F3" s="1282" t="s">
        <v>210</v>
      </c>
      <c r="G3" s="1283"/>
      <c r="H3" s="1284"/>
      <c r="I3" s="1282" t="s">
        <v>452</v>
      </c>
      <c r="J3" s="1284"/>
      <c r="K3" s="1282" t="s">
        <v>211</v>
      </c>
      <c r="L3" s="1283"/>
      <c r="M3" s="1283"/>
      <c r="N3" s="1283" t="s">
        <v>451</v>
      </c>
      <c r="O3" s="1283"/>
      <c r="P3" s="550" t="s">
        <v>17</v>
      </c>
      <c r="Q3" s="551" t="s">
        <v>740</v>
      </c>
      <c r="R3" s="551" t="s">
        <v>741</v>
      </c>
      <c r="S3" s="552" t="s">
        <v>742</v>
      </c>
    </row>
    <row r="4" spans="1:19" ht="12" thickBot="1">
      <c r="A4" s="182" t="s">
        <v>17</v>
      </c>
      <c r="B4" s="165" t="s">
        <v>119</v>
      </c>
      <c r="C4" s="183" t="s">
        <v>382</v>
      </c>
      <c r="D4" s="177" t="s">
        <v>17</v>
      </c>
      <c r="E4" s="464" t="s">
        <v>382</v>
      </c>
      <c r="F4" s="182" t="s">
        <v>17</v>
      </c>
      <c r="G4" s="165" t="s">
        <v>119</v>
      </c>
      <c r="H4" s="183" t="s">
        <v>382</v>
      </c>
      <c r="I4" s="177" t="s">
        <v>17</v>
      </c>
      <c r="J4" s="464" t="s">
        <v>382</v>
      </c>
      <c r="K4" s="182" t="s">
        <v>17</v>
      </c>
      <c r="L4" s="165" t="s">
        <v>119</v>
      </c>
      <c r="M4" s="183" t="s">
        <v>382</v>
      </c>
      <c r="N4" s="182" t="s">
        <v>17</v>
      </c>
      <c r="O4" s="166" t="s">
        <v>382</v>
      </c>
      <c r="P4" s="565">
        <v>1</v>
      </c>
      <c r="Q4" s="907">
        <v>0</v>
      </c>
      <c r="R4" s="908">
        <f>EARNINGS_HDV[[#This Row],[OR]]</f>
        <v>0</v>
      </c>
      <c r="S4" s="937">
        <v>0</v>
      </c>
    </row>
    <row r="5" spans="1:19">
      <c r="A5" s="7">
        <v>1</v>
      </c>
      <c r="B5" s="168">
        <v>200</v>
      </c>
      <c r="C5" s="262">
        <v>500</v>
      </c>
      <c r="D5" s="776">
        <v>1</v>
      </c>
      <c r="E5" s="935">
        <v>1500</v>
      </c>
      <c r="F5" s="13">
        <v>1</v>
      </c>
      <c r="G5" s="399">
        <v>200</v>
      </c>
      <c r="H5" s="262">
        <v>500</v>
      </c>
      <c r="I5" s="776">
        <v>1</v>
      </c>
      <c r="J5" s="935">
        <v>1500</v>
      </c>
      <c r="K5" s="13">
        <v>1</v>
      </c>
      <c r="L5" s="172">
        <v>20</v>
      </c>
      <c r="M5" s="262">
        <v>160</v>
      </c>
      <c r="N5" s="7">
        <v>1</v>
      </c>
      <c r="O5" s="262">
        <v>10000</v>
      </c>
      <c r="P5" s="565">
        <v>2</v>
      </c>
      <c r="Q5" s="907">
        <v>0</v>
      </c>
      <c r="R5" s="908">
        <f>EARNINGS_HDV[[#This Row],[OR]]</f>
        <v>0</v>
      </c>
      <c r="S5" s="937">
        <v>0</v>
      </c>
    </row>
    <row r="6" spans="1:19">
      <c r="A6" s="7">
        <v>2</v>
      </c>
      <c r="B6" s="170">
        <v>400</v>
      </c>
      <c r="C6" s="263">
        <v>1000</v>
      </c>
      <c r="D6" s="776">
        <v>2</v>
      </c>
      <c r="E6" s="935">
        <v>3000</v>
      </c>
      <c r="F6" s="13">
        <v>2</v>
      </c>
      <c r="G6" s="400">
        <v>400</v>
      </c>
      <c r="H6" s="263">
        <v>1000</v>
      </c>
      <c r="I6" s="776">
        <v>2</v>
      </c>
      <c r="J6" s="935">
        <v>3000</v>
      </c>
      <c r="K6" s="13">
        <v>2</v>
      </c>
      <c r="L6" s="173">
        <v>30</v>
      </c>
      <c r="M6" s="263">
        <v>300</v>
      </c>
      <c r="N6" s="7">
        <v>2</v>
      </c>
      <c r="O6" s="263">
        <v>17500</v>
      </c>
      <c r="P6" s="565">
        <v>3</v>
      </c>
      <c r="Q6" s="907">
        <v>10000</v>
      </c>
      <c r="R6" s="908">
        <f>EARNINGS_HDV[[#This Row],[OR]]</f>
        <v>10000</v>
      </c>
      <c r="S6" s="937">
        <v>0</v>
      </c>
    </row>
    <row r="7" spans="1:19">
      <c r="A7" s="7">
        <v>3</v>
      </c>
      <c r="B7" s="170">
        <v>600</v>
      </c>
      <c r="C7" s="263">
        <v>1500</v>
      </c>
      <c r="D7" s="776">
        <v>3</v>
      </c>
      <c r="E7" s="935">
        <v>6000</v>
      </c>
      <c r="F7" s="13">
        <v>3</v>
      </c>
      <c r="G7" s="400">
        <v>600</v>
      </c>
      <c r="H7" s="263">
        <v>1500</v>
      </c>
      <c r="I7" s="776">
        <v>3</v>
      </c>
      <c r="J7" s="935">
        <v>6000</v>
      </c>
      <c r="K7" s="13">
        <v>3</v>
      </c>
      <c r="L7" s="173">
        <v>45</v>
      </c>
      <c r="M7" s="263">
        <v>540</v>
      </c>
      <c r="N7" s="7">
        <v>3</v>
      </c>
      <c r="O7" s="263">
        <v>40000</v>
      </c>
      <c r="P7" s="565">
        <v>4</v>
      </c>
      <c r="Q7" s="907">
        <v>50000</v>
      </c>
      <c r="R7" s="908">
        <f>EARNINGS_HDV[[#This Row],[OR]]</f>
        <v>50000</v>
      </c>
      <c r="S7" s="937">
        <v>0</v>
      </c>
    </row>
    <row r="8" spans="1:19">
      <c r="A8" s="7">
        <v>4</v>
      </c>
      <c r="B8" s="170">
        <v>800</v>
      </c>
      <c r="C8" s="263">
        <v>2500</v>
      </c>
      <c r="D8" s="776">
        <v>4</v>
      </c>
      <c r="E8" s="935">
        <v>12000</v>
      </c>
      <c r="F8" s="13">
        <v>4</v>
      </c>
      <c r="G8" s="400">
        <v>800</v>
      </c>
      <c r="H8" s="263">
        <v>2500</v>
      </c>
      <c r="I8" s="776">
        <v>4</v>
      </c>
      <c r="J8" s="935">
        <v>12000</v>
      </c>
      <c r="K8" s="13">
        <v>4</v>
      </c>
      <c r="L8" s="173">
        <v>60</v>
      </c>
      <c r="M8" s="263">
        <v>840</v>
      </c>
      <c r="N8" s="7">
        <v>4</v>
      </c>
      <c r="O8" s="263">
        <v>75000</v>
      </c>
      <c r="P8" s="565">
        <v>5</v>
      </c>
      <c r="Q8" s="907">
        <v>100000</v>
      </c>
      <c r="R8" s="908">
        <f>EARNINGS_HDV[[#This Row],[OR]]</f>
        <v>100000</v>
      </c>
      <c r="S8" s="937">
        <v>0</v>
      </c>
    </row>
    <row r="9" spans="1:19">
      <c r="A9" s="7">
        <v>5</v>
      </c>
      <c r="B9" s="170">
        <v>1000</v>
      </c>
      <c r="C9" s="263">
        <v>10000</v>
      </c>
      <c r="D9" s="776">
        <v>5</v>
      </c>
      <c r="E9" s="935">
        <v>25000</v>
      </c>
      <c r="F9" s="13">
        <v>5</v>
      </c>
      <c r="G9" s="400">
        <v>1000</v>
      </c>
      <c r="H9" s="263">
        <v>10000</v>
      </c>
      <c r="I9" s="776">
        <v>5</v>
      </c>
      <c r="J9" s="935">
        <v>25000</v>
      </c>
      <c r="K9" s="13">
        <v>5</v>
      </c>
      <c r="L9" s="173">
        <v>80</v>
      </c>
      <c r="M9" s="263">
        <v>1280</v>
      </c>
      <c r="N9" s="7">
        <v>5</v>
      </c>
      <c r="O9" s="263">
        <v>140000</v>
      </c>
      <c r="P9" s="565">
        <v>6</v>
      </c>
      <c r="Q9" s="907">
        <v>300000</v>
      </c>
      <c r="R9" s="908">
        <f>EARNINGS_HDV[[#This Row],[OR]]</f>
        <v>300000</v>
      </c>
      <c r="S9" s="937">
        <v>0</v>
      </c>
    </row>
    <row r="10" spans="1:19">
      <c r="A10" s="7">
        <v>6</v>
      </c>
      <c r="B10" s="170">
        <v>1300</v>
      </c>
      <c r="C10" s="263">
        <v>20000</v>
      </c>
      <c r="D10" s="776">
        <v>6</v>
      </c>
      <c r="E10" s="935">
        <v>50000</v>
      </c>
      <c r="F10" s="13">
        <v>6</v>
      </c>
      <c r="G10" s="400">
        <v>1300</v>
      </c>
      <c r="H10" s="263">
        <v>20000</v>
      </c>
      <c r="I10" s="776">
        <v>6</v>
      </c>
      <c r="J10" s="935">
        <v>50000</v>
      </c>
      <c r="K10" s="13">
        <v>6</v>
      </c>
      <c r="L10" s="173">
        <v>100</v>
      </c>
      <c r="M10" s="263">
        <v>1800</v>
      </c>
      <c r="N10" s="7">
        <v>6</v>
      </c>
      <c r="O10" s="263">
        <v>180000</v>
      </c>
      <c r="P10" s="565">
        <v>7</v>
      </c>
      <c r="Q10" s="907">
        <v>500000</v>
      </c>
      <c r="R10" s="908">
        <f>EARNINGS_HDV[[#This Row],[OR]]</f>
        <v>500000</v>
      </c>
      <c r="S10" s="937">
        <v>2500</v>
      </c>
    </row>
    <row r="11" spans="1:19">
      <c r="A11" s="7">
        <v>7</v>
      </c>
      <c r="B11" s="170">
        <v>1600</v>
      </c>
      <c r="C11" s="263">
        <v>30000</v>
      </c>
      <c r="D11" s="776">
        <v>7</v>
      </c>
      <c r="E11" s="935">
        <v>100000</v>
      </c>
      <c r="F11" s="13">
        <v>7</v>
      </c>
      <c r="G11" s="400">
        <v>1600</v>
      </c>
      <c r="H11" s="263">
        <v>30000</v>
      </c>
      <c r="I11" s="776">
        <v>7</v>
      </c>
      <c r="J11" s="935">
        <v>100000</v>
      </c>
      <c r="P11" s="565">
        <v>8</v>
      </c>
      <c r="Q11" s="907">
        <v>750000</v>
      </c>
      <c r="R11" s="908">
        <f>EARNINGS_HDV[[#This Row],[OR]]</f>
        <v>750000</v>
      </c>
      <c r="S11" s="937">
        <v>5000</v>
      </c>
    </row>
    <row r="12" spans="1:19">
      <c r="A12" s="7">
        <v>8</v>
      </c>
      <c r="B12" s="170">
        <v>1900</v>
      </c>
      <c r="C12" s="263">
        <v>50000</v>
      </c>
      <c r="D12" s="776">
        <v>8</v>
      </c>
      <c r="E12" s="935">
        <v>225000</v>
      </c>
      <c r="F12" s="13">
        <v>8</v>
      </c>
      <c r="G12" s="400">
        <v>1900</v>
      </c>
      <c r="H12" s="263">
        <v>50000</v>
      </c>
      <c r="I12" s="776">
        <v>8</v>
      </c>
      <c r="J12" s="935">
        <v>225000</v>
      </c>
      <c r="P12" s="565">
        <v>9</v>
      </c>
      <c r="Q12" s="938">
        <v>1000000</v>
      </c>
      <c r="R12" s="939">
        <f>EARNINGS_HDV[[#This Row],[OR]]</f>
        <v>1000000</v>
      </c>
      <c r="S12" s="937">
        <v>10000</v>
      </c>
    </row>
    <row r="13" spans="1:19">
      <c r="A13" s="7">
        <v>9</v>
      </c>
      <c r="B13" s="24">
        <v>2200</v>
      </c>
      <c r="C13" s="264">
        <v>75000</v>
      </c>
      <c r="D13" s="776">
        <v>9</v>
      </c>
      <c r="E13" s="936">
        <v>450000</v>
      </c>
      <c r="F13" s="13">
        <v>9</v>
      </c>
      <c r="G13" s="401">
        <v>2200</v>
      </c>
      <c r="H13" s="264">
        <v>75000</v>
      </c>
      <c r="I13" s="776">
        <v>9</v>
      </c>
      <c r="J13" s="936">
        <v>450000</v>
      </c>
      <c r="P13" s="565">
        <v>10</v>
      </c>
      <c r="Q13" s="938">
        <v>1500000</v>
      </c>
      <c r="R13" s="939">
        <f>EARNINGS_HDV[[#This Row],[OR]]</f>
        <v>1500000</v>
      </c>
      <c r="S13" s="937">
        <v>20000</v>
      </c>
    </row>
    <row r="14" spans="1:19">
      <c r="A14" s="7">
        <v>10</v>
      </c>
      <c r="B14" s="24">
        <v>2500</v>
      </c>
      <c r="C14" s="264">
        <v>100000</v>
      </c>
      <c r="D14" s="776">
        <v>10</v>
      </c>
      <c r="E14" s="936">
        <v>850000</v>
      </c>
      <c r="F14" s="13">
        <v>10</v>
      </c>
      <c r="G14" s="401">
        <v>2500</v>
      </c>
      <c r="H14" s="264">
        <v>100000</v>
      </c>
      <c r="I14" s="776">
        <v>10</v>
      </c>
      <c r="J14" s="936">
        <v>850000</v>
      </c>
      <c r="P14" s="566">
        <v>11</v>
      </c>
      <c r="Q14" s="940">
        <v>2000000</v>
      </c>
      <c r="R14" s="941">
        <f>EARNINGS_HDV[[#This Row],[OR]]</f>
        <v>2000000</v>
      </c>
      <c r="S14" s="942">
        <v>20000</v>
      </c>
    </row>
    <row r="15" spans="1:19">
      <c r="A15" s="7">
        <v>11</v>
      </c>
      <c r="B15" s="24">
        <v>3000</v>
      </c>
      <c r="C15" s="264">
        <v>150000</v>
      </c>
      <c r="D15" s="776">
        <v>11</v>
      </c>
      <c r="E15" s="936">
        <v>1750000</v>
      </c>
      <c r="F15" s="13">
        <v>11</v>
      </c>
      <c r="G15" s="401">
        <v>3000</v>
      </c>
      <c r="H15" s="264">
        <v>150000</v>
      </c>
      <c r="I15" s="776">
        <v>11</v>
      </c>
      <c r="J15" s="936">
        <v>1750000</v>
      </c>
    </row>
    <row r="16" spans="1:19" ht="12" thickBot="1">
      <c r="A16" s="455">
        <v>12</v>
      </c>
      <c r="B16" s="606">
        <v>3500</v>
      </c>
      <c r="C16" s="933">
        <v>200000</v>
      </c>
      <c r="D16" s="776">
        <v>12</v>
      </c>
      <c r="E16" s="936">
        <v>2000000</v>
      </c>
      <c r="F16" s="934">
        <v>12</v>
      </c>
      <c r="G16" s="607">
        <v>3500</v>
      </c>
      <c r="H16" s="933">
        <v>200000</v>
      </c>
      <c r="I16" s="776">
        <v>12</v>
      </c>
      <c r="J16" s="936">
        <v>2000000</v>
      </c>
    </row>
    <row r="22" ht="12" customHeight="1"/>
  </sheetData>
  <sheetProtection selectLockedCells="1"/>
  <mergeCells count="11">
    <mergeCell ref="A1:S1"/>
    <mergeCell ref="A2:E2"/>
    <mergeCell ref="F2:J2"/>
    <mergeCell ref="I3:J3"/>
    <mergeCell ref="K2:O2"/>
    <mergeCell ref="P2:S2"/>
    <mergeCell ref="N3:O3"/>
    <mergeCell ref="A3:C3"/>
    <mergeCell ref="K3:M3"/>
    <mergeCell ref="F3:H3"/>
    <mergeCell ref="D3:E3"/>
  </mergeCells>
  <pageMargins left="0.7" right="0.7" top="0.75" bottom="0.75" header="0.3" footer="0.3"/>
  <pageSetup paperSize="9" orientation="portrait" r:id="rId1"/>
  <tableParts count="7">
    <tablePart r:id="rId2"/>
    <tablePart r:id="rId3"/>
    <tablePart r:id="rId4"/>
    <tablePart r:id="rId5"/>
    <tablePart r:id="rId6"/>
    <tablePart r:id="rId7"/>
    <tablePart r:id="rId8"/>
  </tableParts>
</worksheet>
</file>

<file path=xl/worksheets/sheet13.xml><?xml version="1.0" encoding="utf-8"?>
<worksheet xmlns="http://schemas.openxmlformats.org/spreadsheetml/2006/main" xmlns:r="http://schemas.openxmlformats.org/officeDocument/2006/relationships">
  <sheetPr codeName="Feuil12">
    <tabColor rgb="FFFF0000"/>
  </sheetPr>
  <dimension ref="A1:L25"/>
  <sheetViews>
    <sheetView showGridLines="0" zoomScale="115" zoomScaleNormal="115" workbookViewId="0">
      <selection activeCell="C25" sqref="C25"/>
    </sheetView>
  </sheetViews>
  <sheetFormatPr baseColWidth="10" defaultColWidth="11.42578125" defaultRowHeight="15"/>
  <cols>
    <col min="1" max="5" width="8.7109375" style="189" customWidth="1"/>
    <col min="6" max="6" width="11.42578125" style="189"/>
    <col min="7" max="7" width="8.7109375" style="189" customWidth="1"/>
    <col min="8" max="8" width="11.42578125" style="189"/>
    <col min="9" max="9" width="8.7109375" style="189" customWidth="1"/>
    <col min="10" max="16384" width="11.42578125" style="189"/>
  </cols>
  <sheetData>
    <row r="1" spans="1:12" ht="30" customHeight="1" thickBot="1">
      <c r="A1" s="1272" t="s">
        <v>383</v>
      </c>
      <c r="B1" s="1273"/>
      <c r="C1" s="1273"/>
      <c r="D1" s="1273"/>
      <c r="E1" s="1274"/>
      <c r="G1" s="1272" t="s">
        <v>388</v>
      </c>
      <c r="H1" s="1273"/>
      <c r="I1" s="1274"/>
      <c r="K1" s="1272" t="s">
        <v>673</v>
      </c>
      <c r="L1" s="1273"/>
    </row>
    <row r="2" spans="1:12" ht="23.25" thickBot="1">
      <c r="A2" s="862" t="s">
        <v>384</v>
      </c>
      <c r="B2" s="863" t="s">
        <v>129</v>
      </c>
      <c r="C2" s="864" t="s">
        <v>385</v>
      </c>
      <c r="D2" s="865" t="s">
        <v>386</v>
      </c>
      <c r="E2" s="866" t="s">
        <v>387</v>
      </c>
      <c r="G2" s="214" t="s">
        <v>384</v>
      </c>
      <c r="H2" s="215" t="s">
        <v>135</v>
      </c>
      <c r="I2" s="211" t="s">
        <v>307</v>
      </c>
      <c r="K2" s="738" t="s">
        <v>663</v>
      </c>
      <c r="L2" s="739" t="s">
        <v>675</v>
      </c>
    </row>
    <row r="3" spans="1:12">
      <c r="A3" s="867" t="str">
        <f>IF(AND(Paramètres!$BL$2&gt;=B3,Paramètres!$BL$2&lt;B4),1,"")</f>
        <v/>
      </c>
      <c r="B3" s="868">
        <v>0</v>
      </c>
      <c r="C3" s="833">
        <v>0</v>
      </c>
      <c r="D3" s="835">
        <f>LEAGUES_Bonus[[#This Row],[Bonus d''Or]]</f>
        <v>0</v>
      </c>
      <c r="E3" s="838">
        <v>0</v>
      </c>
      <c r="G3" s="216" t="str">
        <f>IF(AND('Combats - Loots'!$D$2&gt;=H3,'Combats - Loots'!$D$2&lt;H4),1,"")</f>
        <v/>
      </c>
      <c r="H3" s="209">
        <v>-10</v>
      </c>
      <c r="I3" s="212">
        <v>0.05</v>
      </c>
      <c r="K3" s="216" t="str">
        <f>IF(Paramètres!$BI$2=1,1,"")</f>
        <v/>
      </c>
      <c r="L3" s="740">
        <v>10</v>
      </c>
    </row>
    <row r="4" spans="1:12">
      <c r="A4" s="801" t="str">
        <f>IF(AND(Paramètres!$BL$2&gt;=B4,Paramètres!$BL$2&lt;B5),1,"")</f>
        <v/>
      </c>
      <c r="B4" s="860">
        <v>400</v>
      </c>
      <c r="C4" s="834">
        <v>600</v>
      </c>
      <c r="D4" s="836">
        <f>LEAGUES_Bonus[[#This Row],[Bonus d''Or]]</f>
        <v>600</v>
      </c>
      <c r="E4" s="839">
        <v>0</v>
      </c>
      <c r="G4" s="216" t="str">
        <f>IF(AND('Combats - Loots'!$D$2&gt;=H4,'Combats - Loots'!$D$2&lt;H5),1,"")</f>
        <v/>
      </c>
      <c r="H4" s="209">
        <v>-9</v>
      </c>
      <c r="I4" s="212">
        <v>0.05</v>
      </c>
      <c r="K4" s="216">
        <f>IF(Paramètres!$BI$2=2,1,"")</f>
        <v>1</v>
      </c>
      <c r="L4" s="740">
        <v>50</v>
      </c>
    </row>
    <row r="5" spans="1:12">
      <c r="A5" s="801" t="str">
        <f>IF(AND(Paramètres!$BL$2&gt;=B5,Paramètres!$BL$2&lt;B6),1,"")</f>
        <v/>
      </c>
      <c r="B5" s="860">
        <v>500</v>
      </c>
      <c r="C5" s="834">
        <v>800</v>
      </c>
      <c r="D5" s="836">
        <f>LEAGUES_Bonus[[#This Row],[Bonus d''Or]]</f>
        <v>800</v>
      </c>
      <c r="E5" s="839">
        <v>0</v>
      </c>
      <c r="G5" s="216" t="str">
        <f>IF(AND('Combats - Loots'!$D$2&gt;=H5,'Combats - Loots'!$D$2&lt;H6),1,"")</f>
        <v/>
      </c>
      <c r="H5" s="209">
        <v>-8</v>
      </c>
      <c r="I5" s="212">
        <v>0.05</v>
      </c>
      <c r="K5" s="216" t="str">
        <f>IF(Paramètres!$BI$2=3,1,"")</f>
        <v/>
      </c>
      <c r="L5" s="740">
        <v>75</v>
      </c>
    </row>
    <row r="6" spans="1:12">
      <c r="A6" s="801" t="str">
        <f>IF(AND(Paramètres!$BL$2&gt;=B6,Paramètres!$BL$2&lt;B7),1,"")</f>
        <v/>
      </c>
      <c r="B6" s="860">
        <v>600</v>
      </c>
      <c r="C6" s="834">
        <v>1000</v>
      </c>
      <c r="D6" s="836">
        <f>LEAGUES_Bonus[[#This Row],[Bonus d''Or]]</f>
        <v>1000</v>
      </c>
      <c r="E6" s="839">
        <v>0</v>
      </c>
      <c r="G6" s="216" t="str">
        <f>IF(AND('Combats - Loots'!$D$2&gt;=H6,'Combats - Loots'!$D$2&lt;H7),1,"")</f>
        <v/>
      </c>
      <c r="H6" s="209">
        <v>-7</v>
      </c>
      <c r="I6" s="212">
        <v>0.05</v>
      </c>
      <c r="K6" s="216" t="str">
        <f>IF(Paramètres!$BI$2=4,1,"")</f>
        <v/>
      </c>
      <c r="L6" s="740">
        <v>110</v>
      </c>
    </row>
    <row r="7" spans="1:12">
      <c r="A7" s="800" t="str">
        <f>IF(AND(Paramètres!$BL$2&gt;=B7,Paramètres!$BL$2&lt;B8),1,"")</f>
        <v/>
      </c>
      <c r="B7" s="860">
        <v>800</v>
      </c>
      <c r="C7" s="834">
        <v>2000</v>
      </c>
      <c r="D7" s="836">
        <f>LEAGUES_Bonus[[#This Row],[Bonus d''Or]]</f>
        <v>2000</v>
      </c>
      <c r="E7" s="839">
        <v>0</v>
      </c>
      <c r="G7" s="216" t="str">
        <f>IF(AND('Combats - Loots'!$D$2&gt;=H7,'Combats - Loots'!$D$2&lt;H8),1,"")</f>
        <v/>
      </c>
      <c r="H7" s="209">
        <v>-6</v>
      </c>
      <c r="I7" s="212">
        <v>0.05</v>
      </c>
      <c r="K7" s="216" t="str">
        <f>IF(Paramètres!$BI$2=5,1,"")</f>
        <v/>
      </c>
      <c r="L7" s="740">
        <v>170</v>
      </c>
    </row>
    <row r="8" spans="1:12">
      <c r="A8" s="800">
        <f>IF(AND(Paramètres!$BL$2&gt;=B8,Paramètres!$BL$2&lt;B9),1,"")</f>
        <v>1</v>
      </c>
      <c r="B8" s="860">
        <v>1000</v>
      </c>
      <c r="C8" s="834">
        <v>3000</v>
      </c>
      <c r="D8" s="836">
        <f>LEAGUES_Bonus[[#This Row],[Bonus d''Or]]</f>
        <v>3000</v>
      </c>
      <c r="E8" s="839">
        <v>0</v>
      </c>
      <c r="G8" s="216" t="str">
        <f>IF(AND('Combats - Loots'!$D$2&gt;=H8,'Combats - Loots'!$D$2&lt;H9),1,"")</f>
        <v/>
      </c>
      <c r="H8" s="209">
        <v>-5</v>
      </c>
      <c r="I8" s="212">
        <v>0.05</v>
      </c>
      <c r="K8" s="216" t="str">
        <f>IF(Paramètres!$BI$2=6,1,"")</f>
        <v/>
      </c>
      <c r="L8" s="740">
        <v>250</v>
      </c>
    </row>
    <row r="9" spans="1:12">
      <c r="A9" s="800" t="str">
        <f>IF(AND(Paramètres!$BL$2&gt;=B9,Paramètres!$BL$2&lt;B10),1,"")</f>
        <v/>
      </c>
      <c r="B9" s="860">
        <v>1200</v>
      </c>
      <c r="C9" s="834">
        <v>4000</v>
      </c>
      <c r="D9" s="836">
        <f>LEAGUES_Bonus[[#This Row],[Bonus d''Or]]</f>
        <v>4000</v>
      </c>
      <c r="E9" s="839">
        <v>0</v>
      </c>
      <c r="G9" s="216" t="str">
        <f>IF(AND('Combats - Loots'!$D$2&gt;=H9,'Combats - Loots'!$D$2&lt;H10),1,"")</f>
        <v/>
      </c>
      <c r="H9" s="209">
        <v>-4</v>
      </c>
      <c r="I9" s="212">
        <v>0.05</v>
      </c>
      <c r="K9" s="216" t="str">
        <f>IF(Paramètres!$BI$2=7,1,"")</f>
        <v/>
      </c>
      <c r="L9" s="740">
        <v>380</v>
      </c>
    </row>
    <row r="10" spans="1:12">
      <c r="A10" s="799" t="str">
        <f>IF(AND(Paramètres!$BL$2&gt;=B10,Paramètres!$BL$2&lt;B11),1,"")</f>
        <v/>
      </c>
      <c r="B10" s="860">
        <v>1400</v>
      </c>
      <c r="C10" s="834">
        <v>8000</v>
      </c>
      <c r="D10" s="836">
        <f>LEAGUES_Bonus[[#This Row],[Bonus d''Or]]</f>
        <v>8000</v>
      </c>
      <c r="E10" s="839">
        <v>0</v>
      </c>
      <c r="G10" s="216" t="str">
        <f>IF(AND('Combats - Loots'!$D$2&gt;=H10,'Combats - Loots'!$D$2&lt;H11),1,"")</f>
        <v/>
      </c>
      <c r="H10" s="209">
        <v>-3</v>
      </c>
      <c r="I10" s="212">
        <v>0.25</v>
      </c>
      <c r="K10" s="216" t="str">
        <f>IF(Paramètres!$BI$2=8,1,"")</f>
        <v/>
      </c>
      <c r="L10" s="740">
        <v>580</v>
      </c>
    </row>
    <row r="11" spans="1:12">
      <c r="A11" s="799" t="str">
        <f>IF(AND(Paramètres!$BL$2&gt;=B11,Paramètres!$BL$2&lt;B12),1,"")</f>
        <v/>
      </c>
      <c r="B11" s="860">
        <v>1600</v>
      </c>
      <c r="C11" s="834">
        <v>11000</v>
      </c>
      <c r="D11" s="836">
        <f>LEAGUES_Bonus[[#This Row],[Bonus d''Or]]</f>
        <v>11000</v>
      </c>
      <c r="E11" s="839">
        <v>0</v>
      </c>
      <c r="G11" s="216" t="str">
        <f>IF(AND('Combats - Loots'!$D$2&gt;=H11,'Combats - Loots'!$D$2&lt;H12),1,"")</f>
        <v/>
      </c>
      <c r="H11" s="209">
        <v>-2</v>
      </c>
      <c r="I11" s="212">
        <v>0.5</v>
      </c>
      <c r="K11" s="216" t="str">
        <f>IF(Paramètres!$BI$2=9,1,"")</f>
        <v/>
      </c>
      <c r="L11" s="740">
        <v>750</v>
      </c>
    </row>
    <row r="12" spans="1:12">
      <c r="A12" s="799" t="str">
        <f>IF(AND(Paramètres!$BL$2&gt;=B12,Paramètres!$BL$2&lt;B13),1,"")</f>
        <v/>
      </c>
      <c r="B12" s="860">
        <v>1800</v>
      </c>
      <c r="C12" s="834">
        <v>14000</v>
      </c>
      <c r="D12" s="836">
        <f>LEAGUES_Bonus[[#This Row],[Bonus d''Or]]</f>
        <v>14000</v>
      </c>
      <c r="E12" s="839">
        <v>0</v>
      </c>
      <c r="G12" s="216" t="str">
        <f>IF(AND('Combats - Loots'!$D$2&gt;=H12,'Combats - Loots'!$D$2&lt;H13),1,"")</f>
        <v/>
      </c>
      <c r="H12" s="209">
        <v>-1</v>
      </c>
      <c r="I12" s="212">
        <v>0.9</v>
      </c>
      <c r="K12" s="216" t="str">
        <f>IF(Paramètres!$BI$2=10,1,"")</f>
        <v/>
      </c>
      <c r="L12" s="740">
        <v>1000</v>
      </c>
    </row>
    <row r="13" spans="1:12">
      <c r="A13" s="802" t="str">
        <f>IF(AND(Paramètres!$BL$2&gt;=B13,Paramètres!$BL$2&lt;B14),1,"")</f>
        <v/>
      </c>
      <c r="B13" s="860">
        <v>2000</v>
      </c>
      <c r="C13" s="834">
        <v>40000</v>
      </c>
      <c r="D13" s="836">
        <f>LEAGUES_Bonus[[#This Row],[Bonus d''Or]]</f>
        <v>40000</v>
      </c>
      <c r="E13" s="839">
        <v>120</v>
      </c>
      <c r="G13" s="216" t="str">
        <f>IF(AND('Combats - Loots'!$D$2&gt;=H13,'Combats - Loots'!$D$2&lt;H14),1,"")</f>
        <v/>
      </c>
      <c r="H13" s="209">
        <v>0</v>
      </c>
      <c r="I13" s="212">
        <v>1</v>
      </c>
      <c r="K13" s="216" t="str">
        <f>IF(Paramètres!$BI$2=11,1,"")</f>
        <v/>
      </c>
      <c r="L13" s="740">
        <v>1001</v>
      </c>
    </row>
    <row r="14" spans="1:12">
      <c r="A14" s="802" t="str">
        <f>IF(AND(Paramètres!$BL$2&gt;=B14,Paramètres!$BL$2&lt;B15),1,"")</f>
        <v/>
      </c>
      <c r="B14" s="860">
        <v>2200</v>
      </c>
      <c r="C14" s="834">
        <v>55000</v>
      </c>
      <c r="D14" s="836">
        <f>LEAGUES_Bonus[[#This Row],[Bonus d''Or]]</f>
        <v>55000</v>
      </c>
      <c r="E14" s="839">
        <v>220</v>
      </c>
      <c r="G14" s="216" t="str">
        <f>IF(AND('Combats - Loots'!$D$2&gt;=H14,'Combats - Loots'!$D$2&lt;H15),1,"")</f>
        <v/>
      </c>
      <c r="H14" s="209">
        <v>1</v>
      </c>
      <c r="I14" s="212">
        <v>1.1000000000000001</v>
      </c>
    </row>
    <row r="15" spans="1:12">
      <c r="A15" s="802" t="str">
        <f>IF(AND(Paramètres!$BL$2&gt;=B15,Paramètres!$BL$2&lt;B16),1,"")</f>
        <v/>
      </c>
      <c r="B15" s="860">
        <v>2400</v>
      </c>
      <c r="C15" s="834">
        <v>65000</v>
      </c>
      <c r="D15" s="836">
        <f>LEAGUES_Bonus[[#This Row],[Bonus d''Or]]</f>
        <v>65000</v>
      </c>
      <c r="E15" s="839">
        <v>300</v>
      </c>
      <c r="G15" s="216" t="str">
        <f>IF(AND('Combats - Loots'!$D$2&gt;=H15,'Combats - Loots'!$D$2&lt;H16),1,"")</f>
        <v/>
      </c>
      <c r="H15" s="209">
        <v>2</v>
      </c>
      <c r="I15" s="212">
        <v>1.5</v>
      </c>
    </row>
    <row r="16" spans="1:12">
      <c r="A16" s="804" t="str">
        <f>IF(AND(Paramètres!$BL$2&gt;=B16,Paramètres!$BL$2&lt;B17),1,"")</f>
        <v/>
      </c>
      <c r="B16" s="860">
        <v>2600</v>
      </c>
      <c r="C16" s="834">
        <v>100000</v>
      </c>
      <c r="D16" s="836">
        <f>LEAGUES_Bonus[[#This Row],[Bonus d''Or]]</f>
        <v>100000</v>
      </c>
      <c r="E16" s="839">
        <v>500</v>
      </c>
      <c r="G16" s="216" t="str">
        <f>IF(AND('Combats - Loots'!$D$2&gt;=H16,'Combats - Loots'!$D$2&lt;H17),1,"")</f>
        <v/>
      </c>
      <c r="H16" s="209">
        <v>3</v>
      </c>
      <c r="I16" s="212">
        <v>2</v>
      </c>
    </row>
    <row r="17" spans="1:9">
      <c r="A17" s="804" t="str">
        <f>IF(AND(Paramètres!$BL$2&gt;=B17,Paramètres!$BL$2&lt;B18),1,"")</f>
        <v/>
      </c>
      <c r="B17" s="860">
        <v>2800</v>
      </c>
      <c r="C17" s="834">
        <v>120000</v>
      </c>
      <c r="D17" s="836">
        <f>LEAGUES_Bonus[[#This Row],[Bonus d''Or]]</f>
        <v>120000</v>
      </c>
      <c r="E17" s="839">
        <v>700</v>
      </c>
      <c r="G17" s="216" t="str">
        <f>IF(AND('Combats - Loots'!$D$2&gt;=H17,'Combats - Loots'!$D$2&lt;H18),1,"")</f>
        <v/>
      </c>
      <c r="H17" s="209">
        <v>4</v>
      </c>
      <c r="I17" s="212">
        <v>2</v>
      </c>
    </row>
    <row r="18" spans="1:9">
      <c r="A18" s="804" t="str">
        <f>IF(AND(Paramètres!$BL$2&gt;=B18,Paramètres!$BL$2&lt;B19),1,"")</f>
        <v/>
      </c>
      <c r="B18" s="860">
        <v>3000</v>
      </c>
      <c r="C18" s="834">
        <v>140000</v>
      </c>
      <c r="D18" s="836">
        <f>LEAGUES_Bonus[[#This Row],[Bonus d''Or]]</f>
        <v>140000</v>
      </c>
      <c r="E18" s="839">
        <v>900</v>
      </c>
      <c r="G18" s="216" t="str">
        <f>IF(AND('Combats - Loots'!$D$2&gt;=H18,'Combats - Loots'!$D$2&lt;H19),1,"")</f>
        <v/>
      </c>
      <c r="H18" s="209">
        <v>5</v>
      </c>
      <c r="I18" s="212">
        <v>2</v>
      </c>
    </row>
    <row r="19" spans="1:9">
      <c r="A19" s="803" t="str">
        <f>IF(AND(Paramètres!$BL$2&gt;=B19,Paramètres!$BL$2&lt;B20),1,"")</f>
        <v/>
      </c>
      <c r="B19" s="860">
        <v>3200</v>
      </c>
      <c r="C19" s="834">
        <v>180000</v>
      </c>
      <c r="D19" s="836">
        <f>LEAGUES_Bonus[[#This Row],[Bonus d''Or]]</f>
        <v>180000</v>
      </c>
      <c r="E19" s="839">
        <v>1200</v>
      </c>
      <c r="G19" s="216" t="str">
        <f>IF(AND('Combats - Loots'!$D$2&gt;=H19,'Combats - Loots'!$D$2&lt;H20),1,"")</f>
        <v/>
      </c>
      <c r="H19" s="209">
        <v>6</v>
      </c>
      <c r="I19" s="212">
        <v>2</v>
      </c>
    </row>
    <row r="20" spans="1:9">
      <c r="A20" s="803" t="str">
        <f>IF(AND(Paramètres!$BL$2&gt;=B20,Paramètres!$BL$2&lt;B26),1,"")</f>
        <v/>
      </c>
      <c r="B20" s="860">
        <v>3500</v>
      </c>
      <c r="C20" s="861">
        <v>190000</v>
      </c>
      <c r="D20" s="836">
        <f>LEAGUES_Bonus[[#This Row],[Bonus d''Or]]</f>
        <v>190000</v>
      </c>
      <c r="E20" s="869">
        <v>1300</v>
      </c>
      <c r="G20" s="216">
        <f>IF(AND('Combats - Loots'!$D$2&gt;=H20,'Combats - Loots'!$D$2&lt;H21),1,"")</f>
        <v>1</v>
      </c>
      <c r="H20" s="209">
        <v>7</v>
      </c>
      <c r="I20" s="212">
        <v>2</v>
      </c>
    </row>
    <row r="21" spans="1:9">
      <c r="A21" s="803" t="str">
        <f>IF(AND(Paramètres!$BL$2&gt;=B21,Paramètres!$BL$2&lt;B26),1,"")</f>
        <v/>
      </c>
      <c r="B21" s="860">
        <v>3800</v>
      </c>
      <c r="C21" s="861">
        <v>200000</v>
      </c>
      <c r="D21" s="836">
        <f>LEAGUES_Bonus[[#This Row],[Bonus d''Or]]</f>
        <v>200000</v>
      </c>
      <c r="E21" s="869">
        <v>1500</v>
      </c>
      <c r="G21" s="216" t="str">
        <f>IF(AND('Combats - Loots'!$D$2&gt;=H21,'Combats - Loots'!$D$2&lt;H22),1,"")</f>
        <v/>
      </c>
      <c r="H21" s="209">
        <v>8</v>
      </c>
      <c r="I21" s="212">
        <v>2</v>
      </c>
    </row>
    <row r="22" spans="1:9">
      <c r="A22" s="859" t="str">
        <f>IF(AND(Paramètres!$BL$2&gt;=B22,Paramètres!$BL$2&lt;B26),1,"")</f>
        <v/>
      </c>
      <c r="B22" s="860">
        <v>4100</v>
      </c>
      <c r="C22" s="861">
        <v>210000</v>
      </c>
      <c r="D22" s="836">
        <f>LEAGUES_Bonus[[#This Row],[Bonus d''Or]]</f>
        <v>210000</v>
      </c>
      <c r="E22" s="869">
        <v>1600</v>
      </c>
      <c r="G22" s="216" t="str">
        <f>IF(AND('Combats - Loots'!$D$2&gt;=H22,'Combats - Loots'!$D$2&lt;H23),1,"")</f>
        <v/>
      </c>
      <c r="H22" s="209">
        <v>9</v>
      </c>
      <c r="I22" s="212">
        <v>2</v>
      </c>
    </row>
    <row r="23" spans="1:9" ht="15.75" thickBot="1">
      <c r="A23" s="859" t="str">
        <f>IF(AND(Paramètres!$BL$2&gt;=B23,Paramètres!$BL$2&lt;B24),1,"")</f>
        <v/>
      </c>
      <c r="B23" s="860">
        <v>4400</v>
      </c>
      <c r="C23" s="861">
        <v>220000</v>
      </c>
      <c r="D23" s="836">
        <f>LEAGUES_Bonus[[#This Row],[Bonus d''Or]]</f>
        <v>220000</v>
      </c>
      <c r="E23" s="869">
        <v>1700</v>
      </c>
      <c r="G23" s="217" t="str">
        <f>IF(AND('Combats - Loots'!$D$2&gt;=H23,'Combats - Loots'!$D$2&lt;H24),1,"")</f>
        <v/>
      </c>
      <c r="H23" s="210">
        <v>10</v>
      </c>
      <c r="I23" s="213">
        <v>2</v>
      </c>
    </row>
    <row r="24" spans="1:9">
      <c r="A24" s="859" t="str">
        <f>IF(AND(Paramètres!$BL$2&gt;=B24,Paramètres!$BL$2&lt;B25),1,"")</f>
        <v/>
      </c>
      <c r="B24" s="860">
        <v>4600</v>
      </c>
      <c r="C24" s="861">
        <v>250000</v>
      </c>
      <c r="D24" s="836">
        <f>LEAGUES_Bonus[[#This Row],[Bonus d''Or]]</f>
        <v>250000</v>
      </c>
      <c r="E24" s="869">
        <v>1800</v>
      </c>
    </row>
    <row r="25" spans="1:9" ht="15.75" thickBot="1">
      <c r="A25" s="870" t="str">
        <f>IF(AND(Paramètres!$BL$2&gt;=B25,Paramètres!$BL$2&lt;B26),1,"")</f>
        <v/>
      </c>
      <c r="B25" s="871">
        <v>5000</v>
      </c>
      <c r="C25" s="872">
        <v>250000</v>
      </c>
      <c r="D25" s="837">
        <f>LEAGUES_Bonus[[#This Row],[Bonus d''Or]]</f>
        <v>250000</v>
      </c>
      <c r="E25" s="873">
        <v>2000</v>
      </c>
    </row>
  </sheetData>
  <sheetProtection selectLockedCells="1"/>
  <mergeCells count="3">
    <mergeCell ref="A1:E1"/>
    <mergeCell ref="G1:I1"/>
    <mergeCell ref="K1:L1"/>
  </mergeCells>
  <pageMargins left="0.7" right="0.7" top="0.75" bottom="0.75" header="0.3" footer="0.3"/>
  <pageSetup paperSize="9" orientation="portrait" r:id="rId1"/>
  <tableParts count="3">
    <tablePart r:id="rId2"/>
    <tablePart r:id="rId3"/>
    <tablePart r:id="rId4"/>
  </tableParts>
</worksheet>
</file>

<file path=xl/worksheets/sheet14.xml><?xml version="1.0" encoding="utf-8"?>
<worksheet xmlns="http://schemas.openxmlformats.org/spreadsheetml/2006/main" xmlns:r="http://schemas.openxmlformats.org/officeDocument/2006/relationships">
  <sheetPr codeName="Feuil13">
    <tabColor rgb="FFFF0000"/>
  </sheetPr>
  <dimension ref="A1:AN40"/>
  <sheetViews>
    <sheetView showGridLines="0" zoomScale="85" zoomScaleNormal="85" workbookViewId="0">
      <selection activeCell="G22" sqref="G22"/>
    </sheetView>
  </sheetViews>
  <sheetFormatPr baseColWidth="10" defaultColWidth="11.42578125" defaultRowHeight="11.25"/>
  <cols>
    <col min="1" max="2" width="4.7109375" style="156" customWidth="1"/>
    <col min="3" max="3" width="5.7109375" style="156" customWidth="1"/>
    <col min="4" max="4" width="6.7109375" style="156" customWidth="1"/>
    <col min="5" max="6" width="4.7109375" style="156" customWidth="1"/>
    <col min="7" max="7" width="5.7109375" style="156" customWidth="1"/>
    <col min="8" max="8" width="6.7109375" style="156" customWidth="1"/>
    <col min="9" max="10" width="4.7109375" style="156" customWidth="1"/>
    <col min="11" max="11" width="5.7109375" style="156" customWidth="1"/>
    <col min="12" max="12" width="6.7109375" style="156" customWidth="1"/>
    <col min="13" max="14" width="4.7109375" style="156" customWidth="1"/>
    <col min="15" max="15" width="5.7109375" style="156" customWidth="1"/>
    <col min="16" max="16" width="6.7109375" style="156" customWidth="1"/>
    <col min="17" max="18" width="4.7109375" style="156" customWidth="1"/>
    <col min="19" max="19" width="5.7109375" style="156" customWidth="1"/>
    <col min="20" max="20" width="6.7109375" style="156" customWidth="1"/>
    <col min="21" max="22" width="4.7109375" style="156" customWidth="1"/>
    <col min="23" max="23" width="5.7109375" style="156" customWidth="1"/>
    <col min="24" max="24" width="6.7109375" style="156" customWidth="1"/>
    <col min="25" max="26" width="4.7109375" style="156" customWidth="1"/>
    <col min="27" max="27" width="5.7109375" style="156" customWidth="1"/>
    <col min="28" max="28" width="6.7109375" style="156" customWidth="1"/>
    <col min="29" max="30" width="4.7109375" style="156" customWidth="1"/>
    <col min="31" max="31" width="5.7109375" style="156" customWidth="1"/>
    <col min="32" max="32" width="6.7109375" style="156" customWidth="1"/>
    <col min="33" max="34" width="4.7109375" style="156" customWidth="1"/>
    <col min="35" max="35" width="5.7109375" style="156" customWidth="1"/>
    <col min="36" max="36" width="6.7109375" style="156" customWidth="1"/>
    <col min="37" max="38" width="4.7109375" style="156" customWidth="1"/>
    <col min="39" max="39" width="5.7109375" style="156" customWidth="1"/>
    <col min="40" max="40" width="6.7109375" style="156" customWidth="1"/>
    <col min="41" max="16384" width="11.42578125" style="156"/>
  </cols>
  <sheetData>
    <row r="1" spans="1:40" ht="30" customHeight="1" thickBot="1">
      <c r="A1" s="1272" t="s">
        <v>711</v>
      </c>
      <c r="B1" s="1273"/>
      <c r="C1" s="1273"/>
      <c r="D1" s="1273"/>
      <c r="E1" s="1273"/>
      <c r="F1" s="1273"/>
      <c r="G1" s="1273"/>
      <c r="H1" s="1273"/>
      <c r="I1" s="1273"/>
      <c r="J1" s="1273"/>
      <c r="K1" s="1273"/>
      <c r="L1" s="1273"/>
      <c r="M1" s="1273"/>
      <c r="N1" s="1273"/>
      <c r="O1" s="1273"/>
      <c r="P1" s="1273"/>
      <c r="Q1" s="1273"/>
      <c r="R1" s="1273"/>
      <c r="S1" s="1273"/>
      <c r="T1" s="1274"/>
      <c r="Y1" s="1272" t="s">
        <v>711</v>
      </c>
      <c r="Z1" s="1273"/>
      <c r="AA1" s="1273"/>
      <c r="AB1" s="1273"/>
      <c r="AC1" s="1273"/>
      <c r="AD1" s="1273"/>
      <c r="AE1" s="1273"/>
      <c r="AF1" s="1273"/>
      <c r="AG1" s="1273"/>
      <c r="AH1" s="1273"/>
      <c r="AI1" s="1273"/>
      <c r="AJ1" s="1273"/>
    </row>
    <row r="2" spans="1:40" ht="20.100000000000001" customHeight="1" thickBot="1">
      <c r="A2" s="1300" t="s">
        <v>247</v>
      </c>
      <c r="B2" s="1301"/>
      <c r="C2" s="1301"/>
      <c r="D2" s="1301"/>
      <c r="E2" s="1301"/>
      <c r="F2" s="1301"/>
      <c r="G2" s="1301"/>
      <c r="H2" s="1301"/>
      <c r="I2" s="1301"/>
      <c r="J2" s="1301"/>
      <c r="K2" s="1301"/>
      <c r="L2" s="1301"/>
      <c r="M2" s="1301"/>
      <c r="N2" s="1301"/>
      <c r="O2" s="1301"/>
      <c r="P2" s="1301"/>
      <c r="Q2" s="1301"/>
      <c r="R2" s="1301"/>
      <c r="S2" s="1301"/>
      <c r="T2" s="1302"/>
      <c r="Y2" s="1303" t="s">
        <v>247</v>
      </c>
      <c r="Z2" s="1304"/>
      <c r="AA2" s="1304"/>
      <c r="AB2" s="1304"/>
      <c r="AC2" s="1304"/>
      <c r="AD2" s="1304"/>
      <c r="AE2" s="1304"/>
      <c r="AF2" s="1304"/>
      <c r="AG2" s="1304"/>
      <c r="AH2" s="1304"/>
      <c r="AI2" s="1304"/>
      <c r="AJ2" s="1304"/>
    </row>
    <row r="3" spans="1:40" ht="12" customHeight="1" thickBot="1">
      <c r="A3" s="1282" t="s">
        <v>190</v>
      </c>
      <c r="B3" s="1283"/>
      <c r="C3" s="1283"/>
      <c r="D3" s="1284"/>
      <c r="E3" s="1282" t="s">
        <v>191</v>
      </c>
      <c r="F3" s="1283"/>
      <c r="G3" s="1283"/>
      <c r="H3" s="1284"/>
      <c r="I3" s="1282" t="s">
        <v>192</v>
      </c>
      <c r="J3" s="1283"/>
      <c r="K3" s="1283"/>
      <c r="L3" s="1284"/>
      <c r="M3" s="1282" t="s">
        <v>193</v>
      </c>
      <c r="N3" s="1283"/>
      <c r="O3" s="1283"/>
      <c r="P3" s="1284"/>
      <c r="Q3" s="1282" t="s">
        <v>194</v>
      </c>
      <c r="R3" s="1283"/>
      <c r="S3" s="1283"/>
      <c r="T3" s="1284"/>
      <c r="Y3" s="1282" t="str">
        <f>Paramètres!AL2</f>
        <v>Sort de Poison</v>
      </c>
      <c r="Z3" s="1283"/>
      <c r="AA3" s="1283"/>
      <c r="AB3" s="1284"/>
      <c r="AC3" s="1282" t="str">
        <f>Paramètres!AM2</f>
        <v>Sort de Séisme</v>
      </c>
      <c r="AD3" s="1283"/>
      <c r="AE3" s="1283"/>
      <c r="AF3" s="1284"/>
      <c r="AG3" s="1282" t="str">
        <f>Paramètres!AN2</f>
        <v>Sort de Hâte</v>
      </c>
      <c r="AH3" s="1283"/>
      <c r="AI3" s="1283"/>
      <c r="AJ3" s="1284"/>
    </row>
    <row r="4" spans="1:40" ht="23.25" thickBot="1">
      <c r="A4" s="161" t="s">
        <v>17</v>
      </c>
      <c r="B4" s="162" t="s">
        <v>390</v>
      </c>
      <c r="C4" s="255" t="s">
        <v>258</v>
      </c>
      <c r="D4" s="163" t="s">
        <v>259</v>
      </c>
      <c r="E4" s="161" t="s">
        <v>17</v>
      </c>
      <c r="F4" s="162" t="s">
        <v>390</v>
      </c>
      <c r="G4" s="255" t="s">
        <v>258</v>
      </c>
      <c r="H4" s="163" t="s">
        <v>259</v>
      </c>
      <c r="I4" s="161" t="s">
        <v>17</v>
      </c>
      <c r="J4" s="162" t="s">
        <v>390</v>
      </c>
      <c r="K4" s="255" t="s">
        <v>258</v>
      </c>
      <c r="L4" s="163" t="s">
        <v>259</v>
      </c>
      <c r="M4" s="161" t="s">
        <v>17</v>
      </c>
      <c r="N4" s="162" t="s">
        <v>390</v>
      </c>
      <c r="O4" s="255" t="s">
        <v>258</v>
      </c>
      <c r="P4" s="163" t="s">
        <v>259</v>
      </c>
      <c r="Q4" s="177" t="s">
        <v>17</v>
      </c>
      <c r="R4" s="462" t="s">
        <v>390</v>
      </c>
      <c r="S4" s="463" t="s">
        <v>258</v>
      </c>
      <c r="T4" s="464" t="s">
        <v>259</v>
      </c>
      <c r="Y4" s="161" t="s">
        <v>17</v>
      </c>
      <c r="Z4" s="162" t="s">
        <v>390</v>
      </c>
      <c r="AA4" s="255" t="s">
        <v>258</v>
      </c>
      <c r="AB4" s="163" t="s">
        <v>259</v>
      </c>
      <c r="AC4" s="161" t="s">
        <v>17</v>
      </c>
      <c r="AD4" s="162" t="s">
        <v>390</v>
      </c>
      <c r="AE4" s="255" t="s">
        <v>258</v>
      </c>
      <c r="AF4" s="163" t="s">
        <v>259</v>
      </c>
      <c r="AG4" s="161" t="s">
        <v>17</v>
      </c>
      <c r="AH4" s="162" t="s">
        <v>390</v>
      </c>
      <c r="AI4" s="255" t="s">
        <v>258</v>
      </c>
      <c r="AJ4" s="163" t="s">
        <v>259</v>
      </c>
    </row>
    <row r="5" spans="1:40">
      <c r="A5" s="145">
        <v>1</v>
      </c>
      <c r="B5" s="257">
        <v>2</v>
      </c>
      <c r="C5" s="409">
        <v>15000</v>
      </c>
      <c r="D5" s="167">
        <v>1200</v>
      </c>
      <c r="E5" s="145">
        <v>1</v>
      </c>
      <c r="F5" s="257">
        <v>2</v>
      </c>
      <c r="G5" s="409">
        <v>15000</v>
      </c>
      <c r="H5" s="167">
        <v>1200</v>
      </c>
      <c r="I5" s="145">
        <v>1</v>
      </c>
      <c r="J5" s="257">
        <v>2</v>
      </c>
      <c r="K5" s="409">
        <v>23000</v>
      </c>
      <c r="L5" s="167">
        <v>1800</v>
      </c>
      <c r="M5" s="145">
        <v>1</v>
      </c>
      <c r="N5" s="257">
        <v>2</v>
      </c>
      <c r="O5" s="409">
        <v>23000</v>
      </c>
      <c r="P5" s="167">
        <v>1800</v>
      </c>
      <c r="Q5" s="796">
        <v>1</v>
      </c>
      <c r="R5" s="631">
        <v>2</v>
      </c>
      <c r="S5" s="789">
        <v>26000</v>
      </c>
      <c r="T5" s="174">
        <v>1800</v>
      </c>
      <c r="Y5" s="145">
        <v>1</v>
      </c>
      <c r="Z5" s="257">
        <v>1</v>
      </c>
      <c r="AA5" s="256">
        <v>95</v>
      </c>
      <c r="AB5" s="167">
        <v>900</v>
      </c>
      <c r="AC5" s="145">
        <v>1</v>
      </c>
      <c r="AD5" s="257">
        <v>1</v>
      </c>
      <c r="AE5" s="256">
        <v>125</v>
      </c>
      <c r="AF5" s="167">
        <v>900</v>
      </c>
      <c r="AG5" s="145">
        <v>1</v>
      </c>
      <c r="AH5" s="257">
        <v>1</v>
      </c>
      <c r="AI5" s="256">
        <v>80</v>
      </c>
      <c r="AJ5" s="167">
        <v>900</v>
      </c>
    </row>
    <row r="6" spans="1:40">
      <c r="A6" s="7">
        <v>2</v>
      </c>
      <c r="B6" s="258">
        <v>2</v>
      </c>
      <c r="C6" s="409">
        <v>16500</v>
      </c>
      <c r="D6" s="167">
        <v>1200</v>
      </c>
      <c r="E6" s="7">
        <v>2</v>
      </c>
      <c r="F6" s="258">
        <v>2</v>
      </c>
      <c r="G6" s="409">
        <v>16500</v>
      </c>
      <c r="H6" s="167">
        <v>1200</v>
      </c>
      <c r="I6" s="7">
        <v>2</v>
      </c>
      <c r="J6" s="258">
        <v>2</v>
      </c>
      <c r="K6" s="409">
        <v>25000</v>
      </c>
      <c r="L6" s="167">
        <v>1800</v>
      </c>
      <c r="M6" s="7">
        <v>2</v>
      </c>
      <c r="N6" s="258">
        <v>2</v>
      </c>
      <c r="O6" s="609">
        <v>27000</v>
      </c>
      <c r="P6" s="169">
        <v>1800</v>
      </c>
      <c r="Q6" s="482">
        <v>2</v>
      </c>
      <c r="R6" s="630">
        <v>2</v>
      </c>
      <c r="S6" s="790">
        <v>29000</v>
      </c>
      <c r="T6" s="175">
        <v>1800</v>
      </c>
      <c r="Y6" s="7">
        <v>2</v>
      </c>
      <c r="Z6" s="258">
        <v>1</v>
      </c>
      <c r="AA6" s="256">
        <v>110</v>
      </c>
      <c r="AB6" s="167">
        <v>900</v>
      </c>
      <c r="AC6" s="7">
        <v>2</v>
      </c>
      <c r="AD6" s="258">
        <v>1</v>
      </c>
      <c r="AE6" s="256">
        <v>140</v>
      </c>
      <c r="AF6" s="169">
        <v>900</v>
      </c>
      <c r="AG6" s="7">
        <v>2</v>
      </c>
      <c r="AH6" s="258">
        <v>1</v>
      </c>
      <c r="AI6" s="256">
        <v>85</v>
      </c>
      <c r="AJ6" s="169">
        <v>900</v>
      </c>
    </row>
    <row r="7" spans="1:40" ht="12" thickBot="1">
      <c r="A7" s="7">
        <v>3</v>
      </c>
      <c r="B7" s="258">
        <v>2</v>
      </c>
      <c r="C7" s="409">
        <v>18000</v>
      </c>
      <c r="D7" s="167">
        <v>1200</v>
      </c>
      <c r="E7" s="7">
        <v>3</v>
      </c>
      <c r="F7" s="258">
        <v>2</v>
      </c>
      <c r="G7" s="409">
        <v>18000</v>
      </c>
      <c r="H7" s="167">
        <v>1200</v>
      </c>
      <c r="I7" s="7">
        <v>3</v>
      </c>
      <c r="J7" s="258">
        <v>2</v>
      </c>
      <c r="K7" s="409">
        <v>27000</v>
      </c>
      <c r="L7" s="167">
        <v>1800</v>
      </c>
      <c r="M7" s="8">
        <v>3</v>
      </c>
      <c r="N7" s="636">
        <v>2</v>
      </c>
      <c r="O7" s="607">
        <v>31000</v>
      </c>
      <c r="P7" s="638">
        <v>1800</v>
      </c>
      <c r="Q7" s="482">
        <v>3</v>
      </c>
      <c r="R7" s="630">
        <v>2</v>
      </c>
      <c r="S7" s="790">
        <v>31000</v>
      </c>
      <c r="T7" s="175">
        <v>1800</v>
      </c>
      <c r="Y7" s="7">
        <v>3</v>
      </c>
      <c r="Z7" s="258">
        <v>1</v>
      </c>
      <c r="AA7" s="256">
        <v>145</v>
      </c>
      <c r="AB7" s="167">
        <v>900</v>
      </c>
      <c r="AC7" s="7">
        <v>3</v>
      </c>
      <c r="AD7" s="258">
        <v>1</v>
      </c>
      <c r="AE7" s="256">
        <v>160</v>
      </c>
      <c r="AF7" s="169">
        <v>900</v>
      </c>
      <c r="AG7" s="7">
        <v>3</v>
      </c>
      <c r="AH7" s="258">
        <v>1</v>
      </c>
      <c r="AI7" s="256">
        <v>90</v>
      </c>
      <c r="AJ7" s="169">
        <v>900</v>
      </c>
    </row>
    <row r="8" spans="1:40" ht="12" thickBot="1">
      <c r="A8" s="7">
        <v>4</v>
      </c>
      <c r="B8" s="258">
        <v>2</v>
      </c>
      <c r="C8" s="409">
        <v>20000</v>
      </c>
      <c r="D8" s="167">
        <v>1200</v>
      </c>
      <c r="E8" s="7">
        <v>4</v>
      </c>
      <c r="F8" s="258">
        <v>2</v>
      </c>
      <c r="G8" s="409">
        <v>20000</v>
      </c>
      <c r="H8" s="167">
        <v>1200</v>
      </c>
      <c r="I8" s="7">
        <v>4</v>
      </c>
      <c r="J8" s="258">
        <v>2</v>
      </c>
      <c r="K8" s="409">
        <v>30000</v>
      </c>
      <c r="L8" s="167">
        <v>1800</v>
      </c>
      <c r="Q8" s="482">
        <v>4</v>
      </c>
      <c r="R8" s="630">
        <v>2</v>
      </c>
      <c r="S8" s="790">
        <v>33000</v>
      </c>
      <c r="T8" s="175">
        <v>1800</v>
      </c>
      <c r="Y8" s="8">
        <v>4</v>
      </c>
      <c r="Z8" s="259">
        <v>1</v>
      </c>
      <c r="AA8" s="256">
        <v>180</v>
      </c>
      <c r="AB8" s="167">
        <v>900</v>
      </c>
      <c r="AC8" s="7">
        <v>4</v>
      </c>
      <c r="AD8" s="258">
        <v>1</v>
      </c>
      <c r="AE8" s="256">
        <v>180</v>
      </c>
      <c r="AF8" s="169">
        <v>900</v>
      </c>
      <c r="AG8" s="7">
        <v>4</v>
      </c>
      <c r="AH8" s="258">
        <v>1</v>
      </c>
      <c r="AI8" s="256">
        <v>95</v>
      </c>
      <c r="AJ8" s="169">
        <v>900</v>
      </c>
    </row>
    <row r="9" spans="1:40" ht="12" thickBot="1">
      <c r="A9" s="7">
        <v>5</v>
      </c>
      <c r="B9" s="258">
        <v>2</v>
      </c>
      <c r="C9" s="409">
        <v>22000</v>
      </c>
      <c r="D9" s="167">
        <v>1200</v>
      </c>
      <c r="E9" s="7">
        <v>5</v>
      </c>
      <c r="F9" s="258">
        <v>2</v>
      </c>
      <c r="G9" s="409">
        <v>22000</v>
      </c>
      <c r="H9" s="167">
        <v>1200</v>
      </c>
      <c r="I9" s="8">
        <v>5</v>
      </c>
      <c r="J9" s="259">
        <v>2</v>
      </c>
      <c r="K9" s="409">
        <v>33000</v>
      </c>
      <c r="L9" s="167">
        <v>1800</v>
      </c>
      <c r="Q9" s="489">
        <v>5</v>
      </c>
      <c r="R9" s="632">
        <v>2</v>
      </c>
      <c r="S9" s="791">
        <v>35000</v>
      </c>
      <c r="T9" s="460">
        <v>1800</v>
      </c>
    </row>
    <row r="10" spans="1:40" ht="12" thickBot="1">
      <c r="A10" s="8">
        <v>6</v>
      </c>
      <c r="B10" s="259">
        <v>2</v>
      </c>
      <c r="C10" s="409">
        <v>24000</v>
      </c>
      <c r="D10" s="167">
        <v>1200</v>
      </c>
      <c r="E10" s="8">
        <v>6</v>
      </c>
      <c r="F10" s="259">
        <v>2</v>
      </c>
      <c r="G10" s="409">
        <v>24000</v>
      </c>
      <c r="H10" s="167">
        <v>1200</v>
      </c>
    </row>
    <row r="11" spans="1:40" ht="12" customHeight="1">
      <c r="A11" s="188">
        <v>7</v>
      </c>
      <c r="B11" s="259">
        <v>2</v>
      </c>
      <c r="C11" s="887">
        <v>26000</v>
      </c>
      <c r="D11" s="888">
        <v>1200</v>
      </c>
    </row>
    <row r="12" spans="1:40" ht="12" customHeight="1" thickBot="1"/>
    <row r="13" spans="1:40" ht="30" customHeight="1" thickBot="1">
      <c r="A13" s="1272" t="s">
        <v>389</v>
      </c>
      <c r="B13" s="1273"/>
      <c r="C13" s="1273"/>
      <c r="D13" s="1273"/>
      <c r="E13" s="1273"/>
      <c r="F13" s="1273"/>
      <c r="G13" s="1273"/>
      <c r="H13" s="1273"/>
      <c r="I13" s="1273"/>
      <c r="J13" s="1273"/>
      <c r="K13" s="1273"/>
      <c r="L13" s="1273"/>
      <c r="M13" s="1273"/>
      <c r="N13" s="1273"/>
      <c r="O13" s="1273"/>
      <c r="P13" s="1273"/>
      <c r="Q13" s="1273"/>
      <c r="R13" s="1273"/>
      <c r="S13" s="1273"/>
      <c r="T13" s="1273"/>
      <c r="U13" s="1273"/>
      <c r="V13" s="1273"/>
      <c r="W13" s="1273"/>
      <c r="X13" s="1273"/>
      <c r="Y13" s="1273"/>
      <c r="Z13" s="1273"/>
      <c r="AA13" s="1273"/>
      <c r="AB13" s="1273"/>
      <c r="AC13" s="1273"/>
      <c r="AD13" s="1273"/>
      <c r="AE13" s="1273"/>
      <c r="AF13" s="1273"/>
      <c r="AG13" s="1273"/>
      <c r="AH13" s="1273"/>
      <c r="AI13" s="1273"/>
      <c r="AJ13" s="1273"/>
      <c r="AK13" s="1273"/>
      <c r="AL13" s="1273"/>
      <c r="AM13" s="1273"/>
      <c r="AN13" s="1274"/>
    </row>
    <row r="14" spans="1:40" ht="20.100000000000001" customHeight="1" thickBot="1">
      <c r="A14" s="1300" t="s">
        <v>247</v>
      </c>
      <c r="B14" s="1301"/>
      <c r="C14" s="1301"/>
      <c r="D14" s="1301"/>
      <c r="E14" s="1301"/>
      <c r="F14" s="1301"/>
      <c r="G14" s="1301"/>
      <c r="H14" s="1301"/>
      <c r="I14" s="1301"/>
      <c r="J14" s="1301"/>
      <c r="K14" s="1301"/>
      <c r="L14" s="1301"/>
      <c r="M14" s="1301"/>
      <c r="N14" s="1301"/>
      <c r="O14" s="1301"/>
      <c r="P14" s="1301"/>
      <c r="Q14" s="1301"/>
      <c r="R14" s="1301"/>
      <c r="S14" s="1301"/>
      <c r="T14" s="1301"/>
      <c r="U14" s="1301"/>
      <c r="V14" s="1301"/>
      <c r="W14" s="1301"/>
      <c r="X14" s="1301"/>
      <c r="Y14" s="1301"/>
      <c r="Z14" s="1301"/>
      <c r="AA14" s="1301"/>
      <c r="AB14" s="1301"/>
      <c r="AC14" s="1301"/>
      <c r="AD14" s="1301"/>
      <c r="AE14" s="1301"/>
      <c r="AF14" s="1301"/>
      <c r="AG14" s="1301"/>
      <c r="AH14" s="1301"/>
      <c r="AI14" s="1301"/>
      <c r="AJ14" s="1301"/>
      <c r="AK14" s="1301"/>
      <c r="AL14" s="1301"/>
      <c r="AM14" s="1301"/>
      <c r="AN14" s="1302"/>
    </row>
    <row r="15" spans="1:40" ht="15.75" customHeight="1" thickBot="1">
      <c r="A15" s="1282" t="s">
        <v>195</v>
      </c>
      <c r="B15" s="1283"/>
      <c r="C15" s="1283"/>
      <c r="D15" s="1284"/>
      <c r="E15" s="1282" t="s">
        <v>50</v>
      </c>
      <c r="F15" s="1283"/>
      <c r="G15" s="1283"/>
      <c r="H15" s="1284"/>
      <c r="I15" s="1282" t="s">
        <v>189</v>
      </c>
      <c r="J15" s="1283"/>
      <c r="K15" s="1283"/>
      <c r="L15" s="1284"/>
      <c r="M15" s="1282" t="s">
        <v>188</v>
      </c>
      <c r="N15" s="1283"/>
      <c r="O15" s="1283"/>
      <c r="P15" s="1284"/>
      <c r="Q15" s="1282" t="s">
        <v>187</v>
      </c>
      <c r="R15" s="1283"/>
      <c r="S15" s="1283"/>
      <c r="T15" s="1284"/>
      <c r="U15" s="1282" t="s">
        <v>186</v>
      </c>
      <c r="V15" s="1283"/>
      <c r="W15" s="1283"/>
      <c r="X15" s="1284"/>
      <c r="Y15" s="1282" t="s">
        <v>185</v>
      </c>
      <c r="Z15" s="1283"/>
      <c r="AA15" s="1283"/>
      <c r="AB15" s="1284"/>
      <c r="AC15" s="1282" t="s">
        <v>184</v>
      </c>
      <c r="AD15" s="1283"/>
      <c r="AE15" s="1283"/>
      <c r="AF15" s="1284"/>
      <c r="AG15" s="1282" t="s">
        <v>57</v>
      </c>
      <c r="AH15" s="1283"/>
      <c r="AI15" s="1283"/>
      <c r="AJ15" s="1284"/>
      <c r="AK15" s="1282" t="s">
        <v>58</v>
      </c>
      <c r="AL15" s="1283"/>
      <c r="AM15" s="1283"/>
      <c r="AN15" s="1284"/>
    </row>
    <row r="16" spans="1:40" ht="23.25" thickBot="1">
      <c r="A16" s="177" t="s">
        <v>17</v>
      </c>
      <c r="B16" s="462" t="s">
        <v>390</v>
      </c>
      <c r="C16" s="463" t="s">
        <v>258</v>
      </c>
      <c r="D16" s="464" t="s">
        <v>259</v>
      </c>
      <c r="E16" s="177" t="s">
        <v>17</v>
      </c>
      <c r="F16" s="462" t="s">
        <v>390</v>
      </c>
      <c r="G16" s="463" t="s">
        <v>258</v>
      </c>
      <c r="H16" s="464" t="s">
        <v>259</v>
      </c>
      <c r="I16" s="177" t="s">
        <v>17</v>
      </c>
      <c r="J16" s="462" t="s">
        <v>390</v>
      </c>
      <c r="K16" s="463" t="s">
        <v>258</v>
      </c>
      <c r="L16" s="464" t="s">
        <v>259</v>
      </c>
      <c r="M16" s="177" t="s">
        <v>17</v>
      </c>
      <c r="N16" s="462" t="s">
        <v>390</v>
      </c>
      <c r="O16" s="463" t="s">
        <v>258</v>
      </c>
      <c r="P16" s="464" t="s">
        <v>259</v>
      </c>
      <c r="Q16" s="177" t="s">
        <v>17</v>
      </c>
      <c r="R16" s="462" t="s">
        <v>390</v>
      </c>
      <c r="S16" s="463" t="s">
        <v>258</v>
      </c>
      <c r="T16" s="464" t="s">
        <v>259</v>
      </c>
      <c r="U16" s="161" t="s">
        <v>17</v>
      </c>
      <c r="V16" s="162" t="s">
        <v>390</v>
      </c>
      <c r="W16" s="255" t="s">
        <v>258</v>
      </c>
      <c r="X16" s="163" t="s">
        <v>259</v>
      </c>
      <c r="Y16" s="161" t="s">
        <v>17</v>
      </c>
      <c r="Z16" s="162" t="s">
        <v>390</v>
      </c>
      <c r="AA16" s="255" t="s">
        <v>258</v>
      </c>
      <c r="AB16" s="163" t="s">
        <v>259</v>
      </c>
      <c r="AC16" s="161" t="s">
        <v>17</v>
      </c>
      <c r="AD16" s="162" t="s">
        <v>390</v>
      </c>
      <c r="AE16" s="255" t="s">
        <v>258</v>
      </c>
      <c r="AF16" s="163" t="s">
        <v>259</v>
      </c>
      <c r="AG16" s="161" t="s">
        <v>17</v>
      </c>
      <c r="AH16" s="162" t="s">
        <v>390</v>
      </c>
      <c r="AI16" s="255" t="s">
        <v>258</v>
      </c>
      <c r="AJ16" s="163" t="s">
        <v>259</v>
      </c>
      <c r="AK16" s="177" t="s">
        <v>17</v>
      </c>
      <c r="AL16" s="462" t="s">
        <v>390</v>
      </c>
      <c r="AM16" s="463" t="s">
        <v>258</v>
      </c>
      <c r="AN16" s="464" t="s">
        <v>259</v>
      </c>
    </row>
    <row r="17" spans="1:40">
      <c r="A17" s="610">
        <v>1</v>
      </c>
      <c r="B17" s="631">
        <v>1</v>
      </c>
      <c r="C17" s="608">
        <v>25</v>
      </c>
      <c r="D17" s="174">
        <v>20</v>
      </c>
      <c r="E17" s="610">
        <v>1</v>
      </c>
      <c r="F17" s="631">
        <v>1</v>
      </c>
      <c r="G17" s="608">
        <v>50</v>
      </c>
      <c r="H17" s="174">
        <v>25</v>
      </c>
      <c r="I17" s="610">
        <v>1</v>
      </c>
      <c r="J17" s="631">
        <v>1</v>
      </c>
      <c r="K17" s="608">
        <v>25</v>
      </c>
      <c r="L17" s="633">
        <v>30</v>
      </c>
      <c r="M17" s="610">
        <v>1</v>
      </c>
      <c r="N17" s="631">
        <v>5</v>
      </c>
      <c r="O17" s="608">
        <v>250</v>
      </c>
      <c r="P17" s="174">
        <v>120</v>
      </c>
      <c r="Q17" s="459">
        <v>1</v>
      </c>
      <c r="R17" s="465">
        <v>2</v>
      </c>
      <c r="S17" s="448">
        <v>1000</v>
      </c>
      <c r="T17" s="174">
        <v>120</v>
      </c>
      <c r="U17" s="12">
        <v>1</v>
      </c>
      <c r="V17" s="257">
        <v>5</v>
      </c>
      <c r="W17" s="409">
        <v>2000</v>
      </c>
      <c r="X17" s="167">
        <v>480</v>
      </c>
      <c r="Y17" s="145">
        <v>1</v>
      </c>
      <c r="Z17" s="257">
        <v>4</v>
      </c>
      <c r="AA17" s="409">
        <v>1500</v>
      </c>
      <c r="AB17" s="167">
        <v>480</v>
      </c>
      <c r="AC17" s="145">
        <v>1</v>
      </c>
      <c r="AD17" s="257">
        <v>14</v>
      </c>
      <c r="AE17" s="409">
        <v>5000</v>
      </c>
      <c r="AF17" s="167">
        <v>900</v>
      </c>
      <c r="AG17" s="51">
        <v>1</v>
      </c>
      <c r="AH17" s="257">
        <v>20</v>
      </c>
      <c r="AI17" s="409">
        <v>25000</v>
      </c>
      <c r="AJ17" s="167">
        <v>1800</v>
      </c>
      <c r="AK17" s="678">
        <v>1</v>
      </c>
      <c r="AL17" s="631">
        <v>25</v>
      </c>
      <c r="AM17" s="674">
        <v>28000</v>
      </c>
      <c r="AN17" s="174">
        <v>2700</v>
      </c>
    </row>
    <row r="18" spans="1:40">
      <c r="A18" s="482">
        <v>2</v>
      </c>
      <c r="B18" s="630">
        <v>1</v>
      </c>
      <c r="C18" s="609">
        <v>40</v>
      </c>
      <c r="D18" s="175">
        <v>20</v>
      </c>
      <c r="E18" s="482">
        <v>2</v>
      </c>
      <c r="F18" s="630">
        <v>1</v>
      </c>
      <c r="G18" s="609">
        <v>80</v>
      </c>
      <c r="H18" s="175">
        <v>25</v>
      </c>
      <c r="I18" s="482">
        <v>2</v>
      </c>
      <c r="J18" s="630">
        <v>1</v>
      </c>
      <c r="K18" s="609">
        <v>40</v>
      </c>
      <c r="L18" s="169">
        <v>30</v>
      </c>
      <c r="M18" s="482">
        <v>2</v>
      </c>
      <c r="N18" s="630">
        <v>5</v>
      </c>
      <c r="O18" s="609">
        <v>750</v>
      </c>
      <c r="P18" s="175">
        <v>120</v>
      </c>
      <c r="Q18" s="13">
        <v>2</v>
      </c>
      <c r="R18" s="258">
        <v>2</v>
      </c>
      <c r="S18" s="449">
        <v>1500</v>
      </c>
      <c r="T18" s="175">
        <v>120</v>
      </c>
      <c r="U18" s="13">
        <v>2</v>
      </c>
      <c r="V18" s="258">
        <v>5</v>
      </c>
      <c r="W18" s="393">
        <v>2500</v>
      </c>
      <c r="X18" s="169">
        <v>480</v>
      </c>
      <c r="Y18" s="7">
        <v>2</v>
      </c>
      <c r="Z18" s="258">
        <v>4</v>
      </c>
      <c r="AA18" s="393">
        <v>2000</v>
      </c>
      <c r="AB18" s="169">
        <v>480</v>
      </c>
      <c r="AC18" s="7">
        <v>2</v>
      </c>
      <c r="AD18" s="258">
        <v>14</v>
      </c>
      <c r="AE18" s="393">
        <v>6000</v>
      </c>
      <c r="AF18" s="169">
        <v>900</v>
      </c>
      <c r="AG18" s="7">
        <v>2</v>
      </c>
      <c r="AH18" s="258">
        <v>20</v>
      </c>
      <c r="AI18" s="393">
        <v>29000</v>
      </c>
      <c r="AJ18" s="169">
        <v>1800</v>
      </c>
      <c r="AK18" s="482">
        <v>2</v>
      </c>
      <c r="AL18" s="630">
        <v>25</v>
      </c>
      <c r="AM18" s="675">
        <v>35000</v>
      </c>
      <c r="AN18" s="175">
        <v>2700</v>
      </c>
    </row>
    <row r="19" spans="1:40">
      <c r="A19" s="482">
        <v>3</v>
      </c>
      <c r="B19" s="630">
        <v>1</v>
      </c>
      <c r="C19" s="609">
        <v>60</v>
      </c>
      <c r="D19" s="175">
        <v>20</v>
      </c>
      <c r="E19" s="482">
        <v>3</v>
      </c>
      <c r="F19" s="630">
        <v>1</v>
      </c>
      <c r="G19" s="609">
        <v>120</v>
      </c>
      <c r="H19" s="175">
        <v>25</v>
      </c>
      <c r="I19" s="482">
        <v>3</v>
      </c>
      <c r="J19" s="630">
        <v>1</v>
      </c>
      <c r="K19" s="609">
        <v>60</v>
      </c>
      <c r="L19" s="169">
        <v>30</v>
      </c>
      <c r="M19" s="482">
        <v>3</v>
      </c>
      <c r="N19" s="630">
        <v>5</v>
      </c>
      <c r="O19" s="609">
        <v>1250</v>
      </c>
      <c r="P19" s="175">
        <v>120</v>
      </c>
      <c r="Q19" s="13">
        <v>3</v>
      </c>
      <c r="R19" s="258">
        <v>2</v>
      </c>
      <c r="S19" s="449">
        <v>2000</v>
      </c>
      <c r="T19" s="175">
        <v>120</v>
      </c>
      <c r="U19" s="13">
        <v>3</v>
      </c>
      <c r="V19" s="258">
        <v>5</v>
      </c>
      <c r="W19" s="393">
        <v>3000</v>
      </c>
      <c r="X19" s="169">
        <v>480</v>
      </c>
      <c r="Y19" s="7">
        <v>3</v>
      </c>
      <c r="Z19" s="258">
        <v>4</v>
      </c>
      <c r="AA19" s="393">
        <v>2500</v>
      </c>
      <c r="AB19" s="169">
        <v>480</v>
      </c>
      <c r="AC19" s="7">
        <v>3</v>
      </c>
      <c r="AD19" s="258">
        <v>14</v>
      </c>
      <c r="AE19" s="393">
        <v>8000</v>
      </c>
      <c r="AF19" s="169">
        <v>900</v>
      </c>
      <c r="AG19" s="7">
        <v>3</v>
      </c>
      <c r="AH19" s="258">
        <v>20</v>
      </c>
      <c r="AI19" s="393">
        <v>33000</v>
      </c>
      <c r="AJ19" s="169">
        <v>1800</v>
      </c>
      <c r="AK19" s="482">
        <v>3</v>
      </c>
      <c r="AL19" s="630">
        <v>25</v>
      </c>
      <c r="AM19" s="675">
        <v>36000</v>
      </c>
      <c r="AN19" s="175">
        <v>2700</v>
      </c>
    </row>
    <row r="20" spans="1:40" ht="12" thickBot="1">
      <c r="A20" s="482">
        <v>4</v>
      </c>
      <c r="B20" s="630">
        <v>1</v>
      </c>
      <c r="C20" s="609">
        <v>100</v>
      </c>
      <c r="D20" s="175">
        <v>20</v>
      </c>
      <c r="E20" s="482">
        <v>4</v>
      </c>
      <c r="F20" s="630">
        <v>1</v>
      </c>
      <c r="G20" s="609">
        <v>200</v>
      </c>
      <c r="H20" s="175">
        <v>25</v>
      </c>
      <c r="I20" s="482">
        <v>4</v>
      </c>
      <c r="J20" s="630">
        <v>1</v>
      </c>
      <c r="K20" s="609">
        <v>80</v>
      </c>
      <c r="L20" s="169">
        <v>30</v>
      </c>
      <c r="M20" s="482">
        <v>4</v>
      </c>
      <c r="N20" s="630">
        <v>5</v>
      </c>
      <c r="O20" s="609">
        <v>1750</v>
      </c>
      <c r="P20" s="175">
        <v>120</v>
      </c>
      <c r="Q20" s="13">
        <v>4</v>
      </c>
      <c r="R20" s="258">
        <v>2</v>
      </c>
      <c r="S20" s="449">
        <v>2500</v>
      </c>
      <c r="T20" s="175">
        <v>120</v>
      </c>
      <c r="U20" s="13">
        <v>4</v>
      </c>
      <c r="V20" s="258">
        <v>5</v>
      </c>
      <c r="W20" s="393">
        <v>3500</v>
      </c>
      <c r="X20" s="169">
        <v>480</v>
      </c>
      <c r="Y20" s="7">
        <v>4</v>
      </c>
      <c r="Z20" s="258">
        <v>4</v>
      </c>
      <c r="AA20" s="393">
        <v>3000</v>
      </c>
      <c r="AB20" s="169">
        <v>480</v>
      </c>
      <c r="AC20" s="8">
        <v>4</v>
      </c>
      <c r="AD20" s="259">
        <v>14</v>
      </c>
      <c r="AE20" s="406">
        <v>10000</v>
      </c>
      <c r="AF20" s="171">
        <v>900</v>
      </c>
      <c r="AG20" s="8">
        <v>4</v>
      </c>
      <c r="AH20" s="259">
        <v>20</v>
      </c>
      <c r="AI20" s="406">
        <v>37000</v>
      </c>
      <c r="AJ20" s="171">
        <v>1800</v>
      </c>
      <c r="AK20" s="482">
        <v>4</v>
      </c>
      <c r="AL20" s="630">
        <v>25</v>
      </c>
      <c r="AM20" s="675">
        <v>40000</v>
      </c>
      <c r="AN20" s="175">
        <v>2700</v>
      </c>
    </row>
    <row r="21" spans="1:40" ht="12" thickBot="1">
      <c r="A21" s="482">
        <v>5</v>
      </c>
      <c r="B21" s="630">
        <v>1</v>
      </c>
      <c r="C21" s="609">
        <v>150</v>
      </c>
      <c r="D21" s="175">
        <v>20</v>
      </c>
      <c r="E21" s="482">
        <v>5</v>
      </c>
      <c r="F21" s="630">
        <v>1</v>
      </c>
      <c r="G21" s="609">
        <v>300</v>
      </c>
      <c r="H21" s="175">
        <v>25</v>
      </c>
      <c r="I21" s="482">
        <v>5</v>
      </c>
      <c r="J21" s="630">
        <v>1</v>
      </c>
      <c r="K21" s="609">
        <v>100</v>
      </c>
      <c r="L21" s="169">
        <v>30</v>
      </c>
      <c r="M21" s="482">
        <v>5</v>
      </c>
      <c r="N21" s="630">
        <v>5</v>
      </c>
      <c r="O21" s="609">
        <v>2250</v>
      </c>
      <c r="P21" s="175">
        <v>120</v>
      </c>
      <c r="Q21" s="13">
        <v>5</v>
      </c>
      <c r="R21" s="258">
        <v>2</v>
      </c>
      <c r="S21" s="449">
        <v>3000</v>
      </c>
      <c r="T21" s="175">
        <v>120</v>
      </c>
      <c r="U21" s="13">
        <v>5</v>
      </c>
      <c r="V21" s="258">
        <v>5</v>
      </c>
      <c r="W21" s="393">
        <v>4000</v>
      </c>
      <c r="X21" s="169">
        <v>480</v>
      </c>
      <c r="Y21" s="13">
        <v>5</v>
      </c>
      <c r="Z21" s="258">
        <v>4</v>
      </c>
      <c r="AA21" s="497">
        <v>3500</v>
      </c>
      <c r="AB21" s="169">
        <v>480</v>
      </c>
      <c r="AG21" s="798">
        <v>5</v>
      </c>
      <c r="AH21" s="630">
        <v>20</v>
      </c>
      <c r="AI21" s="790">
        <v>41000</v>
      </c>
      <c r="AJ21" s="169">
        <v>1800</v>
      </c>
      <c r="AK21" s="489">
        <v>5</v>
      </c>
      <c r="AL21" s="632">
        <v>25</v>
      </c>
      <c r="AM21" s="676">
        <v>45000</v>
      </c>
      <c r="AN21" s="460">
        <v>2700</v>
      </c>
    </row>
    <row r="22" spans="1:40" ht="12" thickBot="1">
      <c r="A22" s="482">
        <v>6</v>
      </c>
      <c r="B22" s="630">
        <v>1</v>
      </c>
      <c r="C22" s="609">
        <v>200</v>
      </c>
      <c r="D22" s="175">
        <v>20</v>
      </c>
      <c r="E22" s="482">
        <v>6</v>
      </c>
      <c r="F22" s="630">
        <v>1</v>
      </c>
      <c r="G22" s="609">
        <v>400</v>
      </c>
      <c r="H22" s="175">
        <v>25</v>
      </c>
      <c r="I22" s="489">
        <v>6</v>
      </c>
      <c r="J22" s="632">
        <v>1</v>
      </c>
      <c r="K22" s="607">
        <v>150</v>
      </c>
      <c r="L22" s="634">
        <v>30</v>
      </c>
      <c r="M22" s="482">
        <v>6</v>
      </c>
      <c r="N22" s="630">
        <v>5</v>
      </c>
      <c r="O22" s="609">
        <v>3000</v>
      </c>
      <c r="P22" s="175">
        <v>120</v>
      </c>
      <c r="Q22" s="461">
        <v>6</v>
      </c>
      <c r="R22" s="466">
        <v>2</v>
      </c>
      <c r="S22" s="450">
        <v>3500</v>
      </c>
      <c r="T22" s="460">
        <v>120</v>
      </c>
      <c r="U22" s="461">
        <v>6</v>
      </c>
      <c r="V22" s="259">
        <v>5</v>
      </c>
      <c r="W22" s="406">
        <v>4500</v>
      </c>
      <c r="X22" s="171">
        <v>480</v>
      </c>
      <c r="Y22" s="461">
        <v>6</v>
      </c>
      <c r="Z22" s="259">
        <v>4</v>
      </c>
      <c r="AA22" s="406">
        <v>4000</v>
      </c>
      <c r="AB22" s="171">
        <v>480</v>
      </c>
    </row>
    <row r="23" spans="1:40" ht="12" customHeight="1" thickBot="1">
      <c r="A23" s="489">
        <v>7</v>
      </c>
      <c r="B23" s="632">
        <v>1</v>
      </c>
      <c r="C23" s="607">
        <v>250</v>
      </c>
      <c r="D23" s="460">
        <v>20</v>
      </c>
      <c r="E23" s="489">
        <v>7</v>
      </c>
      <c r="F23" s="632">
        <v>1</v>
      </c>
      <c r="G23" s="607">
        <v>500</v>
      </c>
      <c r="H23" s="460">
        <v>25</v>
      </c>
      <c r="M23" s="489">
        <v>7</v>
      </c>
      <c r="N23" s="632">
        <v>5</v>
      </c>
      <c r="O23" s="607">
        <v>3500</v>
      </c>
      <c r="P23" s="460">
        <v>120</v>
      </c>
    </row>
    <row r="24" spans="1:40" ht="12" customHeight="1"/>
    <row r="25" spans="1:40" ht="12" customHeight="1" thickBot="1"/>
    <row r="26" spans="1:40" ht="30" customHeight="1" thickBot="1">
      <c r="A26" s="1272" t="s">
        <v>391</v>
      </c>
      <c r="B26" s="1273"/>
      <c r="C26" s="1273"/>
      <c r="D26" s="1273"/>
      <c r="E26" s="1273"/>
      <c r="F26" s="1273"/>
      <c r="G26" s="1273"/>
      <c r="H26" s="1273"/>
      <c r="I26" s="1273"/>
      <c r="J26" s="1273"/>
      <c r="K26" s="1273"/>
      <c r="L26" s="1273"/>
      <c r="M26" s="1273"/>
      <c r="N26" s="1273"/>
      <c r="O26" s="1273"/>
      <c r="P26" s="1273"/>
      <c r="Q26" s="1310"/>
      <c r="R26" s="1310"/>
      <c r="S26" s="1310"/>
      <c r="T26" s="1310"/>
      <c r="U26" s="1310"/>
      <c r="V26" s="1310"/>
      <c r="W26" s="1310"/>
      <c r="X26" s="1311"/>
      <c r="AA26" s="1027" t="s">
        <v>392</v>
      </c>
      <c r="AB26" s="1028"/>
      <c r="AC26" s="1028"/>
      <c r="AD26" s="1028"/>
      <c r="AE26" s="1028"/>
      <c r="AF26" s="1028"/>
      <c r="AG26" s="1028"/>
      <c r="AH26" s="1028"/>
      <c r="AI26" s="1028"/>
      <c r="AJ26" s="1028"/>
    </row>
    <row r="27" spans="1:40" ht="20.100000000000001" customHeight="1" thickBot="1">
      <c r="A27" s="1303" t="s">
        <v>248</v>
      </c>
      <c r="B27" s="1304"/>
      <c r="C27" s="1304"/>
      <c r="D27" s="1304"/>
      <c r="E27" s="1304"/>
      <c r="F27" s="1304"/>
      <c r="G27" s="1304"/>
      <c r="H27" s="1304"/>
      <c r="I27" s="1304"/>
      <c r="J27" s="1304"/>
      <c r="K27" s="1304"/>
      <c r="L27" s="1304"/>
      <c r="M27" s="1304"/>
      <c r="N27" s="1304"/>
      <c r="O27" s="1304"/>
      <c r="P27" s="1304"/>
      <c r="Q27" s="1304"/>
      <c r="R27" s="1304"/>
      <c r="S27" s="1304"/>
      <c r="T27" s="1304"/>
      <c r="U27" s="1304"/>
      <c r="V27" s="1304"/>
      <c r="W27" s="1304"/>
      <c r="X27" s="1304"/>
      <c r="AA27" s="1107"/>
      <c r="AB27" s="1107"/>
      <c r="AC27" s="1107"/>
      <c r="AD27" s="1107"/>
      <c r="AE27" s="1107"/>
      <c r="AF27" s="1107"/>
      <c r="AG27" s="1107"/>
      <c r="AH27" s="1107"/>
      <c r="AI27" s="1107"/>
      <c r="AJ27" s="1107"/>
    </row>
    <row r="28" spans="1:40" ht="12" customHeight="1" thickBot="1">
      <c r="A28" s="1291" t="s">
        <v>183</v>
      </c>
      <c r="B28" s="1292"/>
      <c r="C28" s="1292"/>
      <c r="D28" s="1293"/>
      <c r="E28" s="1291" t="s">
        <v>245</v>
      </c>
      <c r="F28" s="1292"/>
      <c r="G28" s="1292"/>
      <c r="H28" s="1293"/>
      <c r="I28" s="1291" t="s">
        <v>66</v>
      </c>
      <c r="J28" s="1292"/>
      <c r="K28" s="1292"/>
      <c r="L28" s="1293"/>
      <c r="M28" s="1291" t="s">
        <v>67</v>
      </c>
      <c r="N28" s="1292"/>
      <c r="O28" s="1292"/>
      <c r="P28" s="1293"/>
      <c r="Q28" s="1291" t="s">
        <v>536</v>
      </c>
      <c r="R28" s="1292"/>
      <c r="S28" s="1292"/>
      <c r="T28" s="1293"/>
      <c r="U28" s="1291" t="s">
        <v>573</v>
      </c>
      <c r="V28" s="1292"/>
      <c r="W28" s="1292"/>
      <c r="X28" s="1293"/>
      <c r="AA28" s="1308" t="s">
        <v>702</v>
      </c>
      <c r="AB28" s="1309"/>
      <c r="AC28" s="1308" t="s">
        <v>209</v>
      </c>
      <c r="AD28" s="1309"/>
      <c r="AE28" s="1308" t="s">
        <v>343</v>
      </c>
      <c r="AF28" s="1309"/>
      <c r="AG28" s="1308" t="s">
        <v>338</v>
      </c>
      <c r="AH28" s="1309"/>
      <c r="AI28" s="1308" t="s">
        <v>207</v>
      </c>
      <c r="AJ28" s="1309"/>
    </row>
    <row r="29" spans="1:40" ht="23.25" thickBot="1">
      <c r="A29" s="161" t="s">
        <v>17</v>
      </c>
      <c r="B29" s="162" t="s">
        <v>390</v>
      </c>
      <c r="C29" s="255" t="s">
        <v>258</v>
      </c>
      <c r="D29" s="163" t="s">
        <v>259</v>
      </c>
      <c r="E29" s="161" t="s">
        <v>17</v>
      </c>
      <c r="F29" s="162" t="s">
        <v>390</v>
      </c>
      <c r="G29" s="255" t="s">
        <v>258</v>
      </c>
      <c r="H29" s="163" t="s">
        <v>259</v>
      </c>
      <c r="I29" s="161" t="s">
        <v>17</v>
      </c>
      <c r="J29" s="162" t="s">
        <v>390</v>
      </c>
      <c r="K29" s="255" t="s">
        <v>258</v>
      </c>
      <c r="L29" s="163" t="s">
        <v>259</v>
      </c>
      <c r="M29" s="161" t="s">
        <v>17</v>
      </c>
      <c r="N29" s="162" t="s">
        <v>390</v>
      </c>
      <c r="O29" s="255" t="s">
        <v>258</v>
      </c>
      <c r="P29" s="163" t="s">
        <v>259</v>
      </c>
      <c r="Q29" s="161" t="s">
        <v>17</v>
      </c>
      <c r="R29" s="162" t="s">
        <v>390</v>
      </c>
      <c r="S29" s="255" t="s">
        <v>258</v>
      </c>
      <c r="T29" s="163" t="s">
        <v>259</v>
      </c>
      <c r="U29" s="161" t="s">
        <v>17</v>
      </c>
      <c r="V29" s="162" t="s">
        <v>390</v>
      </c>
      <c r="W29" s="255" t="s">
        <v>258</v>
      </c>
      <c r="X29" s="163" t="s">
        <v>259</v>
      </c>
      <c r="AA29" s="261" t="s">
        <v>17</v>
      </c>
      <c r="AB29" s="797" t="s">
        <v>382</v>
      </c>
      <c r="AC29" s="261" t="s">
        <v>17</v>
      </c>
      <c r="AD29" s="770" t="s">
        <v>382</v>
      </c>
      <c r="AE29" s="574" t="s">
        <v>17</v>
      </c>
      <c r="AF29" s="575" t="s">
        <v>382</v>
      </c>
      <c r="AG29" s="261" t="s">
        <v>17</v>
      </c>
      <c r="AH29" s="271" t="s">
        <v>382</v>
      </c>
      <c r="AI29" s="261" t="s">
        <v>17</v>
      </c>
      <c r="AJ29" s="271" t="s">
        <v>382</v>
      </c>
    </row>
    <row r="30" spans="1:40">
      <c r="A30" s="145">
        <v>1</v>
      </c>
      <c r="B30" s="257">
        <v>2</v>
      </c>
      <c r="C30" s="256">
        <v>6</v>
      </c>
      <c r="D30" s="167">
        <v>45</v>
      </c>
      <c r="E30" s="145">
        <v>1</v>
      </c>
      <c r="F30" s="257">
        <v>5</v>
      </c>
      <c r="G30" s="256">
        <v>40</v>
      </c>
      <c r="H30" s="167">
        <v>120</v>
      </c>
      <c r="I30" s="145">
        <v>1</v>
      </c>
      <c r="J30" s="257">
        <v>8</v>
      </c>
      <c r="K30" s="256">
        <v>70</v>
      </c>
      <c r="L30" s="167">
        <v>900</v>
      </c>
      <c r="M30" s="145">
        <v>1</v>
      </c>
      <c r="N30" s="257">
        <v>30</v>
      </c>
      <c r="O30" s="256">
        <v>450</v>
      </c>
      <c r="P30" s="167">
        <v>2700</v>
      </c>
      <c r="Q30" s="145">
        <v>1</v>
      </c>
      <c r="R30" s="257">
        <v>12</v>
      </c>
      <c r="S30" s="256">
        <v>250</v>
      </c>
      <c r="T30" s="167">
        <v>1200</v>
      </c>
      <c r="U30" s="51">
        <v>1</v>
      </c>
      <c r="V30" s="465">
        <v>30</v>
      </c>
      <c r="W30" s="635">
        <v>390</v>
      </c>
      <c r="X30" s="633">
        <v>2700</v>
      </c>
      <c r="AA30" s="267">
        <v>0</v>
      </c>
      <c r="AB30" s="906">
        <v>0</v>
      </c>
      <c r="AC30" s="267">
        <v>0</v>
      </c>
      <c r="AD30" s="906">
        <v>0</v>
      </c>
      <c r="AE30" s="624">
        <v>0</v>
      </c>
      <c r="AF30" s="625">
        <v>0</v>
      </c>
      <c r="AG30" s="572">
        <v>0</v>
      </c>
      <c r="AH30" s="270">
        <v>0</v>
      </c>
      <c r="AI30" s="269">
        <v>0</v>
      </c>
      <c r="AJ30" s="570">
        <v>0</v>
      </c>
    </row>
    <row r="31" spans="1:40">
      <c r="A31" s="7">
        <v>2</v>
      </c>
      <c r="B31" s="258">
        <v>2</v>
      </c>
      <c r="C31" s="249">
        <v>7</v>
      </c>
      <c r="D31" s="169">
        <v>45</v>
      </c>
      <c r="E31" s="7">
        <v>2</v>
      </c>
      <c r="F31" s="258">
        <v>5</v>
      </c>
      <c r="G31" s="249">
        <v>45</v>
      </c>
      <c r="H31" s="169">
        <v>120</v>
      </c>
      <c r="I31" s="7">
        <v>2</v>
      </c>
      <c r="J31" s="258">
        <v>8</v>
      </c>
      <c r="K31" s="249">
        <v>100</v>
      </c>
      <c r="L31" s="169">
        <v>900</v>
      </c>
      <c r="M31" s="7">
        <v>2</v>
      </c>
      <c r="N31" s="258">
        <v>30</v>
      </c>
      <c r="O31" s="249">
        <v>525</v>
      </c>
      <c r="P31" s="169">
        <v>2700</v>
      </c>
      <c r="Q31" s="7">
        <v>2</v>
      </c>
      <c r="R31" s="258">
        <v>12</v>
      </c>
      <c r="S31" s="426">
        <v>350</v>
      </c>
      <c r="T31" s="169">
        <v>1200</v>
      </c>
      <c r="U31" s="7">
        <v>2</v>
      </c>
      <c r="V31" s="258">
        <v>30</v>
      </c>
      <c r="W31" s="426">
        <v>450</v>
      </c>
      <c r="X31" s="169">
        <v>2700</v>
      </c>
      <c r="AA31" s="269">
        <v>1</v>
      </c>
      <c r="AB31" s="270">
        <v>1</v>
      </c>
      <c r="AC31" s="269">
        <v>1</v>
      </c>
      <c r="AD31" s="270">
        <v>2</v>
      </c>
      <c r="AE31" s="626">
        <v>1</v>
      </c>
      <c r="AF31" s="627">
        <v>40</v>
      </c>
      <c r="AG31" s="573">
        <v>1</v>
      </c>
      <c r="AH31" s="265">
        <v>20</v>
      </c>
      <c r="AI31" s="267">
        <v>1</v>
      </c>
      <c r="AJ31" s="571">
        <v>20</v>
      </c>
    </row>
    <row r="32" spans="1:40" ht="12" thickBot="1">
      <c r="A32" s="7">
        <v>3</v>
      </c>
      <c r="B32" s="258">
        <v>2</v>
      </c>
      <c r="C32" s="249">
        <v>8</v>
      </c>
      <c r="D32" s="169">
        <v>45</v>
      </c>
      <c r="E32" s="7">
        <v>3</v>
      </c>
      <c r="F32" s="258">
        <v>5</v>
      </c>
      <c r="G32" s="249">
        <v>52</v>
      </c>
      <c r="H32" s="169">
        <v>120</v>
      </c>
      <c r="I32" s="7">
        <v>3</v>
      </c>
      <c r="J32" s="258">
        <v>8</v>
      </c>
      <c r="K32" s="249">
        <v>130</v>
      </c>
      <c r="L32" s="169">
        <v>900</v>
      </c>
      <c r="M32" s="7">
        <v>3</v>
      </c>
      <c r="N32" s="258">
        <v>30</v>
      </c>
      <c r="O32" s="249">
        <v>600</v>
      </c>
      <c r="P32" s="169">
        <v>2700</v>
      </c>
      <c r="Q32" s="7">
        <v>3</v>
      </c>
      <c r="R32" s="258">
        <v>12</v>
      </c>
      <c r="S32" s="426">
        <v>450</v>
      </c>
      <c r="T32" s="169">
        <v>1200</v>
      </c>
      <c r="U32" s="8">
        <v>3</v>
      </c>
      <c r="V32" s="636">
        <v>30</v>
      </c>
      <c r="W32" s="637">
        <v>510</v>
      </c>
      <c r="X32" s="638">
        <v>2700</v>
      </c>
      <c r="AA32" s="267">
        <v>2</v>
      </c>
      <c r="AB32" s="265">
        <v>1</v>
      </c>
      <c r="AC32" s="267">
        <v>2</v>
      </c>
      <c r="AD32" s="265">
        <v>4</v>
      </c>
      <c r="AE32" s="626">
        <v>2</v>
      </c>
      <c r="AF32" s="627">
        <v>50</v>
      </c>
      <c r="AG32" s="573">
        <v>2</v>
      </c>
      <c r="AH32" s="265">
        <v>30</v>
      </c>
      <c r="AI32" s="267">
        <v>2</v>
      </c>
      <c r="AJ32" s="571">
        <v>25</v>
      </c>
    </row>
    <row r="33" spans="1:36" ht="12" thickBot="1">
      <c r="A33" s="7">
        <v>4</v>
      </c>
      <c r="B33" s="258">
        <v>2</v>
      </c>
      <c r="C33" s="426">
        <v>9</v>
      </c>
      <c r="D33" s="169">
        <v>45</v>
      </c>
      <c r="E33" s="7">
        <v>4</v>
      </c>
      <c r="F33" s="258">
        <v>5</v>
      </c>
      <c r="G33" s="249">
        <v>58</v>
      </c>
      <c r="H33" s="169">
        <v>120</v>
      </c>
      <c r="I33" s="8">
        <v>4</v>
      </c>
      <c r="J33" s="259">
        <v>8</v>
      </c>
      <c r="K33" s="254">
        <v>160</v>
      </c>
      <c r="L33" s="171">
        <v>900</v>
      </c>
      <c r="M33" s="7">
        <v>4</v>
      </c>
      <c r="N33" s="258">
        <v>30</v>
      </c>
      <c r="O33" s="249">
        <v>675</v>
      </c>
      <c r="P33" s="169">
        <v>2700</v>
      </c>
      <c r="AA33" s="267">
        <v>3</v>
      </c>
      <c r="AB33" s="265">
        <v>1</v>
      </c>
      <c r="AC33" s="267">
        <v>3</v>
      </c>
      <c r="AD33" s="265">
        <v>6</v>
      </c>
      <c r="AE33" s="626">
        <v>3</v>
      </c>
      <c r="AF33" s="627">
        <v>60</v>
      </c>
      <c r="AG33" s="573">
        <v>3</v>
      </c>
      <c r="AH33" s="265">
        <v>35</v>
      </c>
      <c r="AI33" s="267">
        <v>3</v>
      </c>
      <c r="AJ33" s="571">
        <v>30</v>
      </c>
    </row>
    <row r="34" spans="1:36" ht="12" thickBot="1">
      <c r="A34" s="7">
        <v>5</v>
      </c>
      <c r="B34" s="258">
        <v>2</v>
      </c>
      <c r="C34" s="426">
        <v>10</v>
      </c>
      <c r="D34" s="169">
        <v>45</v>
      </c>
      <c r="E34" s="8">
        <v>5</v>
      </c>
      <c r="F34" s="259">
        <v>5</v>
      </c>
      <c r="G34" s="254">
        <v>65</v>
      </c>
      <c r="H34" s="171">
        <v>120</v>
      </c>
      <c r="M34" s="8">
        <v>5</v>
      </c>
      <c r="N34" s="259">
        <v>30</v>
      </c>
      <c r="O34" s="254">
        <v>750</v>
      </c>
      <c r="P34" s="171">
        <v>2700</v>
      </c>
      <c r="AA34" s="260"/>
      <c r="AB34" s="260"/>
      <c r="AC34" s="267">
        <v>4</v>
      </c>
      <c r="AD34" s="265">
        <v>8</v>
      </c>
      <c r="AE34" s="626">
        <v>4</v>
      </c>
      <c r="AF34" s="627">
        <v>70</v>
      </c>
      <c r="AG34" s="573">
        <v>4</v>
      </c>
      <c r="AH34" s="265">
        <v>40</v>
      </c>
      <c r="AI34" s="267">
        <v>4</v>
      </c>
      <c r="AJ34" s="571">
        <v>35</v>
      </c>
    </row>
    <row r="35" spans="1:36" ht="12" thickBot="1">
      <c r="A35" s="8">
        <v>6</v>
      </c>
      <c r="B35" s="259">
        <v>2</v>
      </c>
      <c r="C35" s="254">
        <v>11</v>
      </c>
      <c r="D35" s="171">
        <v>45</v>
      </c>
      <c r="AA35" s="260"/>
      <c r="AB35" s="260"/>
      <c r="AC35" s="267">
        <v>5</v>
      </c>
      <c r="AD35" s="265">
        <v>10</v>
      </c>
      <c r="AE35" s="626">
        <v>5</v>
      </c>
      <c r="AF35" s="627">
        <v>80</v>
      </c>
      <c r="AG35" s="573">
        <v>5</v>
      </c>
      <c r="AH35" s="265">
        <v>45</v>
      </c>
      <c r="AI35" s="267">
        <v>5</v>
      </c>
      <c r="AJ35" s="571">
        <v>40</v>
      </c>
    </row>
    <row r="36" spans="1:36" ht="12" thickBot="1">
      <c r="A36" s="8">
        <v>7</v>
      </c>
      <c r="B36" s="259">
        <v>2</v>
      </c>
      <c r="C36" s="254">
        <v>12</v>
      </c>
      <c r="D36" s="171">
        <v>45</v>
      </c>
      <c r="AA36" s="260"/>
      <c r="AB36" s="260"/>
      <c r="AE36" s="628">
        <v>6</v>
      </c>
      <c r="AF36" s="629">
        <v>90</v>
      </c>
      <c r="AG36" s="573">
        <v>6</v>
      </c>
      <c r="AH36" s="265">
        <v>50</v>
      </c>
      <c r="AI36" s="267">
        <v>6</v>
      </c>
      <c r="AJ36" s="571">
        <v>45</v>
      </c>
    </row>
    <row r="37" spans="1:36">
      <c r="AA37" s="260"/>
      <c r="AB37" s="260"/>
      <c r="AF37" s="260"/>
      <c r="AG37" s="267">
        <v>7</v>
      </c>
      <c r="AH37" s="265">
        <v>55</v>
      </c>
      <c r="AI37" s="267">
        <v>7</v>
      </c>
      <c r="AJ37" s="265">
        <v>50</v>
      </c>
    </row>
    <row r="38" spans="1:36" ht="12" thickBot="1">
      <c r="AA38" s="260"/>
      <c r="AB38" s="260"/>
      <c r="AF38" s="260"/>
      <c r="AG38" s="268">
        <v>8</v>
      </c>
      <c r="AH38" s="266">
        <v>60</v>
      </c>
      <c r="AI38" s="267">
        <v>8</v>
      </c>
      <c r="AJ38" s="265">
        <v>55</v>
      </c>
    </row>
    <row r="39" spans="1:36">
      <c r="AF39" s="260"/>
      <c r="AG39" s="260"/>
      <c r="AH39" s="260"/>
      <c r="AI39" s="267">
        <v>9</v>
      </c>
      <c r="AJ39" s="265">
        <v>60</v>
      </c>
    </row>
    <row r="40" spans="1:36" ht="12" thickBot="1">
      <c r="AF40" s="260"/>
      <c r="AG40" s="260"/>
      <c r="AH40" s="260"/>
      <c r="AI40" s="268">
        <v>10</v>
      </c>
      <c r="AJ40" s="266">
        <v>75</v>
      </c>
    </row>
  </sheetData>
  <sheetProtection selectLockedCells="1"/>
  <mergeCells count="39">
    <mergeCell ref="A1:T1"/>
    <mergeCell ref="A28:D28"/>
    <mergeCell ref="E28:H28"/>
    <mergeCell ref="I28:L28"/>
    <mergeCell ref="M28:P28"/>
    <mergeCell ref="A2:T2"/>
    <mergeCell ref="A3:D3"/>
    <mergeCell ref="E3:H3"/>
    <mergeCell ref="I3:L3"/>
    <mergeCell ref="M3:P3"/>
    <mergeCell ref="Q28:T28"/>
    <mergeCell ref="A27:X27"/>
    <mergeCell ref="U28:X28"/>
    <mergeCell ref="A26:X26"/>
    <mergeCell ref="Q3:T3"/>
    <mergeCell ref="AK15:AN15"/>
    <mergeCell ref="A13:AN13"/>
    <mergeCell ref="A14:AN14"/>
    <mergeCell ref="A15:D15"/>
    <mergeCell ref="E15:H15"/>
    <mergeCell ref="I15:L15"/>
    <mergeCell ref="M15:P15"/>
    <mergeCell ref="Q15:T15"/>
    <mergeCell ref="U15:X15"/>
    <mergeCell ref="Y15:AB15"/>
    <mergeCell ref="AC15:AF15"/>
    <mergeCell ref="AG15:AJ15"/>
    <mergeCell ref="Y1:AJ1"/>
    <mergeCell ref="Y2:AJ2"/>
    <mergeCell ref="AA28:AB28"/>
    <mergeCell ref="AA26:AJ26"/>
    <mergeCell ref="AA27:AJ27"/>
    <mergeCell ref="Y3:AB3"/>
    <mergeCell ref="AC3:AF3"/>
    <mergeCell ref="AC28:AD28"/>
    <mergeCell ref="AI28:AJ28"/>
    <mergeCell ref="AE28:AF28"/>
    <mergeCell ref="AG28:AH28"/>
    <mergeCell ref="AG3:AJ3"/>
  </mergeCells>
  <pageMargins left="0.7" right="0.7" top="0.75" bottom="0.75" header="0.3" footer="0.3"/>
  <pageSetup paperSize="9" orientation="portrait" r:id="rId1"/>
  <tableParts count="2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s>
</worksheet>
</file>

<file path=xl/worksheets/sheet15.xml><?xml version="1.0" encoding="utf-8"?>
<worksheet xmlns="http://schemas.openxmlformats.org/spreadsheetml/2006/main" xmlns:r="http://schemas.openxmlformats.org/officeDocument/2006/relationships">
  <sheetPr codeName="Feuil17">
    <tabColor rgb="FFFF0000"/>
  </sheetPr>
  <dimension ref="A1:A1000"/>
  <sheetViews>
    <sheetView showGridLines="0" workbookViewId="0">
      <selection sqref="A1:A1048576"/>
    </sheetView>
  </sheetViews>
  <sheetFormatPr baseColWidth="10" defaultColWidth="11.42578125" defaultRowHeight="11.25"/>
  <cols>
    <col min="1" max="1" width="14.7109375" style="410" customWidth="1"/>
    <col min="2" max="16384" width="11.42578125" style="410"/>
  </cols>
  <sheetData>
    <row r="1" spans="1:1" ht="12" thickBot="1">
      <c r="A1" s="415" t="s">
        <v>492</v>
      </c>
    </row>
    <row r="2" spans="1:1">
      <c r="A2" s="416">
        <f>Planning!$C$2</f>
        <v>42350.752592592595</v>
      </c>
    </row>
    <row r="3" spans="1:1">
      <c r="A3" s="417">
        <f>$A2+Planning!$D$2</f>
        <v>42351.002592592595</v>
      </c>
    </row>
    <row r="4" spans="1:1">
      <c r="A4" s="417">
        <f>$A3+Planning!$D$2</f>
        <v>42351.252592592595</v>
      </c>
    </row>
    <row r="5" spans="1:1">
      <c r="A5" s="417">
        <f>$A4+Planning!$D$2</f>
        <v>42351.502592592595</v>
      </c>
    </row>
    <row r="6" spans="1:1">
      <c r="A6" s="417">
        <f>$A5+Planning!$D$2</f>
        <v>42351.752592592595</v>
      </c>
    </row>
    <row r="7" spans="1:1">
      <c r="A7" s="417">
        <f>$A6+Planning!$D$2</f>
        <v>42352.002592592595</v>
      </c>
    </row>
    <row r="8" spans="1:1">
      <c r="A8" s="417">
        <f>$A7+Planning!$D$2</f>
        <v>42352.252592592595</v>
      </c>
    </row>
    <row r="9" spans="1:1">
      <c r="A9" s="417">
        <f>$A8+Planning!$D$2</f>
        <v>42352.502592592595</v>
      </c>
    </row>
    <row r="10" spans="1:1">
      <c r="A10" s="417">
        <f>$A9+Planning!$D$2</f>
        <v>42352.752592592595</v>
      </c>
    </row>
    <row r="11" spans="1:1">
      <c r="A11" s="417">
        <f>$A10+Planning!$D$2</f>
        <v>42353.002592592595</v>
      </c>
    </row>
    <row r="12" spans="1:1">
      <c r="A12" s="417">
        <f>$A11+Planning!$D$2</f>
        <v>42353.252592592595</v>
      </c>
    </row>
    <row r="13" spans="1:1">
      <c r="A13" s="417">
        <f>$A12+Planning!$D$2</f>
        <v>42353.502592592595</v>
      </c>
    </row>
    <row r="14" spans="1:1">
      <c r="A14" s="417">
        <f>$A13+Planning!$D$2</f>
        <v>42353.752592592595</v>
      </c>
    </row>
    <row r="15" spans="1:1">
      <c r="A15" s="417">
        <f>$A14+Planning!$D$2</f>
        <v>42354.002592592595</v>
      </c>
    </row>
    <row r="16" spans="1:1">
      <c r="A16" s="417">
        <f>$A15+Planning!$D$2</f>
        <v>42354.252592592595</v>
      </c>
    </row>
    <row r="17" spans="1:1">
      <c r="A17" s="417">
        <f>$A16+Planning!$D$2</f>
        <v>42354.502592592595</v>
      </c>
    </row>
    <row r="18" spans="1:1">
      <c r="A18" s="417">
        <f>$A17+Planning!$D$2</f>
        <v>42354.752592592595</v>
      </c>
    </row>
    <row r="19" spans="1:1">
      <c r="A19" s="417">
        <f>$A18+Planning!$D$2</f>
        <v>42355.002592592595</v>
      </c>
    </row>
    <row r="20" spans="1:1">
      <c r="A20" s="417">
        <f>$A19+Planning!$D$2</f>
        <v>42355.252592592595</v>
      </c>
    </row>
    <row r="21" spans="1:1">
      <c r="A21" s="417">
        <f>$A20+Planning!$D$2</f>
        <v>42355.502592592595</v>
      </c>
    </row>
    <row r="22" spans="1:1">
      <c r="A22" s="417">
        <f>$A21+Planning!$D$2</f>
        <v>42355.752592592595</v>
      </c>
    </row>
    <row r="23" spans="1:1">
      <c r="A23" s="417">
        <f>$A22+Planning!$D$2</f>
        <v>42356.002592592595</v>
      </c>
    </row>
    <row r="24" spans="1:1">
      <c r="A24" s="417">
        <f>$A23+Planning!$D$2</f>
        <v>42356.252592592595</v>
      </c>
    </row>
    <row r="25" spans="1:1">
      <c r="A25" s="417">
        <f>$A24+Planning!$D$2</f>
        <v>42356.502592592595</v>
      </c>
    </row>
    <row r="26" spans="1:1">
      <c r="A26" s="417">
        <f>$A25+Planning!$D$2</f>
        <v>42356.752592592595</v>
      </c>
    </row>
    <row r="27" spans="1:1">
      <c r="A27" s="417">
        <f>$A26+Planning!$D$2</f>
        <v>42357.002592592595</v>
      </c>
    </row>
    <row r="28" spans="1:1">
      <c r="A28" s="417">
        <f>$A27+Planning!$D$2</f>
        <v>42357.252592592595</v>
      </c>
    </row>
    <row r="29" spans="1:1">
      <c r="A29" s="417">
        <f>$A28+Planning!$D$2</f>
        <v>42357.502592592595</v>
      </c>
    </row>
    <row r="30" spans="1:1">
      <c r="A30" s="417">
        <f>$A29+Planning!$D$2</f>
        <v>42357.752592592595</v>
      </c>
    </row>
    <row r="31" spans="1:1">
      <c r="A31" s="417">
        <f>$A30+Planning!$D$2</f>
        <v>42358.002592592595</v>
      </c>
    </row>
    <row r="32" spans="1:1">
      <c r="A32" s="417">
        <f>$A31+Planning!$D$2</f>
        <v>42358.252592592595</v>
      </c>
    </row>
    <row r="33" spans="1:1">
      <c r="A33" s="417">
        <f>$A32+Planning!$D$2</f>
        <v>42358.502592592595</v>
      </c>
    </row>
    <row r="34" spans="1:1">
      <c r="A34" s="417">
        <f>$A33+Planning!$D$2</f>
        <v>42358.752592592595</v>
      </c>
    </row>
    <row r="35" spans="1:1">
      <c r="A35" s="417">
        <f>$A34+Planning!$D$2</f>
        <v>42359.002592592595</v>
      </c>
    </row>
    <row r="36" spans="1:1">
      <c r="A36" s="417">
        <f>$A35+Planning!$D$2</f>
        <v>42359.252592592595</v>
      </c>
    </row>
    <row r="37" spans="1:1">
      <c r="A37" s="417">
        <f>$A36+Planning!$D$2</f>
        <v>42359.502592592595</v>
      </c>
    </row>
    <row r="38" spans="1:1">
      <c r="A38" s="417">
        <f>$A37+Planning!$D$2</f>
        <v>42359.752592592595</v>
      </c>
    </row>
    <row r="39" spans="1:1">
      <c r="A39" s="417">
        <f>$A38+Planning!$D$2</f>
        <v>42360.002592592595</v>
      </c>
    </row>
    <row r="40" spans="1:1">
      <c r="A40" s="417">
        <f>$A39+Planning!$D$2</f>
        <v>42360.252592592595</v>
      </c>
    </row>
    <row r="41" spans="1:1">
      <c r="A41" s="417">
        <f>$A40+Planning!$D$2</f>
        <v>42360.502592592595</v>
      </c>
    </row>
    <row r="42" spans="1:1">
      <c r="A42" s="417">
        <f>$A41+Planning!$D$2</f>
        <v>42360.752592592595</v>
      </c>
    </row>
    <row r="43" spans="1:1">
      <c r="A43" s="417">
        <f>$A42+Planning!$D$2</f>
        <v>42361.002592592595</v>
      </c>
    </row>
    <row r="44" spans="1:1">
      <c r="A44" s="417">
        <f>$A43+Planning!$D$2</f>
        <v>42361.252592592595</v>
      </c>
    </row>
    <row r="45" spans="1:1">
      <c r="A45" s="417">
        <f>$A44+Planning!$D$2</f>
        <v>42361.502592592595</v>
      </c>
    </row>
    <row r="46" spans="1:1">
      <c r="A46" s="417">
        <f>$A45+Planning!$D$2</f>
        <v>42361.752592592595</v>
      </c>
    </row>
    <row r="47" spans="1:1">
      <c r="A47" s="417">
        <f>$A46+Planning!$D$2</f>
        <v>42362.002592592595</v>
      </c>
    </row>
    <row r="48" spans="1:1">
      <c r="A48" s="417">
        <f>$A47+Planning!$D$2</f>
        <v>42362.252592592595</v>
      </c>
    </row>
    <row r="49" spans="1:1">
      <c r="A49" s="417">
        <f>$A48+Planning!$D$2</f>
        <v>42362.502592592595</v>
      </c>
    </row>
    <row r="50" spans="1:1">
      <c r="A50" s="417">
        <f>$A49+Planning!$D$2</f>
        <v>42362.752592592595</v>
      </c>
    </row>
    <row r="51" spans="1:1">
      <c r="A51" s="417">
        <f>$A50+Planning!$D$2</f>
        <v>42363.002592592595</v>
      </c>
    </row>
    <row r="52" spans="1:1">
      <c r="A52" s="417">
        <f>$A51+Planning!$D$2</f>
        <v>42363.252592592595</v>
      </c>
    </row>
    <row r="53" spans="1:1">
      <c r="A53" s="417">
        <f>$A52+Planning!$D$2</f>
        <v>42363.502592592595</v>
      </c>
    </row>
    <row r="54" spans="1:1">
      <c r="A54" s="417">
        <f>$A53+Planning!$D$2</f>
        <v>42363.752592592595</v>
      </c>
    </row>
    <row r="55" spans="1:1">
      <c r="A55" s="417">
        <f>$A54+Planning!$D$2</f>
        <v>42364.002592592595</v>
      </c>
    </row>
    <row r="56" spans="1:1">
      <c r="A56" s="417">
        <f>$A55+Planning!$D$2</f>
        <v>42364.252592592595</v>
      </c>
    </row>
    <row r="57" spans="1:1">
      <c r="A57" s="417">
        <f>$A56+Planning!$D$2</f>
        <v>42364.502592592595</v>
      </c>
    </row>
    <row r="58" spans="1:1">
      <c r="A58" s="417">
        <f>$A57+Planning!$D$2</f>
        <v>42364.752592592595</v>
      </c>
    </row>
    <row r="59" spans="1:1">
      <c r="A59" s="417">
        <f>$A58+Planning!$D$2</f>
        <v>42365.002592592595</v>
      </c>
    </row>
    <row r="60" spans="1:1">
      <c r="A60" s="417">
        <f>$A59+Planning!$D$2</f>
        <v>42365.252592592595</v>
      </c>
    </row>
    <row r="61" spans="1:1">
      <c r="A61" s="417">
        <f>$A60+Planning!$D$2</f>
        <v>42365.502592592595</v>
      </c>
    </row>
    <row r="62" spans="1:1">
      <c r="A62" s="417">
        <f>$A61+Planning!$D$2</f>
        <v>42365.752592592595</v>
      </c>
    </row>
    <row r="63" spans="1:1">
      <c r="A63" s="417">
        <f>$A62+Planning!$D$2</f>
        <v>42366.002592592595</v>
      </c>
    </row>
    <row r="64" spans="1:1">
      <c r="A64" s="417">
        <f>$A63+Planning!$D$2</f>
        <v>42366.252592592595</v>
      </c>
    </row>
    <row r="65" spans="1:1">
      <c r="A65" s="417">
        <f>$A64+Planning!$D$2</f>
        <v>42366.502592592595</v>
      </c>
    </row>
    <row r="66" spans="1:1">
      <c r="A66" s="417">
        <f>$A65+Planning!$D$2</f>
        <v>42366.752592592595</v>
      </c>
    </row>
    <row r="67" spans="1:1">
      <c r="A67" s="417">
        <f>$A66+Planning!$D$2</f>
        <v>42367.002592592595</v>
      </c>
    </row>
    <row r="68" spans="1:1">
      <c r="A68" s="417">
        <f>$A67+Planning!$D$2</f>
        <v>42367.252592592595</v>
      </c>
    </row>
    <row r="69" spans="1:1">
      <c r="A69" s="417">
        <f>$A68+Planning!$D$2</f>
        <v>42367.502592592595</v>
      </c>
    </row>
    <row r="70" spans="1:1">
      <c r="A70" s="417">
        <f>$A69+Planning!$D$2</f>
        <v>42367.752592592595</v>
      </c>
    </row>
    <row r="71" spans="1:1">
      <c r="A71" s="417">
        <f>$A70+Planning!$D$2</f>
        <v>42368.002592592595</v>
      </c>
    </row>
    <row r="72" spans="1:1">
      <c r="A72" s="417">
        <f>$A71+Planning!$D$2</f>
        <v>42368.252592592595</v>
      </c>
    </row>
    <row r="73" spans="1:1">
      <c r="A73" s="417">
        <f>$A72+Planning!$D$2</f>
        <v>42368.502592592595</v>
      </c>
    </row>
    <row r="74" spans="1:1">
      <c r="A74" s="417">
        <f>$A73+Planning!$D$2</f>
        <v>42368.752592592595</v>
      </c>
    </row>
    <row r="75" spans="1:1">
      <c r="A75" s="417">
        <f>$A74+Planning!$D$2</f>
        <v>42369.002592592595</v>
      </c>
    </row>
    <row r="76" spans="1:1">
      <c r="A76" s="417">
        <f>$A75+Planning!$D$2</f>
        <v>42369.252592592595</v>
      </c>
    </row>
    <row r="77" spans="1:1">
      <c r="A77" s="417">
        <f>$A76+Planning!$D$2</f>
        <v>42369.502592592595</v>
      </c>
    </row>
    <row r="78" spans="1:1">
      <c r="A78" s="417">
        <f>$A77+Planning!$D$2</f>
        <v>42369.752592592595</v>
      </c>
    </row>
    <row r="79" spans="1:1">
      <c r="A79" s="417">
        <f>$A78+Planning!$D$2</f>
        <v>42370.002592592595</v>
      </c>
    </row>
    <row r="80" spans="1:1">
      <c r="A80" s="417">
        <f>$A79+Planning!$D$2</f>
        <v>42370.252592592595</v>
      </c>
    </row>
    <row r="81" spans="1:1">
      <c r="A81" s="417">
        <f>$A80+Planning!$D$2</f>
        <v>42370.502592592595</v>
      </c>
    </row>
    <row r="82" spans="1:1">
      <c r="A82" s="417">
        <f>$A81+Planning!$D$2</f>
        <v>42370.752592592595</v>
      </c>
    </row>
    <row r="83" spans="1:1">
      <c r="A83" s="417">
        <f>$A82+Planning!$D$2</f>
        <v>42371.002592592595</v>
      </c>
    </row>
    <row r="84" spans="1:1">
      <c r="A84" s="417">
        <f>$A83+Planning!$D$2</f>
        <v>42371.252592592595</v>
      </c>
    </row>
    <row r="85" spans="1:1">
      <c r="A85" s="417">
        <f>$A84+Planning!$D$2</f>
        <v>42371.502592592595</v>
      </c>
    </row>
    <row r="86" spans="1:1">
      <c r="A86" s="417">
        <f>$A85+Planning!$D$2</f>
        <v>42371.752592592595</v>
      </c>
    </row>
    <row r="87" spans="1:1">
      <c r="A87" s="417">
        <f>$A86+Planning!$D$2</f>
        <v>42372.002592592595</v>
      </c>
    </row>
    <row r="88" spans="1:1">
      <c r="A88" s="417">
        <f>$A87+Planning!$D$2</f>
        <v>42372.252592592595</v>
      </c>
    </row>
    <row r="89" spans="1:1">
      <c r="A89" s="417">
        <f>$A88+Planning!$D$2</f>
        <v>42372.502592592595</v>
      </c>
    </row>
    <row r="90" spans="1:1">
      <c r="A90" s="417">
        <f>$A89+Planning!$D$2</f>
        <v>42372.752592592595</v>
      </c>
    </row>
    <row r="91" spans="1:1">
      <c r="A91" s="417">
        <f>$A90+Planning!$D$2</f>
        <v>42373.002592592595</v>
      </c>
    </row>
    <row r="92" spans="1:1">
      <c r="A92" s="417">
        <f>$A91+Planning!$D$2</f>
        <v>42373.252592592595</v>
      </c>
    </row>
    <row r="93" spans="1:1">
      <c r="A93" s="417">
        <f>$A92+Planning!$D$2</f>
        <v>42373.502592592595</v>
      </c>
    </row>
    <row r="94" spans="1:1">
      <c r="A94" s="417">
        <f>$A93+Planning!$D$2</f>
        <v>42373.752592592595</v>
      </c>
    </row>
    <row r="95" spans="1:1">
      <c r="A95" s="417">
        <f>$A94+Planning!$D$2</f>
        <v>42374.002592592595</v>
      </c>
    </row>
    <row r="96" spans="1:1">
      <c r="A96" s="417">
        <f>$A95+Planning!$D$2</f>
        <v>42374.252592592595</v>
      </c>
    </row>
    <row r="97" spans="1:1">
      <c r="A97" s="417">
        <f>$A96+Planning!$D$2</f>
        <v>42374.502592592595</v>
      </c>
    </row>
    <row r="98" spans="1:1">
      <c r="A98" s="417">
        <f>$A97+Planning!$D$2</f>
        <v>42374.752592592595</v>
      </c>
    </row>
    <row r="99" spans="1:1">
      <c r="A99" s="417">
        <f>$A98+Planning!$D$2</f>
        <v>42375.002592592595</v>
      </c>
    </row>
    <row r="100" spans="1:1">
      <c r="A100" s="417">
        <f>$A99+Planning!$D$2</f>
        <v>42375.252592592595</v>
      </c>
    </row>
    <row r="101" spans="1:1">
      <c r="A101" s="417">
        <f>$A100+Planning!$D$2</f>
        <v>42375.502592592595</v>
      </c>
    </row>
    <row r="102" spans="1:1">
      <c r="A102" s="417">
        <f>$A101+Planning!$D$2</f>
        <v>42375.752592592595</v>
      </c>
    </row>
    <row r="103" spans="1:1">
      <c r="A103" s="417">
        <f>$A102+Planning!$D$2</f>
        <v>42376.002592592595</v>
      </c>
    </row>
    <row r="104" spans="1:1">
      <c r="A104" s="417">
        <f>$A103+Planning!$D$2</f>
        <v>42376.252592592595</v>
      </c>
    </row>
    <row r="105" spans="1:1">
      <c r="A105" s="417">
        <f>$A104+Planning!$D$2</f>
        <v>42376.502592592595</v>
      </c>
    </row>
    <row r="106" spans="1:1">
      <c r="A106" s="417">
        <f>$A105+Planning!$D$2</f>
        <v>42376.752592592595</v>
      </c>
    </row>
    <row r="107" spans="1:1">
      <c r="A107" s="417">
        <f>$A106+Planning!$D$2</f>
        <v>42377.002592592595</v>
      </c>
    </row>
    <row r="108" spans="1:1">
      <c r="A108" s="417">
        <f>$A107+Planning!$D$2</f>
        <v>42377.252592592595</v>
      </c>
    </row>
    <row r="109" spans="1:1">
      <c r="A109" s="417">
        <f>$A108+Planning!$D$2</f>
        <v>42377.502592592595</v>
      </c>
    </row>
    <row r="110" spans="1:1">
      <c r="A110" s="417">
        <f>$A109+Planning!$D$2</f>
        <v>42377.752592592595</v>
      </c>
    </row>
    <row r="111" spans="1:1">
      <c r="A111" s="417">
        <f>$A110+Planning!$D$2</f>
        <v>42378.002592592595</v>
      </c>
    </row>
    <row r="112" spans="1:1">
      <c r="A112" s="417">
        <f>$A111+Planning!$D$2</f>
        <v>42378.252592592595</v>
      </c>
    </row>
    <row r="113" spans="1:1">
      <c r="A113" s="417">
        <f>$A112+Planning!$D$2</f>
        <v>42378.502592592595</v>
      </c>
    </row>
    <row r="114" spans="1:1">
      <c r="A114" s="417">
        <f>$A113+Planning!$D$2</f>
        <v>42378.752592592595</v>
      </c>
    </row>
    <row r="115" spans="1:1">
      <c r="A115" s="417">
        <f>$A114+Planning!$D$2</f>
        <v>42379.002592592595</v>
      </c>
    </row>
    <row r="116" spans="1:1">
      <c r="A116" s="417">
        <f>$A115+Planning!$D$2</f>
        <v>42379.252592592595</v>
      </c>
    </row>
    <row r="117" spans="1:1">
      <c r="A117" s="417">
        <f>$A116+Planning!$D$2</f>
        <v>42379.502592592595</v>
      </c>
    </row>
    <row r="118" spans="1:1">
      <c r="A118" s="417">
        <f>$A117+Planning!$D$2</f>
        <v>42379.752592592595</v>
      </c>
    </row>
    <row r="119" spans="1:1">
      <c r="A119" s="417">
        <f>$A118+Planning!$D$2</f>
        <v>42380.002592592595</v>
      </c>
    </row>
    <row r="120" spans="1:1">
      <c r="A120" s="417">
        <f>$A119+Planning!$D$2</f>
        <v>42380.252592592595</v>
      </c>
    </row>
    <row r="121" spans="1:1">
      <c r="A121" s="417">
        <f>$A120+Planning!$D$2</f>
        <v>42380.502592592595</v>
      </c>
    </row>
    <row r="122" spans="1:1">
      <c r="A122" s="417">
        <f>$A121+Planning!$D$2</f>
        <v>42380.752592592595</v>
      </c>
    </row>
    <row r="123" spans="1:1">
      <c r="A123" s="417">
        <f>$A122+Planning!$D$2</f>
        <v>42381.002592592595</v>
      </c>
    </row>
    <row r="124" spans="1:1">
      <c r="A124" s="417">
        <f>$A123+Planning!$D$2</f>
        <v>42381.252592592595</v>
      </c>
    </row>
    <row r="125" spans="1:1">
      <c r="A125" s="417">
        <f>$A124+Planning!$D$2</f>
        <v>42381.502592592595</v>
      </c>
    </row>
    <row r="126" spans="1:1">
      <c r="A126" s="417">
        <f>$A125+Planning!$D$2</f>
        <v>42381.752592592595</v>
      </c>
    </row>
    <row r="127" spans="1:1">
      <c r="A127" s="417">
        <f>$A126+Planning!$D$2</f>
        <v>42382.002592592595</v>
      </c>
    </row>
    <row r="128" spans="1:1">
      <c r="A128" s="417">
        <f>$A127+Planning!$D$2</f>
        <v>42382.252592592595</v>
      </c>
    </row>
    <row r="129" spans="1:1">
      <c r="A129" s="417">
        <f>$A128+Planning!$D$2</f>
        <v>42382.502592592595</v>
      </c>
    </row>
    <row r="130" spans="1:1">
      <c r="A130" s="417">
        <f>$A129+Planning!$D$2</f>
        <v>42382.752592592595</v>
      </c>
    </row>
    <row r="131" spans="1:1">
      <c r="A131" s="417">
        <f>$A130+Planning!$D$2</f>
        <v>42383.002592592595</v>
      </c>
    </row>
    <row r="132" spans="1:1">
      <c r="A132" s="417">
        <f>$A131+Planning!$D$2</f>
        <v>42383.252592592595</v>
      </c>
    </row>
    <row r="133" spans="1:1">
      <c r="A133" s="417">
        <f>$A132+Planning!$D$2</f>
        <v>42383.502592592595</v>
      </c>
    </row>
    <row r="134" spans="1:1">
      <c r="A134" s="417">
        <f>$A133+Planning!$D$2</f>
        <v>42383.752592592595</v>
      </c>
    </row>
    <row r="135" spans="1:1">
      <c r="A135" s="417">
        <f>$A134+Planning!$D$2</f>
        <v>42384.002592592595</v>
      </c>
    </row>
    <row r="136" spans="1:1">
      <c r="A136" s="417">
        <f>$A135+Planning!$D$2</f>
        <v>42384.252592592595</v>
      </c>
    </row>
    <row r="137" spans="1:1">
      <c r="A137" s="417">
        <f>$A136+Planning!$D$2</f>
        <v>42384.502592592595</v>
      </c>
    </row>
    <row r="138" spans="1:1">
      <c r="A138" s="417">
        <f>$A137+Planning!$D$2</f>
        <v>42384.752592592595</v>
      </c>
    </row>
    <row r="139" spans="1:1">
      <c r="A139" s="417">
        <f>$A138+Planning!$D$2</f>
        <v>42385.002592592595</v>
      </c>
    </row>
    <row r="140" spans="1:1">
      <c r="A140" s="417">
        <f>$A139+Planning!$D$2</f>
        <v>42385.252592592595</v>
      </c>
    </row>
    <row r="141" spans="1:1">
      <c r="A141" s="417">
        <f>$A140+Planning!$D$2</f>
        <v>42385.502592592595</v>
      </c>
    </row>
    <row r="142" spans="1:1">
      <c r="A142" s="417">
        <f>$A141+Planning!$D$2</f>
        <v>42385.752592592595</v>
      </c>
    </row>
    <row r="143" spans="1:1">
      <c r="A143" s="417">
        <f>$A142+Planning!$D$2</f>
        <v>42386.002592592595</v>
      </c>
    </row>
    <row r="144" spans="1:1">
      <c r="A144" s="417">
        <f>$A143+Planning!$D$2</f>
        <v>42386.252592592595</v>
      </c>
    </row>
    <row r="145" spans="1:1">
      <c r="A145" s="417">
        <f>$A144+Planning!$D$2</f>
        <v>42386.502592592595</v>
      </c>
    </row>
    <row r="146" spans="1:1">
      <c r="A146" s="417">
        <f>$A145+Planning!$D$2</f>
        <v>42386.752592592595</v>
      </c>
    </row>
    <row r="147" spans="1:1">
      <c r="A147" s="417">
        <f>$A146+Planning!$D$2</f>
        <v>42387.002592592595</v>
      </c>
    </row>
    <row r="148" spans="1:1">
      <c r="A148" s="417">
        <f>$A147+Planning!$D$2</f>
        <v>42387.252592592595</v>
      </c>
    </row>
    <row r="149" spans="1:1">
      <c r="A149" s="417">
        <f>$A148+Planning!$D$2</f>
        <v>42387.502592592595</v>
      </c>
    </row>
    <row r="150" spans="1:1">
      <c r="A150" s="417">
        <f>$A149+Planning!$D$2</f>
        <v>42387.752592592595</v>
      </c>
    </row>
    <row r="151" spans="1:1">
      <c r="A151" s="417">
        <f>$A150+Planning!$D$2</f>
        <v>42388.002592592595</v>
      </c>
    </row>
    <row r="152" spans="1:1">
      <c r="A152" s="417">
        <f>$A151+Planning!$D$2</f>
        <v>42388.252592592595</v>
      </c>
    </row>
    <row r="153" spans="1:1">
      <c r="A153" s="417">
        <f>$A152+Planning!$D$2</f>
        <v>42388.502592592595</v>
      </c>
    </row>
    <row r="154" spans="1:1">
      <c r="A154" s="417">
        <f>$A153+Planning!$D$2</f>
        <v>42388.752592592595</v>
      </c>
    </row>
    <row r="155" spans="1:1">
      <c r="A155" s="417">
        <f>$A154+Planning!$D$2</f>
        <v>42389.002592592595</v>
      </c>
    </row>
    <row r="156" spans="1:1">
      <c r="A156" s="417">
        <f>$A155+Planning!$D$2</f>
        <v>42389.252592592595</v>
      </c>
    </row>
    <row r="157" spans="1:1">
      <c r="A157" s="417">
        <f>$A156+Planning!$D$2</f>
        <v>42389.502592592595</v>
      </c>
    </row>
    <row r="158" spans="1:1">
      <c r="A158" s="417">
        <f>$A157+Planning!$D$2</f>
        <v>42389.752592592595</v>
      </c>
    </row>
    <row r="159" spans="1:1">
      <c r="A159" s="417">
        <f>$A158+Planning!$D$2</f>
        <v>42390.002592592595</v>
      </c>
    </row>
    <row r="160" spans="1:1">
      <c r="A160" s="417">
        <f>$A159+Planning!$D$2</f>
        <v>42390.252592592595</v>
      </c>
    </row>
    <row r="161" spans="1:1">
      <c r="A161" s="417">
        <f>$A160+Planning!$D$2</f>
        <v>42390.502592592595</v>
      </c>
    </row>
    <row r="162" spans="1:1">
      <c r="A162" s="417">
        <f>$A161+Planning!$D$2</f>
        <v>42390.752592592595</v>
      </c>
    </row>
    <row r="163" spans="1:1">
      <c r="A163" s="417">
        <f>$A162+Planning!$D$2</f>
        <v>42391.002592592595</v>
      </c>
    </row>
    <row r="164" spans="1:1">
      <c r="A164" s="417">
        <f>$A163+Planning!$D$2</f>
        <v>42391.252592592595</v>
      </c>
    </row>
    <row r="165" spans="1:1">
      <c r="A165" s="417">
        <f>$A164+Planning!$D$2</f>
        <v>42391.502592592595</v>
      </c>
    </row>
    <row r="166" spans="1:1">
      <c r="A166" s="417">
        <f>$A165+Planning!$D$2</f>
        <v>42391.752592592595</v>
      </c>
    </row>
    <row r="167" spans="1:1">
      <c r="A167" s="417">
        <f>$A166+Planning!$D$2</f>
        <v>42392.002592592595</v>
      </c>
    </row>
    <row r="168" spans="1:1">
      <c r="A168" s="417">
        <f>$A167+Planning!$D$2</f>
        <v>42392.252592592595</v>
      </c>
    </row>
    <row r="169" spans="1:1">
      <c r="A169" s="417">
        <f>$A168+Planning!$D$2</f>
        <v>42392.502592592595</v>
      </c>
    </row>
    <row r="170" spans="1:1">
      <c r="A170" s="417">
        <f>$A169+Planning!$D$2</f>
        <v>42392.752592592595</v>
      </c>
    </row>
    <row r="171" spans="1:1">
      <c r="A171" s="417">
        <f>$A170+Planning!$D$2</f>
        <v>42393.002592592595</v>
      </c>
    </row>
    <row r="172" spans="1:1">
      <c r="A172" s="417">
        <f>$A171+Planning!$D$2</f>
        <v>42393.252592592595</v>
      </c>
    </row>
    <row r="173" spans="1:1">
      <c r="A173" s="417">
        <f>$A172+Planning!$D$2</f>
        <v>42393.502592592595</v>
      </c>
    </row>
    <row r="174" spans="1:1">
      <c r="A174" s="417">
        <f>$A173+Planning!$D$2</f>
        <v>42393.752592592595</v>
      </c>
    </row>
    <row r="175" spans="1:1">
      <c r="A175" s="417">
        <f>$A174+Planning!$D$2</f>
        <v>42394.002592592595</v>
      </c>
    </row>
    <row r="176" spans="1:1">
      <c r="A176" s="417">
        <f>$A175+Planning!$D$2</f>
        <v>42394.252592592595</v>
      </c>
    </row>
    <row r="177" spans="1:1">
      <c r="A177" s="417">
        <f>$A176+Planning!$D$2</f>
        <v>42394.502592592595</v>
      </c>
    </row>
    <row r="178" spans="1:1">
      <c r="A178" s="417">
        <f>$A177+Planning!$D$2</f>
        <v>42394.752592592595</v>
      </c>
    </row>
    <row r="179" spans="1:1">
      <c r="A179" s="417">
        <f>$A178+Planning!$D$2</f>
        <v>42395.002592592595</v>
      </c>
    </row>
    <row r="180" spans="1:1">
      <c r="A180" s="417">
        <f>$A179+Planning!$D$2</f>
        <v>42395.252592592595</v>
      </c>
    </row>
    <row r="181" spans="1:1">
      <c r="A181" s="417">
        <f>$A180+Planning!$D$2</f>
        <v>42395.502592592595</v>
      </c>
    </row>
    <row r="182" spans="1:1">
      <c r="A182" s="417">
        <f>$A181+Planning!$D$2</f>
        <v>42395.752592592595</v>
      </c>
    </row>
    <row r="183" spans="1:1">
      <c r="A183" s="417">
        <f>$A182+Planning!$D$2</f>
        <v>42396.002592592595</v>
      </c>
    </row>
    <row r="184" spans="1:1">
      <c r="A184" s="417">
        <f>$A183+Planning!$D$2</f>
        <v>42396.252592592595</v>
      </c>
    </row>
    <row r="185" spans="1:1">
      <c r="A185" s="417">
        <f>$A184+Planning!$D$2</f>
        <v>42396.502592592595</v>
      </c>
    </row>
    <row r="186" spans="1:1">
      <c r="A186" s="417">
        <f>$A185+Planning!$D$2</f>
        <v>42396.752592592595</v>
      </c>
    </row>
    <row r="187" spans="1:1">
      <c r="A187" s="417">
        <f>$A186+Planning!$D$2</f>
        <v>42397.002592592595</v>
      </c>
    </row>
    <row r="188" spans="1:1">
      <c r="A188" s="417">
        <f>$A187+Planning!$D$2</f>
        <v>42397.252592592595</v>
      </c>
    </row>
    <row r="189" spans="1:1">
      <c r="A189" s="417">
        <f>$A188+Planning!$D$2</f>
        <v>42397.502592592595</v>
      </c>
    </row>
    <row r="190" spans="1:1">
      <c r="A190" s="417">
        <f>$A189+Planning!$D$2</f>
        <v>42397.752592592595</v>
      </c>
    </row>
    <row r="191" spans="1:1">
      <c r="A191" s="417">
        <f>$A190+Planning!$D$2</f>
        <v>42398.002592592595</v>
      </c>
    </row>
    <row r="192" spans="1:1">
      <c r="A192" s="417">
        <f>$A191+Planning!$D$2</f>
        <v>42398.252592592595</v>
      </c>
    </row>
    <row r="193" spans="1:1">
      <c r="A193" s="417">
        <f>$A192+Planning!$D$2</f>
        <v>42398.502592592595</v>
      </c>
    </row>
    <row r="194" spans="1:1">
      <c r="A194" s="417">
        <f>$A193+Planning!$D$2</f>
        <v>42398.752592592595</v>
      </c>
    </row>
    <row r="195" spans="1:1">
      <c r="A195" s="417">
        <f>$A194+Planning!$D$2</f>
        <v>42399.002592592595</v>
      </c>
    </row>
    <row r="196" spans="1:1">
      <c r="A196" s="417">
        <f>$A195+Planning!$D$2</f>
        <v>42399.252592592595</v>
      </c>
    </row>
    <row r="197" spans="1:1">
      <c r="A197" s="417">
        <f>$A196+Planning!$D$2</f>
        <v>42399.502592592595</v>
      </c>
    </row>
    <row r="198" spans="1:1">
      <c r="A198" s="417">
        <f>$A197+Planning!$D$2</f>
        <v>42399.752592592595</v>
      </c>
    </row>
    <row r="199" spans="1:1">
      <c r="A199" s="417">
        <f>$A198+Planning!$D$2</f>
        <v>42400.002592592595</v>
      </c>
    </row>
    <row r="200" spans="1:1">
      <c r="A200" s="417">
        <f>$A199+Planning!$D$2</f>
        <v>42400.252592592595</v>
      </c>
    </row>
    <row r="201" spans="1:1">
      <c r="A201" s="417">
        <f>$A200+Planning!$D$2</f>
        <v>42400.502592592595</v>
      </c>
    </row>
    <row r="202" spans="1:1">
      <c r="A202" s="417">
        <f>$A201+Planning!$D$2</f>
        <v>42400.752592592595</v>
      </c>
    </row>
    <row r="203" spans="1:1">
      <c r="A203" s="417">
        <f>$A202+Planning!$D$2</f>
        <v>42401.002592592595</v>
      </c>
    </row>
    <row r="204" spans="1:1">
      <c r="A204" s="417">
        <f>$A203+Planning!$D$2</f>
        <v>42401.252592592595</v>
      </c>
    </row>
    <row r="205" spans="1:1">
      <c r="A205" s="417">
        <f>$A204+Planning!$D$2</f>
        <v>42401.502592592595</v>
      </c>
    </row>
    <row r="206" spans="1:1">
      <c r="A206" s="417">
        <f>$A205+Planning!$D$2</f>
        <v>42401.752592592595</v>
      </c>
    </row>
    <row r="207" spans="1:1">
      <c r="A207" s="417">
        <f>$A206+Planning!$D$2</f>
        <v>42402.002592592595</v>
      </c>
    </row>
    <row r="208" spans="1:1">
      <c r="A208" s="417">
        <f>$A207+Planning!$D$2</f>
        <v>42402.252592592595</v>
      </c>
    </row>
    <row r="209" spans="1:1">
      <c r="A209" s="417">
        <f>$A208+Planning!$D$2</f>
        <v>42402.502592592595</v>
      </c>
    </row>
    <row r="210" spans="1:1">
      <c r="A210" s="417">
        <f>$A209+Planning!$D$2</f>
        <v>42402.752592592595</v>
      </c>
    </row>
    <row r="211" spans="1:1">
      <c r="A211" s="417">
        <f>$A210+Planning!$D$2</f>
        <v>42403.002592592595</v>
      </c>
    </row>
    <row r="212" spans="1:1">
      <c r="A212" s="417">
        <f>$A211+Planning!$D$2</f>
        <v>42403.252592592595</v>
      </c>
    </row>
    <row r="213" spans="1:1">
      <c r="A213" s="417">
        <f>$A212+Planning!$D$2</f>
        <v>42403.502592592595</v>
      </c>
    </row>
    <row r="214" spans="1:1">
      <c r="A214" s="417">
        <f>$A213+Planning!$D$2</f>
        <v>42403.752592592595</v>
      </c>
    </row>
    <row r="215" spans="1:1">
      <c r="A215" s="417">
        <f>$A214+Planning!$D$2</f>
        <v>42404.002592592595</v>
      </c>
    </row>
    <row r="216" spans="1:1">
      <c r="A216" s="417">
        <f>$A215+Planning!$D$2</f>
        <v>42404.252592592595</v>
      </c>
    </row>
    <row r="217" spans="1:1">
      <c r="A217" s="417">
        <f>$A216+Planning!$D$2</f>
        <v>42404.502592592595</v>
      </c>
    </row>
    <row r="218" spans="1:1">
      <c r="A218" s="417">
        <f>$A217+Planning!$D$2</f>
        <v>42404.752592592595</v>
      </c>
    </row>
    <row r="219" spans="1:1">
      <c r="A219" s="417">
        <f>$A218+Planning!$D$2</f>
        <v>42405.002592592595</v>
      </c>
    </row>
    <row r="220" spans="1:1">
      <c r="A220" s="417">
        <f>$A219+Planning!$D$2</f>
        <v>42405.252592592595</v>
      </c>
    </row>
    <row r="221" spans="1:1">
      <c r="A221" s="417">
        <f>$A220+Planning!$D$2</f>
        <v>42405.502592592595</v>
      </c>
    </row>
    <row r="222" spans="1:1">
      <c r="A222" s="417">
        <f>$A221+Planning!$D$2</f>
        <v>42405.752592592595</v>
      </c>
    </row>
    <row r="223" spans="1:1">
      <c r="A223" s="417">
        <f>$A222+Planning!$D$2</f>
        <v>42406.002592592595</v>
      </c>
    </row>
    <row r="224" spans="1:1">
      <c r="A224" s="417">
        <f>$A223+Planning!$D$2</f>
        <v>42406.252592592595</v>
      </c>
    </row>
    <row r="225" spans="1:1">
      <c r="A225" s="417">
        <f>$A224+Planning!$D$2</f>
        <v>42406.502592592595</v>
      </c>
    </row>
    <row r="226" spans="1:1">
      <c r="A226" s="417">
        <f>$A225+Planning!$D$2</f>
        <v>42406.752592592595</v>
      </c>
    </row>
    <row r="227" spans="1:1">
      <c r="A227" s="417">
        <f>$A226+Planning!$D$2</f>
        <v>42407.002592592595</v>
      </c>
    </row>
    <row r="228" spans="1:1">
      <c r="A228" s="417">
        <f>$A227+Planning!$D$2</f>
        <v>42407.252592592595</v>
      </c>
    </row>
    <row r="229" spans="1:1">
      <c r="A229" s="417">
        <f>$A228+Planning!$D$2</f>
        <v>42407.502592592595</v>
      </c>
    </row>
    <row r="230" spans="1:1">
      <c r="A230" s="417">
        <f>$A229+Planning!$D$2</f>
        <v>42407.752592592595</v>
      </c>
    </row>
    <row r="231" spans="1:1">
      <c r="A231" s="417">
        <f>$A230+Planning!$D$2</f>
        <v>42408.002592592595</v>
      </c>
    </row>
    <row r="232" spans="1:1">
      <c r="A232" s="417">
        <f>$A231+Planning!$D$2</f>
        <v>42408.252592592595</v>
      </c>
    </row>
    <row r="233" spans="1:1">
      <c r="A233" s="417">
        <f>$A232+Planning!$D$2</f>
        <v>42408.502592592595</v>
      </c>
    </row>
    <row r="234" spans="1:1">
      <c r="A234" s="417">
        <f>$A233+Planning!$D$2</f>
        <v>42408.752592592595</v>
      </c>
    </row>
    <row r="235" spans="1:1">
      <c r="A235" s="417">
        <f>$A234+Planning!$D$2</f>
        <v>42409.002592592595</v>
      </c>
    </row>
    <row r="236" spans="1:1">
      <c r="A236" s="417">
        <f>$A235+Planning!$D$2</f>
        <v>42409.252592592595</v>
      </c>
    </row>
    <row r="237" spans="1:1">
      <c r="A237" s="417">
        <f>$A236+Planning!$D$2</f>
        <v>42409.502592592595</v>
      </c>
    </row>
    <row r="238" spans="1:1">
      <c r="A238" s="417">
        <f>$A237+Planning!$D$2</f>
        <v>42409.752592592595</v>
      </c>
    </row>
    <row r="239" spans="1:1">
      <c r="A239" s="417">
        <f>$A238+Planning!$D$2</f>
        <v>42410.002592592595</v>
      </c>
    </row>
    <row r="240" spans="1:1">
      <c r="A240" s="417">
        <f>$A239+Planning!$D$2</f>
        <v>42410.252592592595</v>
      </c>
    </row>
    <row r="241" spans="1:1">
      <c r="A241" s="417">
        <f>$A240+Planning!$D$2</f>
        <v>42410.502592592595</v>
      </c>
    </row>
    <row r="242" spans="1:1">
      <c r="A242" s="417">
        <f>$A241+Planning!$D$2</f>
        <v>42410.752592592595</v>
      </c>
    </row>
    <row r="243" spans="1:1">
      <c r="A243" s="417">
        <f>$A242+Planning!$D$2</f>
        <v>42411.002592592595</v>
      </c>
    </row>
    <row r="244" spans="1:1">
      <c r="A244" s="417">
        <f>$A243+Planning!$D$2</f>
        <v>42411.252592592595</v>
      </c>
    </row>
    <row r="245" spans="1:1">
      <c r="A245" s="417">
        <f>$A244+Planning!$D$2</f>
        <v>42411.502592592595</v>
      </c>
    </row>
    <row r="246" spans="1:1">
      <c r="A246" s="417">
        <f>$A245+Planning!$D$2</f>
        <v>42411.752592592595</v>
      </c>
    </row>
    <row r="247" spans="1:1">
      <c r="A247" s="417">
        <f>$A246+Planning!$D$2</f>
        <v>42412.002592592595</v>
      </c>
    </row>
    <row r="248" spans="1:1">
      <c r="A248" s="417">
        <f>$A247+Planning!$D$2</f>
        <v>42412.252592592595</v>
      </c>
    </row>
    <row r="249" spans="1:1">
      <c r="A249" s="417">
        <f>$A248+Planning!$D$2</f>
        <v>42412.502592592595</v>
      </c>
    </row>
    <row r="250" spans="1:1">
      <c r="A250" s="417">
        <f>$A249+Planning!$D$2</f>
        <v>42412.752592592595</v>
      </c>
    </row>
    <row r="251" spans="1:1">
      <c r="A251" s="417">
        <f>$A250+Planning!$D$2</f>
        <v>42413.002592592595</v>
      </c>
    </row>
    <row r="252" spans="1:1">
      <c r="A252" s="417">
        <f>$A251+Planning!$D$2</f>
        <v>42413.252592592595</v>
      </c>
    </row>
    <row r="253" spans="1:1">
      <c r="A253" s="417">
        <f>$A252+Planning!$D$2</f>
        <v>42413.502592592595</v>
      </c>
    </row>
    <row r="254" spans="1:1">
      <c r="A254" s="417">
        <f>$A253+Planning!$D$2</f>
        <v>42413.752592592595</v>
      </c>
    </row>
    <row r="255" spans="1:1">
      <c r="A255" s="417">
        <f>$A254+Planning!$D$2</f>
        <v>42414.002592592595</v>
      </c>
    </row>
    <row r="256" spans="1:1">
      <c r="A256" s="417">
        <f>$A255+Planning!$D$2</f>
        <v>42414.252592592595</v>
      </c>
    </row>
    <row r="257" spans="1:1">
      <c r="A257" s="417">
        <f>$A256+Planning!$D$2</f>
        <v>42414.502592592595</v>
      </c>
    </row>
    <row r="258" spans="1:1">
      <c r="A258" s="417">
        <f>$A257+Planning!$D$2</f>
        <v>42414.752592592595</v>
      </c>
    </row>
    <row r="259" spans="1:1">
      <c r="A259" s="417">
        <f>$A258+Planning!$D$2</f>
        <v>42415.002592592595</v>
      </c>
    </row>
    <row r="260" spans="1:1">
      <c r="A260" s="417">
        <f>$A259+Planning!$D$2</f>
        <v>42415.252592592595</v>
      </c>
    </row>
    <row r="261" spans="1:1">
      <c r="A261" s="417">
        <f>$A260+Planning!$D$2</f>
        <v>42415.502592592595</v>
      </c>
    </row>
    <row r="262" spans="1:1">
      <c r="A262" s="417">
        <f>$A261+Planning!$D$2</f>
        <v>42415.752592592595</v>
      </c>
    </row>
    <row r="263" spans="1:1">
      <c r="A263" s="417">
        <f>$A262+Planning!$D$2</f>
        <v>42416.002592592595</v>
      </c>
    </row>
    <row r="264" spans="1:1">
      <c r="A264" s="417">
        <f>$A263+Planning!$D$2</f>
        <v>42416.252592592595</v>
      </c>
    </row>
    <row r="265" spans="1:1">
      <c r="A265" s="417">
        <f>$A264+Planning!$D$2</f>
        <v>42416.502592592595</v>
      </c>
    </row>
    <row r="266" spans="1:1">
      <c r="A266" s="417">
        <f>$A265+Planning!$D$2</f>
        <v>42416.752592592595</v>
      </c>
    </row>
    <row r="267" spans="1:1">
      <c r="A267" s="417">
        <f>$A266+Planning!$D$2</f>
        <v>42417.002592592595</v>
      </c>
    </row>
    <row r="268" spans="1:1">
      <c r="A268" s="417">
        <f>$A267+Planning!$D$2</f>
        <v>42417.252592592595</v>
      </c>
    </row>
    <row r="269" spans="1:1">
      <c r="A269" s="417">
        <f>$A268+Planning!$D$2</f>
        <v>42417.502592592595</v>
      </c>
    </row>
    <row r="270" spans="1:1">
      <c r="A270" s="417">
        <f>$A269+Planning!$D$2</f>
        <v>42417.752592592595</v>
      </c>
    </row>
    <row r="271" spans="1:1">
      <c r="A271" s="417">
        <f>$A270+Planning!$D$2</f>
        <v>42418.002592592595</v>
      </c>
    </row>
    <row r="272" spans="1:1">
      <c r="A272" s="417">
        <f>$A271+Planning!$D$2</f>
        <v>42418.252592592595</v>
      </c>
    </row>
    <row r="273" spans="1:1">
      <c r="A273" s="417">
        <f>$A272+Planning!$D$2</f>
        <v>42418.502592592595</v>
      </c>
    </row>
    <row r="274" spans="1:1">
      <c r="A274" s="417">
        <f>$A273+Planning!$D$2</f>
        <v>42418.752592592595</v>
      </c>
    </row>
    <row r="275" spans="1:1">
      <c r="A275" s="417">
        <f>$A274+Planning!$D$2</f>
        <v>42419.002592592595</v>
      </c>
    </row>
    <row r="276" spans="1:1">
      <c r="A276" s="417">
        <f>$A275+Planning!$D$2</f>
        <v>42419.252592592595</v>
      </c>
    </row>
    <row r="277" spans="1:1">
      <c r="A277" s="417">
        <f>$A276+Planning!$D$2</f>
        <v>42419.502592592595</v>
      </c>
    </row>
    <row r="278" spans="1:1">
      <c r="A278" s="417">
        <f>$A277+Planning!$D$2</f>
        <v>42419.752592592595</v>
      </c>
    </row>
    <row r="279" spans="1:1">
      <c r="A279" s="417">
        <f>$A278+Planning!$D$2</f>
        <v>42420.002592592595</v>
      </c>
    </row>
    <row r="280" spans="1:1">
      <c r="A280" s="417">
        <f>$A279+Planning!$D$2</f>
        <v>42420.252592592595</v>
      </c>
    </row>
    <row r="281" spans="1:1">
      <c r="A281" s="417">
        <f>$A280+Planning!$D$2</f>
        <v>42420.502592592595</v>
      </c>
    </row>
    <row r="282" spans="1:1">
      <c r="A282" s="417">
        <f>$A281+Planning!$D$2</f>
        <v>42420.752592592595</v>
      </c>
    </row>
    <row r="283" spans="1:1">
      <c r="A283" s="417">
        <f>$A282+Planning!$D$2</f>
        <v>42421.002592592595</v>
      </c>
    </row>
    <row r="284" spans="1:1">
      <c r="A284" s="417">
        <f>$A283+Planning!$D$2</f>
        <v>42421.252592592595</v>
      </c>
    </row>
    <row r="285" spans="1:1">
      <c r="A285" s="417">
        <f>$A284+Planning!$D$2</f>
        <v>42421.502592592595</v>
      </c>
    </row>
    <row r="286" spans="1:1">
      <c r="A286" s="417">
        <f>$A285+Planning!$D$2</f>
        <v>42421.752592592595</v>
      </c>
    </row>
    <row r="287" spans="1:1">
      <c r="A287" s="417">
        <f>$A286+Planning!$D$2</f>
        <v>42422.002592592595</v>
      </c>
    </row>
    <row r="288" spans="1:1">
      <c r="A288" s="417">
        <f>$A287+Planning!$D$2</f>
        <v>42422.252592592595</v>
      </c>
    </row>
    <row r="289" spans="1:1">
      <c r="A289" s="417">
        <f>$A288+Planning!$D$2</f>
        <v>42422.502592592595</v>
      </c>
    </row>
    <row r="290" spans="1:1">
      <c r="A290" s="417">
        <f>$A289+Planning!$D$2</f>
        <v>42422.752592592595</v>
      </c>
    </row>
    <row r="291" spans="1:1">
      <c r="A291" s="417">
        <f>$A290+Planning!$D$2</f>
        <v>42423.002592592595</v>
      </c>
    </row>
    <row r="292" spans="1:1">
      <c r="A292" s="417">
        <f>$A291+Planning!$D$2</f>
        <v>42423.252592592595</v>
      </c>
    </row>
    <row r="293" spans="1:1">
      <c r="A293" s="417">
        <f>$A292+Planning!$D$2</f>
        <v>42423.502592592595</v>
      </c>
    </row>
    <row r="294" spans="1:1">
      <c r="A294" s="417">
        <f>$A293+Planning!$D$2</f>
        <v>42423.752592592595</v>
      </c>
    </row>
    <row r="295" spans="1:1">
      <c r="A295" s="417">
        <f>$A294+Planning!$D$2</f>
        <v>42424.002592592595</v>
      </c>
    </row>
    <row r="296" spans="1:1">
      <c r="A296" s="417">
        <f>$A295+Planning!$D$2</f>
        <v>42424.252592592595</v>
      </c>
    </row>
    <row r="297" spans="1:1">
      <c r="A297" s="417">
        <f>$A296+Planning!$D$2</f>
        <v>42424.502592592595</v>
      </c>
    </row>
    <row r="298" spans="1:1">
      <c r="A298" s="417">
        <f>$A297+Planning!$D$2</f>
        <v>42424.752592592595</v>
      </c>
    </row>
    <row r="299" spans="1:1">
      <c r="A299" s="417">
        <f>$A298+Planning!$D$2</f>
        <v>42425.002592592595</v>
      </c>
    </row>
    <row r="300" spans="1:1">
      <c r="A300" s="417">
        <f>$A299+Planning!$D$2</f>
        <v>42425.252592592595</v>
      </c>
    </row>
    <row r="301" spans="1:1">
      <c r="A301" s="417">
        <f>$A300+Planning!$D$2</f>
        <v>42425.502592592595</v>
      </c>
    </row>
    <row r="302" spans="1:1">
      <c r="A302" s="417">
        <f>$A301+Planning!$D$2</f>
        <v>42425.752592592595</v>
      </c>
    </row>
    <row r="303" spans="1:1">
      <c r="A303" s="417">
        <f>$A302+Planning!$D$2</f>
        <v>42426.002592592595</v>
      </c>
    </row>
    <row r="304" spans="1:1">
      <c r="A304" s="417">
        <f>$A303+Planning!$D$2</f>
        <v>42426.252592592595</v>
      </c>
    </row>
    <row r="305" spans="1:1">
      <c r="A305" s="417">
        <f>$A304+Planning!$D$2</f>
        <v>42426.502592592595</v>
      </c>
    </row>
    <row r="306" spans="1:1">
      <c r="A306" s="417">
        <f>$A305+Planning!$D$2</f>
        <v>42426.752592592595</v>
      </c>
    </row>
    <row r="307" spans="1:1">
      <c r="A307" s="417">
        <f>$A306+Planning!$D$2</f>
        <v>42427.002592592595</v>
      </c>
    </row>
    <row r="308" spans="1:1">
      <c r="A308" s="417">
        <f>$A307+Planning!$D$2</f>
        <v>42427.252592592595</v>
      </c>
    </row>
    <row r="309" spans="1:1">
      <c r="A309" s="417">
        <f>$A308+Planning!$D$2</f>
        <v>42427.502592592595</v>
      </c>
    </row>
    <row r="310" spans="1:1">
      <c r="A310" s="417">
        <f>$A309+Planning!$D$2</f>
        <v>42427.752592592595</v>
      </c>
    </row>
    <row r="311" spans="1:1">
      <c r="A311" s="417">
        <f>$A310+Planning!$D$2</f>
        <v>42428.002592592595</v>
      </c>
    </row>
    <row r="312" spans="1:1">
      <c r="A312" s="417">
        <f>$A311+Planning!$D$2</f>
        <v>42428.252592592595</v>
      </c>
    </row>
    <row r="313" spans="1:1">
      <c r="A313" s="417">
        <f>$A312+Planning!$D$2</f>
        <v>42428.502592592595</v>
      </c>
    </row>
    <row r="314" spans="1:1">
      <c r="A314" s="417">
        <f>$A313+Planning!$D$2</f>
        <v>42428.752592592595</v>
      </c>
    </row>
    <row r="315" spans="1:1">
      <c r="A315" s="417">
        <f>$A314+Planning!$D$2</f>
        <v>42429.002592592595</v>
      </c>
    </row>
    <row r="316" spans="1:1">
      <c r="A316" s="417">
        <f>$A315+Planning!$D$2</f>
        <v>42429.252592592595</v>
      </c>
    </row>
    <row r="317" spans="1:1">
      <c r="A317" s="417">
        <f>$A316+Planning!$D$2</f>
        <v>42429.502592592595</v>
      </c>
    </row>
    <row r="318" spans="1:1">
      <c r="A318" s="417">
        <f>$A317+Planning!$D$2</f>
        <v>42429.752592592595</v>
      </c>
    </row>
    <row r="319" spans="1:1">
      <c r="A319" s="417">
        <f>$A318+Planning!$D$2</f>
        <v>42430.002592592595</v>
      </c>
    </row>
    <row r="320" spans="1:1">
      <c r="A320" s="417">
        <f>$A319+Planning!$D$2</f>
        <v>42430.252592592595</v>
      </c>
    </row>
    <row r="321" spans="1:1">
      <c r="A321" s="417">
        <f>$A320+Planning!$D$2</f>
        <v>42430.502592592595</v>
      </c>
    </row>
    <row r="322" spans="1:1">
      <c r="A322" s="417">
        <f>$A321+Planning!$D$2</f>
        <v>42430.752592592595</v>
      </c>
    </row>
    <row r="323" spans="1:1">
      <c r="A323" s="417">
        <f>$A322+Planning!$D$2</f>
        <v>42431.002592592595</v>
      </c>
    </row>
    <row r="324" spans="1:1">
      <c r="A324" s="417">
        <f>$A323+Planning!$D$2</f>
        <v>42431.252592592595</v>
      </c>
    </row>
    <row r="325" spans="1:1">
      <c r="A325" s="417">
        <f>$A324+Planning!$D$2</f>
        <v>42431.502592592595</v>
      </c>
    </row>
    <row r="326" spans="1:1">
      <c r="A326" s="417">
        <f>$A325+Planning!$D$2</f>
        <v>42431.752592592595</v>
      </c>
    </row>
    <row r="327" spans="1:1">
      <c r="A327" s="417">
        <f>$A326+Planning!$D$2</f>
        <v>42432.002592592595</v>
      </c>
    </row>
    <row r="328" spans="1:1">
      <c r="A328" s="417">
        <f>$A327+Planning!$D$2</f>
        <v>42432.252592592595</v>
      </c>
    </row>
    <row r="329" spans="1:1">
      <c r="A329" s="417">
        <f>$A328+Planning!$D$2</f>
        <v>42432.502592592595</v>
      </c>
    </row>
    <row r="330" spans="1:1">
      <c r="A330" s="417">
        <f>$A329+Planning!$D$2</f>
        <v>42432.752592592595</v>
      </c>
    </row>
    <row r="331" spans="1:1">
      <c r="A331" s="417">
        <f>$A330+Planning!$D$2</f>
        <v>42433.002592592595</v>
      </c>
    </row>
    <row r="332" spans="1:1">
      <c r="A332" s="417">
        <f>$A331+Planning!$D$2</f>
        <v>42433.252592592595</v>
      </c>
    </row>
    <row r="333" spans="1:1">
      <c r="A333" s="417">
        <f>$A332+Planning!$D$2</f>
        <v>42433.502592592595</v>
      </c>
    </row>
    <row r="334" spans="1:1">
      <c r="A334" s="417">
        <f>$A333+Planning!$D$2</f>
        <v>42433.752592592595</v>
      </c>
    </row>
    <row r="335" spans="1:1">
      <c r="A335" s="417">
        <f>$A334+Planning!$D$2</f>
        <v>42434.002592592595</v>
      </c>
    </row>
    <row r="336" spans="1:1">
      <c r="A336" s="417">
        <f>$A335+Planning!$D$2</f>
        <v>42434.252592592595</v>
      </c>
    </row>
    <row r="337" spans="1:1">
      <c r="A337" s="417">
        <f>$A336+Planning!$D$2</f>
        <v>42434.502592592595</v>
      </c>
    </row>
    <row r="338" spans="1:1">
      <c r="A338" s="417">
        <f>$A337+Planning!$D$2</f>
        <v>42434.752592592595</v>
      </c>
    </row>
    <row r="339" spans="1:1">
      <c r="A339" s="417">
        <f>$A338+Planning!$D$2</f>
        <v>42435.002592592595</v>
      </c>
    </row>
    <row r="340" spans="1:1">
      <c r="A340" s="417">
        <f>$A339+Planning!$D$2</f>
        <v>42435.252592592595</v>
      </c>
    </row>
    <row r="341" spans="1:1">
      <c r="A341" s="417">
        <f>$A340+Planning!$D$2</f>
        <v>42435.502592592595</v>
      </c>
    </row>
    <row r="342" spans="1:1">
      <c r="A342" s="417">
        <f>$A341+Planning!$D$2</f>
        <v>42435.752592592595</v>
      </c>
    </row>
    <row r="343" spans="1:1">
      <c r="A343" s="417">
        <f>$A342+Planning!$D$2</f>
        <v>42436.002592592595</v>
      </c>
    </row>
    <row r="344" spans="1:1">
      <c r="A344" s="417">
        <f>$A343+Planning!$D$2</f>
        <v>42436.252592592595</v>
      </c>
    </row>
    <row r="345" spans="1:1">
      <c r="A345" s="417">
        <f>$A344+Planning!$D$2</f>
        <v>42436.502592592595</v>
      </c>
    </row>
    <row r="346" spans="1:1">
      <c r="A346" s="417">
        <f>$A345+Planning!$D$2</f>
        <v>42436.752592592595</v>
      </c>
    </row>
    <row r="347" spans="1:1">
      <c r="A347" s="417">
        <f>$A346+Planning!$D$2</f>
        <v>42437.002592592595</v>
      </c>
    </row>
    <row r="348" spans="1:1">
      <c r="A348" s="417">
        <f>$A347+Planning!$D$2</f>
        <v>42437.252592592595</v>
      </c>
    </row>
    <row r="349" spans="1:1">
      <c r="A349" s="417">
        <f>$A348+Planning!$D$2</f>
        <v>42437.502592592595</v>
      </c>
    </row>
    <row r="350" spans="1:1">
      <c r="A350" s="417">
        <f>$A349+Planning!$D$2</f>
        <v>42437.752592592595</v>
      </c>
    </row>
    <row r="351" spans="1:1">
      <c r="A351" s="417">
        <f>$A350+Planning!$D$2</f>
        <v>42438.002592592595</v>
      </c>
    </row>
    <row r="352" spans="1:1">
      <c r="A352" s="417">
        <f>$A351+Planning!$D$2</f>
        <v>42438.252592592595</v>
      </c>
    </row>
    <row r="353" spans="1:1">
      <c r="A353" s="417">
        <f>$A352+Planning!$D$2</f>
        <v>42438.502592592595</v>
      </c>
    </row>
    <row r="354" spans="1:1">
      <c r="A354" s="417">
        <f>$A353+Planning!$D$2</f>
        <v>42438.752592592595</v>
      </c>
    </row>
    <row r="355" spans="1:1">
      <c r="A355" s="417">
        <f>$A354+Planning!$D$2</f>
        <v>42439.002592592595</v>
      </c>
    </row>
    <row r="356" spans="1:1">
      <c r="A356" s="417">
        <f>$A355+Planning!$D$2</f>
        <v>42439.252592592595</v>
      </c>
    </row>
    <row r="357" spans="1:1">
      <c r="A357" s="417">
        <f>$A356+Planning!$D$2</f>
        <v>42439.502592592595</v>
      </c>
    </row>
    <row r="358" spans="1:1">
      <c r="A358" s="417">
        <f>$A357+Planning!$D$2</f>
        <v>42439.752592592595</v>
      </c>
    </row>
    <row r="359" spans="1:1">
      <c r="A359" s="417">
        <f>$A358+Planning!$D$2</f>
        <v>42440.002592592595</v>
      </c>
    </row>
    <row r="360" spans="1:1">
      <c r="A360" s="417">
        <f>$A359+Planning!$D$2</f>
        <v>42440.252592592595</v>
      </c>
    </row>
    <row r="361" spans="1:1">
      <c r="A361" s="417">
        <f>$A360+Planning!$D$2</f>
        <v>42440.502592592595</v>
      </c>
    </row>
    <row r="362" spans="1:1">
      <c r="A362" s="417">
        <f>$A361+Planning!$D$2</f>
        <v>42440.752592592595</v>
      </c>
    </row>
    <row r="363" spans="1:1">
      <c r="A363" s="417">
        <f>$A362+Planning!$D$2</f>
        <v>42441.002592592595</v>
      </c>
    </row>
    <row r="364" spans="1:1">
      <c r="A364" s="417">
        <f>$A363+Planning!$D$2</f>
        <v>42441.252592592595</v>
      </c>
    </row>
    <row r="365" spans="1:1">
      <c r="A365" s="417">
        <f>$A364+Planning!$D$2</f>
        <v>42441.502592592595</v>
      </c>
    </row>
    <row r="366" spans="1:1">
      <c r="A366" s="417">
        <f>$A365+Planning!$D$2</f>
        <v>42441.752592592595</v>
      </c>
    </row>
    <row r="367" spans="1:1">
      <c r="A367" s="417">
        <f>$A366+Planning!$D$2</f>
        <v>42442.002592592595</v>
      </c>
    </row>
    <row r="368" spans="1:1">
      <c r="A368" s="417">
        <f>$A367+Planning!$D$2</f>
        <v>42442.252592592595</v>
      </c>
    </row>
    <row r="369" spans="1:1">
      <c r="A369" s="417">
        <f>$A368+Planning!$D$2</f>
        <v>42442.502592592595</v>
      </c>
    </row>
    <row r="370" spans="1:1">
      <c r="A370" s="417">
        <f>$A369+Planning!$D$2</f>
        <v>42442.752592592595</v>
      </c>
    </row>
    <row r="371" spans="1:1">
      <c r="A371" s="417">
        <f>$A370+Planning!$D$2</f>
        <v>42443.002592592595</v>
      </c>
    </row>
    <row r="372" spans="1:1">
      <c r="A372" s="417">
        <f>$A371+Planning!$D$2</f>
        <v>42443.252592592595</v>
      </c>
    </row>
    <row r="373" spans="1:1">
      <c r="A373" s="417">
        <f>$A372+Planning!$D$2</f>
        <v>42443.502592592595</v>
      </c>
    </row>
    <row r="374" spans="1:1">
      <c r="A374" s="417">
        <f>$A373+Planning!$D$2</f>
        <v>42443.752592592595</v>
      </c>
    </row>
    <row r="375" spans="1:1">
      <c r="A375" s="417">
        <f>$A374+Planning!$D$2</f>
        <v>42444.002592592595</v>
      </c>
    </row>
    <row r="376" spans="1:1">
      <c r="A376" s="417">
        <f>$A375+Planning!$D$2</f>
        <v>42444.252592592595</v>
      </c>
    </row>
    <row r="377" spans="1:1">
      <c r="A377" s="417">
        <f>$A376+Planning!$D$2</f>
        <v>42444.502592592595</v>
      </c>
    </row>
    <row r="378" spans="1:1">
      <c r="A378" s="417">
        <f>$A377+Planning!$D$2</f>
        <v>42444.752592592595</v>
      </c>
    </row>
    <row r="379" spans="1:1">
      <c r="A379" s="417">
        <f>$A378+Planning!$D$2</f>
        <v>42445.002592592595</v>
      </c>
    </row>
    <row r="380" spans="1:1">
      <c r="A380" s="417">
        <f>$A379+Planning!$D$2</f>
        <v>42445.252592592595</v>
      </c>
    </row>
    <row r="381" spans="1:1">
      <c r="A381" s="417">
        <f>$A380+Planning!$D$2</f>
        <v>42445.502592592595</v>
      </c>
    </row>
    <row r="382" spans="1:1">
      <c r="A382" s="417">
        <f>$A381+Planning!$D$2</f>
        <v>42445.752592592595</v>
      </c>
    </row>
    <row r="383" spans="1:1">
      <c r="A383" s="417">
        <f>$A382+Planning!$D$2</f>
        <v>42446.002592592595</v>
      </c>
    </row>
    <row r="384" spans="1:1">
      <c r="A384" s="417">
        <f>$A383+Planning!$D$2</f>
        <v>42446.252592592595</v>
      </c>
    </row>
    <row r="385" spans="1:1">
      <c r="A385" s="417">
        <f>$A384+Planning!$D$2</f>
        <v>42446.502592592595</v>
      </c>
    </row>
    <row r="386" spans="1:1">
      <c r="A386" s="417">
        <f>$A385+Planning!$D$2</f>
        <v>42446.752592592595</v>
      </c>
    </row>
    <row r="387" spans="1:1">
      <c r="A387" s="417">
        <f>$A386+Planning!$D$2</f>
        <v>42447.002592592595</v>
      </c>
    </row>
    <row r="388" spans="1:1">
      <c r="A388" s="417">
        <f>$A387+Planning!$D$2</f>
        <v>42447.252592592595</v>
      </c>
    </row>
    <row r="389" spans="1:1">
      <c r="A389" s="417">
        <f>$A388+Planning!$D$2</f>
        <v>42447.502592592595</v>
      </c>
    </row>
    <row r="390" spans="1:1">
      <c r="A390" s="417">
        <f>$A389+Planning!$D$2</f>
        <v>42447.752592592595</v>
      </c>
    </row>
    <row r="391" spans="1:1">
      <c r="A391" s="417">
        <f>$A390+Planning!$D$2</f>
        <v>42448.002592592595</v>
      </c>
    </row>
    <row r="392" spans="1:1">
      <c r="A392" s="417">
        <f>$A391+Planning!$D$2</f>
        <v>42448.252592592595</v>
      </c>
    </row>
    <row r="393" spans="1:1">
      <c r="A393" s="417">
        <f>$A392+Planning!$D$2</f>
        <v>42448.502592592595</v>
      </c>
    </row>
    <row r="394" spans="1:1">
      <c r="A394" s="417">
        <f>$A393+Planning!$D$2</f>
        <v>42448.752592592595</v>
      </c>
    </row>
    <row r="395" spans="1:1">
      <c r="A395" s="417">
        <f>$A394+Planning!$D$2</f>
        <v>42449.002592592595</v>
      </c>
    </row>
    <row r="396" spans="1:1">
      <c r="A396" s="417">
        <f>$A395+Planning!$D$2</f>
        <v>42449.252592592595</v>
      </c>
    </row>
    <row r="397" spans="1:1">
      <c r="A397" s="417">
        <f>$A396+Planning!$D$2</f>
        <v>42449.502592592595</v>
      </c>
    </row>
    <row r="398" spans="1:1">
      <c r="A398" s="417">
        <f>$A397+Planning!$D$2</f>
        <v>42449.752592592595</v>
      </c>
    </row>
    <row r="399" spans="1:1">
      <c r="A399" s="417">
        <f>$A398+Planning!$D$2</f>
        <v>42450.002592592595</v>
      </c>
    </row>
    <row r="400" spans="1:1">
      <c r="A400" s="417">
        <f>$A399+Planning!$D$2</f>
        <v>42450.252592592595</v>
      </c>
    </row>
    <row r="401" spans="1:1">
      <c r="A401" s="417">
        <f>$A400+Planning!$D$2</f>
        <v>42450.502592592595</v>
      </c>
    </row>
    <row r="402" spans="1:1">
      <c r="A402" s="417">
        <f>$A401+Planning!$D$2</f>
        <v>42450.752592592595</v>
      </c>
    </row>
    <row r="403" spans="1:1">
      <c r="A403" s="417">
        <f>$A402+Planning!$D$2</f>
        <v>42451.002592592595</v>
      </c>
    </row>
    <row r="404" spans="1:1">
      <c r="A404" s="417">
        <f>$A403+Planning!$D$2</f>
        <v>42451.252592592595</v>
      </c>
    </row>
    <row r="405" spans="1:1">
      <c r="A405" s="417">
        <f>$A404+Planning!$D$2</f>
        <v>42451.502592592595</v>
      </c>
    </row>
    <row r="406" spans="1:1">
      <c r="A406" s="417">
        <f>$A405+Planning!$D$2</f>
        <v>42451.752592592595</v>
      </c>
    </row>
    <row r="407" spans="1:1">
      <c r="A407" s="417">
        <f>$A406+Planning!$D$2</f>
        <v>42452.002592592595</v>
      </c>
    </row>
    <row r="408" spans="1:1">
      <c r="A408" s="417">
        <f>$A407+Planning!$D$2</f>
        <v>42452.252592592595</v>
      </c>
    </row>
    <row r="409" spans="1:1">
      <c r="A409" s="417">
        <f>$A408+Planning!$D$2</f>
        <v>42452.502592592595</v>
      </c>
    </row>
    <row r="410" spans="1:1">
      <c r="A410" s="417">
        <f>$A409+Planning!$D$2</f>
        <v>42452.752592592595</v>
      </c>
    </row>
    <row r="411" spans="1:1">
      <c r="A411" s="417">
        <f>$A410+Planning!$D$2</f>
        <v>42453.002592592595</v>
      </c>
    </row>
    <row r="412" spans="1:1">
      <c r="A412" s="417">
        <f>$A411+Planning!$D$2</f>
        <v>42453.252592592595</v>
      </c>
    </row>
    <row r="413" spans="1:1">
      <c r="A413" s="417">
        <f>$A412+Planning!$D$2</f>
        <v>42453.502592592595</v>
      </c>
    </row>
    <row r="414" spans="1:1">
      <c r="A414" s="417">
        <f>$A413+Planning!$D$2</f>
        <v>42453.752592592595</v>
      </c>
    </row>
    <row r="415" spans="1:1">
      <c r="A415" s="417">
        <f>$A414+Planning!$D$2</f>
        <v>42454.002592592595</v>
      </c>
    </row>
    <row r="416" spans="1:1">
      <c r="A416" s="417">
        <f>$A415+Planning!$D$2</f>
        <v>42454.252592592595</v>
      </c>
    </row>
    <row r="417" spans="1:1">
      <c r="A417" s="417">
        <f>$A416+Planning!$D$2</f>
        <v>42454.502592592595</v>
      </c>
    </row>
    <row r="418" spans="1:1">
      <c r="A418" s="417">
        <f>$A417+Planning!$D$2</f>
        <v>42454.752592592595</v>
      </c>
    </row>
    <row r="419" spans="1:1">
      <c r="A419" s="417">
        <f>$A418+Planning!$D$2</f>
        <v>42455.002592592595</v>
      </c>
    </row>
    <row r="420" spans="1:1">
      <c r="A420" s="417">
        <f>$A419+Planning!$D$2</f>
        <v>42455.252592592595</v>
      </c>
    </row>
    <row r="421" spans="1:1">
      <c r="A421" s="417">
        <f>$A420+Planning!$D$2</f>
        <v>42455.502592592595</v>
      </c>
    </row>
    <row r="422" spans="1:1">
      <c r="A422" s="417">
        <f>$A421+Planning!$D$2</f>
        <v>42455.752592592595</v>
      </c>
    </row>
    <row r="423" spans="1:1">
      <c r="A423" s="417">
        <f>$A422+Planning!$D$2</f>
        <v>42456.002592592595</v>
      </c>
    </row>
    <row r="424" spans="1:1">
      <c r="A424" s="417">
        <f>$A423+Planning!$D$2</f>
        <v>42456.252592592595</v>
      </c>
    </row>
    <row r="425" spans="1:1">
      <c r="A425" s="417">
        <f>$A424+Planning!$D$2</f>
        <v>42456.502592592595</v>
      </c>
    </row>
    <row r="426" spans="1:1">
      <c r="A426" s="417">
        <f>$A425+Planning!$D$2</f>
        <v>42456.752592592595</v>
      </c>
    </row>
    <row r="427" spans="1:1">
      <c r="A427" s="417">
        <f>$A426+Planning!$D$2</f>
        <v>42457.002592592595</v>
      </c>
    </row>
    <row r="428" spans="1:1">
      <c r="A428" s="417">
        <f>$A427+Planning!$D$2</f>
        <v>42457.252592592595</v>
      </c>
    </row>
    <row r="429" spans="1:1">
      <c r="A429" s="417">
        <f>$A428+Planning!$D$2</f>
        <v>42457.502592592595</v>
      </c>
    </row>
    <row r="430" spans="1:1">
      <c r="A430" s="417">
        <f>$A429+Planning!$D$2</f>
        <v>42457.752592592595</v>
      </c>
    </row>
    <row r="431" spans="1:1">
      <c r="A431" s="417">
        <f>$A430+Planning!$D$2</f>
        <v>42458.002592592595</v>
      </c>
    </row>
    <row r="432" spans="1:1">
      <c r="A432" s="417">
        <f>$A431+Planning!$D$2</f>
        <v>42458.252592592595</v>
      </c>
    </row>
    <row r="433" spans="1:1">
      <c r="A433" s="417">
        <f>$A432+Planning!$D$2</f>
        <v>42458.502592592595</v>
      </c>
    </row>
    <row r="434" spans="1:1">
      <c r="A434" s="417">
        <f>$A433+Planning!$D$2</f>
        <v>42458.752592592595</v>
      </c>
    </row>
    <row r="435" spans="1:1">
      <c r="A435" s="417">
        <f>$A434+Planning!$D$2</f>
        <v>42459.002592592595</v>
      </c>
    </row>
    <row r="436" spans="1:1">
      <c r="A436" s="417">
        <f>$A435+Planning!$D$2</f>
        <v>42459.252592592595</v>
      </c>
    </row>
    <row r="437" spans="1:1">
      <c r="A437" s="417">
        <f>$A436+Planning!$D$2</f>
        <v>42459.502592592595</v>
      </c>
    </row>
    <row r="438" spans="1:1">
      <c r="A438" s="417">
        <f>$A437+Planning!$D$2</f>
        <v>42459.752592592595</v>
      </c>
    </row>
    <row r="439" spans="1:1">
      <c r="A439" s="417">
        <f>$A438+Planning!$D$2</f>
        <v>42460.002592592595</v>
      </c>
    </row>
    <row r="440" spans="1:1">
      <c r="A440" s="417">
        <f>$A439+Planning!$D$2</f>
        <v>42460.252592592595</v>
      </c>
    </row>
    <row r="441" spans="1:1">
      <c r="A441" s="417">
        <f>$A440+Planning!$D$2</f>
        <v>42460.502592592595</v>
      </c>
    </row>
    <row r="442" spans="1:1">
      <c r="A442" s="417">
        <f>$A441+Planning!$D$2</f>
        <v>42460.752592592595</v>
      </c>
    </row>
    <row r="443" spans="1:1">
      <c r="A443" s="417">
        <f>$A442+Planning!$D$2</f>
        <v>42461.002592592595</v>
      </c>
    </row>
    <row r="444" spans="1:1">
      <c r="A444" s="417">
        <f>$A443+Planning!$D$2</f>
        <v>42461.252592592595</v>
      </c>
    </row>
    <row r="445" spans="1:1">
      <c r="A445" s="417">
        <f>$A444+Planning!$D$2</f>
        <v>42461.502592592595</v>
      </c>
    </row>
    <row r="446" spans="1:1">
      <c r="A446" s="417">
        <f>$A445+Planning!$D$2</f>
        <v>42461.752592592595</v>
      </c>
    </row>
    <row r="447" spans="1:1">
      <c r="A447" s="417">
        <f>$A446+Planning!$D$2</f>
        <v>42462.002592592595</v>
      </c>
    </row>
    <row r="448" spans="1:1">
      <c r="A448" s="417">
        <f>$A447+Planning!$D$2</f>
        <v>42462.252592592595</v>
      </c>
    </row>
    <row r="449" spans="1:1">
      <c r="A449" s="417">
        <f>$A448+Planning!$D$2</f>
        <v>42462.502592592595</v>
      </c>
    </row>
    <row r="450" spans="1:1">
      <c r="A450" s="417">
        <f>$A449+Planning!$D$2</f>
        <v>42462.752592592595</v>
      </c>
    </row>
    <row r="451" spans="1:1">
      <c r="A451" s="417">
        <f>$A450+Planning!$D$2</f>
        <v>42463.002592592595</v>
      </c>
    </row>
    <row r="452" spans="1:1">
      <c r="A452" s="417">
        <f>$A451+Planning!$D$2</f>
        <v>42463.252592592595</v>
      </c>
    </row>
    <row r="453" spans="1:1">
      <c r="A453" s="417">
        <f>$A452+Planning!$D$2</f>
        <v>42463.502592592595</v>
      </c>
    </row>
    <row r="454" spans="1:1">
      <c r="A454" s="417">
        <f>$A453+Planning!$D$2</f>
        <v>42463.752592592595</v>
      </c>
    </row>
    <row r="455" spans="1:1">
      <c r="A455" s="417">
        <f>$A454+Planning!$D$2</f>
        <v>42464.002592592595</v>
      </c>
    </row>
    <row r="456" spans="1:1">
      <c r="A456" s="417">
        <f>$A455+Planning!$D$2</f>
        <v>42464.252592592595</v>
      </c>
    </row>
    <row r="457" spans="1:1">
      <c r="A457" s="417">
        <f>$A456+Planning!$D$2</f>
        <v>42464.502592592595</v>
      </c>
    </row>
    <row r="458" spans="1:1">
      <c r="A458" s="417">
        <f>$A457+Planning!$D$2</f>
        <v>42464.752592592595</v>
      </c>
    </row>
    <row r="459" spans="1:1">
      <c r="A459" s="417">
        <f>$A458+Planning!$D$2</f>
        <v>42465.002592592595</v>
      </c>
    </row>
    <row r="460" spans="1:1">
      <c r="A460" s="417">
        <f>$A459+Planning!$D$2</f>
        <v>42465.252592592595</v>
      </c>
    </row>
    <row r="461" spans="1:1">
      <c r="A461" s="417">
        <f>$A460+Planning!$D$2</f>
        <v>42465.502592592595</v>
      </c>
    </row>
    <row r="462" spans="1:1">
      <c r="A462" s="417">
        <f>$A461+Planning!$D$2</f>
        <v>42465.752592592595</v>
      </c>
    </row>
    <row r="463" spans="1:1">
      <c r="A463" s="417">
        <f>$A462+Planning!$D$2</f>
        <v>42466.002592592595</v>
      </c>
    </row>
    <row r="464" spans="1:1">
      <c r="A464" s="417">
        <f>$A463+Planning!$D$2</f>
        <v>42466.252592592595</v>
      </c>
    </row>
    <row r="465" spans="1:1">
      <c r="A465" s="417">
        <f>$A464+Planning!$D$2</f>
        <v>42466.502592592595</v>
      </c>
    </row>
    <row r="466" spans="1:1">
      <c r="A466" s="417">
        <f>$A465+Planning!$D$2</f>
        <v>42466.752592592595</v>
      </c>
    </row>
    <row r="467" spans="1:1">
      <c r="A467" s="417">
        <f>$A466+Planning!$D$2</f>
        <v>42467.002592592595</v>
      </c>
    </row>
    <row r="468" spans="1:1">
      <c r="A468" s="417">
        <f>$A467+Planning!$D$2</f>
        <v>42467.252592592595</v>
      </c>
    </row>
    <row r="469" spans="1:1">
      <c r="A469" s="417">
        <f>$A468+Planning!$D$2</f>
        <v>42467.502592592595</v>
      </c>
    </row>
    <row r="470" spans="1:1">
      <c r="A470" s="417">
        <f>$A469+Planning!$D$2</f>
        <v>42467.752592592595</v>
      </c>
    </row>
    <row r="471" spans="1:1">
      <c r="A471" s="417">
        <f>$A470+Planning!$D$2</f>
        <v>42468.002592592595</v>
      </c>
    </row>
    <row r="472" spans="1:1">
      <c r="A472" s="417">
        <f>$A471+Planning!$D$2</f>
        <v>42468.252592592595</v>
      </c>
    </row>
    <row r="473" spans="1:1">
      <c r="A473" s="417">
        <f>$A472+Planning!$D$2</f>
        <v>42468.502592592595</v>
      </c>
    </row>
    <row r="474" spans="1:1">
      <c r="A474" s="417">
        <f>$A473+Planning!$D$2</f>
        <v>42468.752592592595</v>
      </c>
    </row>
    <row r="475" spans="1:1">
      <c r="A475" s="417">
        <f>$A474+Planning!$D$2</f>
        <v>42469.002592592595</v>
      </c>
    </row>
    <row r="476" spans="1:1">
      <c r="A476" s="417">
        <f>$A475+Planning!$D$2</f>
        <v>42469.252592592595</v>
      </c>
    </row>
    <row r="477" spans="1:1">
      <c r="A477" s="417">
        <f>$A476+Planning!$D$2</f>
        <v>42469.502592592595</v>
      </c>
    </row>
    <row r="478" spans="1:1">
      <c r="A478" s="417">
        <f>$A477+Planning!$D$2</f>
        <v>42469.752592592595</v>
      </c>
    </row>
    <row r="479" spans="1:1">
      <c r="A479" s="417">
        <f>$A478+Planning!$D$2</f>
        <v>42470.002592592595</v>
      </c>
    </row>
    <row r="480" spans="1:1">
      <c r="A480" s="417">
        <f>$A479+Planning!$D$2</f>
        <v>42470.252592592595</v>
      </c>
    </row>
    <row r="481" spans="1:1">
      <c r="A481" s="417">
        <f>$A480+Planning!$D$2</f>
        <v>42470.502592592595</v>
      </c>
    </row>
    <row r="482" spans="1:1">
      <c r="A482" s="417">
        <f>$A481+Planning!$D$2</f>
        <v>42470.752592592595</v>
      </c>
    </row>
    <row r="483" spans="1:1">
      <c r="A483" s="417">
        <f>$A482+Planning!$D$2</f>
        <v>42471.002592592595</v>
      </c>
    </row>
    <row r="484" spans="1:1">
      <c r="A484" s="417">
        <f>$A483+Planning!$D$2</f>
        <v>42471.252592592595</v>
      </c>
    </row>
    <row r="485" spans="1:1">
      <c r="A485" s="417">
        <f>$A484+Planning!$D$2</f>
        <v>42471.502592592595</v>
      </c>
    </row>
    <row r="486" spans="1:1">
      <c r="A486" s="417">
        <f>$A485+Planning!$D$2</f>
        <v>42471.752592592595</v>
      </c>
    </row>
    <row r="487" spans="1:1">
      <c r="A487" s="417">
        <f>$A486+Planning!$D$2</f>
        <v>42472.002592592595</v>
      </c>
    </row>
    <row r="488" spans="1:1">
      <c r="A488" s="417">
        <f>$A487+Planning!$D$2</f>
        <v>42472.252592592595</v>
      </c>
    </row>
    <row r="489" spans="1:1">
      <c r="A489" s="417">
        <f>$A488+Planning!$D$2</f>
        <v>42472.502592592595</v>
      </c>
    </row>
    <row r="490" spans="1:1">
      <c r="A490" s="417">
        <f>$A489+Planning!$D$2</f>
        <v>42472.752592592595</v>
      </c>
    </row>
    <row r="491" spans="1:1">
      <c r="A491" s="417">
        <f>$A490+Planning!$D$2</f>
        <v>42473.002592592595</v>
      </c>
    </row>
    <row r="492" spans="1:1">
      <c r="A492" s="417">
        <f>$A491+Planning!$D$2</f>
        <v>42473.252592592595</v>
      </c>
    </row>
    <row r="493" spans="1:1">
      <c r="A493" s="417">
        <f>$A492+Planning!$D$2</f>
        <v>42473.502592592595</v>
      </c>
    </row>
    <row r="494" spans="1:1">
      <c r="A494" s="417">
        <f>$A493+Planning!$D$2</f>
        <v>42473.752592592595</v>
      </c>
    </row>
    <row r="495" spans="1:1">
      <c r="A495" s="417">
        <f>$A494+Planning!$D$2</f>
        <v>42474.002592592595</v>
      </c>
    </row>
    <row r="496" spans="1:1">
      <c r="A496" s="417">
        <f>$A495+Planning!$D$2</f>
        <v>42474.252592592595</v>
      </c>
    </row>
    <row r="497" spans="1:1">
      <c r="A497" s="417">
        <f>$A496+Planning!$D$2</f>
        <v>42474.502592592595</v>
      </c>
    </row>
    <row r="498" spans="1:1">
      <c r="A498" s="417">
        <f>$A497+Planning!$D$2</f>
        <v>42474.752592592595</v>
      </c>
    </row>
    <row r="499" spans="1:1">
      <c r="A499" s="417">
        <f>$A498+Planning!$D$2</f>
        <v>42475.002592592595</v>
      </c>
    </row>
    <row r="500" spans="1:1">
      <c r="A500" s="417">
        <f>$A499+Planning!$D$2</f>
        <v>42475.252592592595</v>
      </c>
    </row>
    <row r="501" spans="1:1">
      <c r="A501" s="417">
        <f>$A500+Planning!$D$2</f>
        <v>42475.502592592595</v>
      </c>
    </row>
    <row r="502" spans="1:1">
      <c r="A502" s="417">
        <f>$A501+Planning!$D$2</f>
        <v>42475.752592592595</v>
      </c>
    </row>
    <row r="503" spans="1:1">
      <c r="A503" s="417">
        <f>$A502+Planning!$D$2</f>
        <v>42476.002592592595</v>
      </c>
    </row>
    <row r="504" spans="1:1">
      <c r="A504" s="417">
        <f>$A503+Planning!$D$2</f>
        <v>42476.252592592595</v>
      </c>
    </row>
    <row r="505" spans="1:1">
      <c r="A505" s="417">
        <f>$A504+Planning!$D$2</f>
        <v>42476.502592592595</v>
      </c>
    </row>
    <row r="506" spans="1:1">
      <c r="A506" s="417">
        <f>$A505+Planning!$D$2</f>
        <v>42476.752592592595</v>
      </c>
    </row>
    <row r="507" spans="1:1">
      <c r="A507" s="417">
        <f>$A506+Planning!$D$2</f>
        <v>42477.002592592595</v>
      </c>
    </row>
    <row r="508" spans="1:1">
      <c r="A508" s="417">
        <f>$A507+Planning!$D$2</f>
        <v>42477.252592592595</v>
      </c>
    </row>
    <row r="509" spans="1:1">
      <c r="A509" s="417">
        <f>$A508+Planning!$D$2</f>
        <v>42477.502592592595</v>
      </c>
    </row>
    <row r="510" spans="1:1">
      <c r="A510" s="417">
        <f>$A509+Planning!$D$2</f>
        <v>42477.752592592595</v>
      </c>
    </row>
    <row r="511" spans="1:1">
      <c r="A511" s="417">
        <f>$A510+Planning!$D$2</f>
        <v>42478.002592592595</v>
      </c>
    </row>
    <row r="512" spans="1:1">
      <c r="A512" s="417">
        <f>$A511+Planning!$D$2</f>
        <v>42478.252592592595</v>
      </c>
    </row>
    <row r="513" spans="1:1">
      <c r="A513" s="417">
        <f>$A512+Planning!$D$2</f>
        <v>42478.502592592595</v>
      </c>
    </row>
    <row r="514" spans="1:1">
      <c r="A514" s="417">
        <f>$A513+Planning!$D$2</f>
        <v>42478.752592592595</v>
      </c>
    </row>
    <row r="515" spans="1:1">
      <c r="A515" s="417">
        <f>$A514+Planning!$D$2</f>
        <v>42479.002592592595</v>
      </c>
    </row>
    <row r="516" spans="1:1">
      <c r="A516" s="417">
        <f>$A515+Planning!$D$2</f>
        <v>42479.252592592595</v>
      </c>
    </row>
    <row r="517" spans="1:1">
      <c r="A517" s="417">
        <f>$A516+Planning!$D$2</f>
        <v>42479.502592592595</v>
      </c>
    </row>
    <row r="518" spans="1:1">
      <c r="A518" s="417">
        <f>$A517+Planning!$D$2</f>
        <v>42479.752592592595</v>
      </c>
    </row>
    <row r="519" spans="1:1">
      <c r="A519" s="417">
        <f>$A518+Planning!$D$2</f>
        <v>42480.002592592595</v>
      </c>
    </row>
    <row r="520" spans="1:1">
      <c r="A520" s="417">
        <f>$A519+Planning!$D$2</f>
        <v>42480.252592592595</v>
      </c>
    </row>
    <row r="521" spans="1:1">
      <c r="A521" s="417">
        <f>$A520+Planning!$D$2</f>
        <v>42480.502592592595</v>
      </c>
    </row>
    <row r="522" spans="1:1">
      <c r="A522" s="417">
        <f>$A521+Planning!$D$2</f>
        <v>42480.752592592595</v>
      </c>
    </row>
    <row r="523" spans="1:1">
      <c r="A523" s="417">
        <f>$A522+Planning!$D$2</f>
        <v>42481.002592592595</v>
      </c>
    </row>
    <row r="524" spans="1:1">
      <c r="A524" s="417">
        <f>$A523+Planning!$D$2</f>
        <v>42481.252592592595</v>
      </c>
    </row>
    <row r="525" spans="1:1">
      <c r="A525" s="417">
        <f>$A524+Planning!$D$2</f>
        <v>42481.502592592595</v>
      </c>
    </row>
    <row r="526" spans="1:1">
      <c r="A526" s="417">
        <f>$A525+Planning!$D$2</f>
        <v>42481.752592592595</v>
      </c>
    </row>
    <row r="527" spans="1:1">
      <c r="A527" s="417">
        <f>$A526+Planning!$D$2</f>
        <v>42482.002592592595</v>
      </c>
    </row>
    <row r="528" spans="1:1">
      <c r="A528" s="417">
        <f>$A527+Planning!$D$2</f>
        <v>42482.252592592595</v>
      </c>
    </row>
    <row r="529" spans="1:1">
      <c r="A529" s="417">
        <f>$A528+Planning!$D$2</f>
        <v>42482.502592592595</v>
      </c>
    </row>
    <row r="530" spans="1:1">
      <c r="A530" s="417">
        <f>$A529+Planning!$D$2</f>
        <v>42482.752592592595</v>
      </c>
    </row>
    <row r="531" spans="1:1">
      <c r="A531" s="417">
        <f>$A530+Planning!$D$2</f>
        <v>42483.002592592595</v>
      </c>
    </row>
    <row r="532" spans="1:1">
      <c r="A532" s="417">
        <f>$A531+Planning!$D$2</f>
        <v>42483.252592592595</v>
      </c>
    </row>
    <row r="533" spans="1:1">
      <c r="A533" s="417">
        <f>$A532+Planning!$D$2</f>
        <v>42483.502592592595</v>
      </c>
    </row>
    <row r="534" spans="1:1">
      <c r="A534" s="417">
        <f>$A533+Planning!$D$2</f>
        <v>42483.752592592595</v>
      </c>
    </row>
    <row r="535" spans="1:1">
      <c r="A535" s="417">
        <f>$A534+Planning!$D$2</f>
        <v>42484.002592592595</v>
      </c>
    </row>
    <row r="536" spans="1:1">
      <c r="A536" s="417">
        <f>$A535+Planning!$D$2</f>
        <v>42484.252592592595</v>
      </c>
    </row>
    <row r="537" spans="1:1">
      <c r="A537" s="417">
        <f>$A536+Planning!$D$2</f>
        <v>42484.502592592595</v>
      </c>
    </row>
    <row r="538" spans="1:1">
      <c r="A538" s="417">
        <f>$A537+Planning!$D$2</f>
        <v>42484.752592592595</v>
      </c>
    </row>
    <row r="539" spans="1:1">
      <c r="A539" s="417">
        <f>$A538+Planning!$D$2</f>
        <v>42485.002592592595</v>
      </c>
    </row>
    <row r="540" spans="1:1">
      <c r="A540" s="417">
        <f>$A539+Planning!$D$2</f>
        <v>42485.252592592595</v>
      </c>
    </row>
    <row r="541" spans="1:1">
      <c r="A541" s="417">
        <f>$A540+Planning!$D$2</f>
        <v>42485.502592592595</v>
      </c>
    </row>
    <row r="542" spans="1:1">
      <c r="A542" s="417">
        <f>$A541+Planning!$D$2</f>
        <v>42485.752592592595</v>
      </c>
    </row>
    <row r="543" spans="1:1">
      <c r="A543" s="417">
        <f>$A542+Planning!$D$2</f>
        <v>42486.002592592595</v>
      </c>
    </row>
    <row r="544" spans="1:1">
      <c r="A544" s="417">
        <f>$A543+Planning!$D$2</f>
        <v>42486.252592592595</v>
      </c>
    </row>
    <row r="545" spans="1:1">
      <c r="A545" s="417">
        <f>$A544+Planning!$D$2</f>
        <v>42486.502592592595</v>
      </c>
    </row>
    <row r="546" spans="1:1">
      <c r="A546" s="417">
        <f>$A545+Planning!$D$2</f>
        <v>42486.752592592595</v>
      </c>
    </row>
    <row r="547" spans="1:1">
      <c r="A547" s="417">
        <f>$A546+Planning!$D$2</f>
        <v>42487.002592592595</v>
      </c>
    </row>
    <row r="548" spans="1:1">
      <c r="A548" s="417">
        <f>$A547+Planning!$D$2</f>
        <v>42487.252592592595</v>
      </c>
    </row>
    <row r="549" spans="1:1">
      <c r="A549" s="417">
        <f>$A548+Planning!$D$2</f>
        <v>42487.502592592595</v>
      </c>
    </row>
    <row r="550" spans="1:1">
      <c r="A550" s="417">
        <f>$A549+Planning!$D$2</f>
        <v>42487.752592592595</v>
      </c>
    </row>
    <row r="551" spans="1:1">
      <c r="A551" s="417">
        <f>$A550+Planning!$D$2</f>
        <v>42488.002592592595</v>
      </c>
    </row>
    <row r="552" spans="1:1">
      <c r="A552" s="417">
        <f>$A551+Planning!$D$2</f>
        <v>42488.252592592595</v>
      </c>
    </row>
    <row r="553" spans="1:1">
      <c r="A553" s="417">
        <f>$A552+Planning!$D$2</f>
        <v>42488.502592592595</v>
      </c>
    </row>
    <row r="554" spans="1:1">
      <c r="A554" s="417">
        <f>$A553+Planning!$D$2</f>
        <v>42488.752592592595</v>
      </c>
    </row>
    <row r="555" spans="1:1">
      <c r="A555" s="417">
        <f>$A554+Planning!$D$2</f>
        <v>42489.002592592595</v>
      </c>
    </row>
    <row r="556" spans="1:1">
      <c r="A556" s="417">
        <f>$A555+Planning!$D$2</f>
        <v>42489.252592592595</v>
      </c>
    </row>
    <row r="557" spans="1:1">
      <c r="A557" s="417">
        <f>$A556+Planning!$D$2</f>
        <v>42489.502592592595</v>
      </c>
    </row>
    <row r="558" spans="1:1">
      <c r="A558" s="417">
        <f>$A557+Planning!$D$2</f>
        <v>42489.752592592595</v>
      </c>
    </row>
    <row r="559" spans="1:1">
      <c r="A559" s="417">
        <f>$A558+Planning!$D$2</f>
        <v>42490.002592592595</v>
      </c>
    </row>
    <row r="560" spans="1:1">
      <c r="A560" s="417">
        <f>$A559+Planning!$D$2</f>
        <v>42490.252592592595</v>
      </c>
    </row>
    <row r="561" spans="1:1">
      <c r="A561" s="417">
        <f>$A560+Planning!$D$2</f>
        <v>42490.502592592595</v>
      </c>
    </row>
    <row r="562" spans="1:1">
      <c r="A562" s="417">
        <f>$A561+Planning!$D$2</f>
        <v>42490.752592592595</v>
      </c>
    </row>
    <row r="563" spans="1:1">
      <c r="A563" s="417">
        <f>$A562+Planning!$D$2</f>
        <v>42491.002592592595</v>
      </c>
    </row>
    <row r="564" spans="1:1">
      <c r="A564" s="417">
        <f>$A563+Planning!$D$2</f>
        <v>42491.252592592595</v>
      </c>
    </row>
    <row r="565" spans="1:1">
      <c r="A565" s="417">
        <f>$A564+Planning!$D$2</f>
        <v>42491.502592592595</v>
      </c>
    </row>
    <row r="566" spans="1:1">
      <c r="A566" s="417">
        <f>$A565+Planning!$D$2</f>
        <v>42491.752592592595</v>
      </c>
    </row>
    <row r="567" spans="1:1">
      <c r="A567" s="417">
        <f>$A566+Planning!$D$2</f>
        <v>42492.002592592595</v>
      </c>
    </row>
    <row r="568" spans="1:1">
      <c r="A568" s="417">
        <f>$A567+Planning!$D$2</f>
        <v>42492.252592592595</v>
      </c>
    </row>
    <row r="569" spans="1:1">
      <c r="A569" s="417">
        <f>$A568+Planning!$D$2</f>
        <v>42492.502592592595</v>
      </c>
    </row>
    <row r="570" spans="1:1">
      <c r="A570" s="417">
        <f>$A569+Planning!$D$2</f>
        <v>42492.752592592595</v>
      </c>
    </row>
    <row r="571" spans="1:1">
      <c r="A571" s="417">
        <f>$A570+Planning!$D$2</f>
        <v>42493.002592592595</v>
      </c>
    </row>
    <row r="572" spans="1:1">
      <c r="A572" s="417">
        <f>$A571+Planning!$D$2</f>
        <v>42493.252592592595</v>
      </c>
    </row>
    <row r="573" spans="1:1">
      <c r="A573" s="417">
        <f>$A572+Planning!$D$2</f>
        <v>42493.502592592595</v>
      </c>
    </row>
    <row r="574" spans="1:1">
      <c r="A574" s="417">
        <f>$A573+Planning!$D$2</f>
        <v>42493.752592592595</v>
      </c>
    </row>
    <row r="575" spans="1:1">
      <c r="A575" s="417">
        <f>$A574+Planning!$D$2</f>
        <v>42494.002592592595</v>
      </c>
    </row>
    <row r="576" spans="1:1">
      <c r="A576" s="417">
        <f>$A575+Planning!$D$2</f>
        <v>42494.252592592595</v>
      </c>
    </row>
    <row r="577" spans="1:1">
      <c r="A577" s="417">
        <f>$A576+Planning!$D$2</f>
        <v>42494.502592592595</v>
      </c>
    </row>
    <row r="578" spans="1:1">
      <c r="A578" s="417">
        <f>$A577+Planning!$D$2</f>
        <v>42494.752592592595</v>
      </c>
    </row>
    <row r="579" spans="1:1">
      <c r="A579" s="417">
        <f>$A578+Planning!$D$2</f>
        <v>42495.002592592595</v>
      </c>
    </row>
    <row r="580" spans="1:1">
      <c r="A580" s="417">
        <f>$A579+Planning!$D$2</f>
        <v>42495.252592592595</v>
      </c>
    </row>
    <row r="581" spans="1:1">
      <c r="A581" s="417">
        <f>$A580+Planning!$D$2</f>
        <v>42495.502592592595</v>
      </c>
    </row>
    <row r="582" spans="1:1">
      <c r="A582" s="417">
        <f>$A581+Planning!$D$2</f>
        <v>42495.752592592595</v>
      </c>
    </row>
    <row r="583" spans="1:1">
      <c r="A583" s="417">
        <f>$A582+Planning!$D$2</f>
        <v>42496.002592592595</v>
      </c>
    </row>
    <row r="584" spans="1:1">
      <c r="A584" s="417">
        <f>$A583+Planning!$D$2</f>
        <v>42496.252592592595</v>
      </c>
    </row>
    <row r="585" spans="1:1">
      <c r="A585" s="417">
        <f>$A584+Planning!$D$2</f>
        <v>42496.502592592595</v>
      </c>
    </row>
    <row r="586" spans="1:1">
      <c r="A586" s="417">
        <f>$A585+Planning!$D$2</f>
        <v>42496.752592592595</v>
      </c>
    </row>
    <row r="587" spans="1:1">
      <c r="A587" s="417">
        <f>$A586+Planning!$D$2</f>
        <v>42497.002592592595</v>
      </c>
    </row>
    <row r="588" spans="1:1">
      <c r="A588" s="417">
        <f>$A587+Planning!$D$2</f>
        <v>42497.252592592595</v>
      </c>
    </row>
    <row r="589" spans="1:1">
      <c r="A589" s="417">
        <f>$A588+Planning!$D$2</f>
        <v>42497.502592592595</v>
      </c>
    </row>
    <row r="590" spans="1:1">
      <c r="A590" s="417">
        <f>$A589+Planning!$D$2</f>
        <v>42497.752592592595</v>
      </c>
    </row>
    <row r="591" spans="1:1">
      <c r="A591" s="417">
        <f>$A590+Planning!$D$2</f>
        <v>42498.002592592595</v>
      </c>
    </row>
    <row r="592" spans="1:1">
      <c r="A592" s="417">
        <f>$A591+Planning!$D$2</f>
        <v>42498.252592592595</v>
      </c>
    </row>
    <row r="593" spans="1:1">
      <c r="A593" s="417">
        <f>$A592+Planning!$D$2</f>
        <v>42498.502592592595</v>
      </c>
    </row>
    <row r="594" spans="1:1">
      <c r="A594" s="417">
        <f>$A593+Planning!$D$2</f>
        <v>42498.752592592595</v>
      </c>
    </row>
    <row r="595" spans="1:1">
      <c r="A595" s="417">
        <f>$A594+Planning!$D$2</f>
        <v>42499.002592592595</v>
      </c>
    </row>
    <row r="596" spans="1:1">
      <c r="A596" s="417">
        <f>$A595+Planning!$D$2</f>
        <v>42499.252592592595</v>
      </c>
    </row>
    <row r="597" spans="1:1">
      <c r="A597" s="417">
        <f>$A596+Planning!$D$2</f>
        <v>42499.502592592595</v>
      </c>
    </row>
    <row r="598" spans="1:1">
      <c r="A598" s="417">
        <f>$A597+Planning!$D$2</f>
        <v>42499.752592592595</v>
      </c>
    </row>
    <row r="599" spans="1:1">
      <c r="A599" s="417">
        <f>$A598+Planning!$D$2</f>
        <v>42500.002592592595</v>
      </c>
    </row>
    <row r="600" spans="1:1">
      <c r="A600" s="417">
        <f>$A599+Planning!$D$2</f>
        <v>42500.252592592595</v>
      </c>
    </row>
    <row r="601" spans="1:1">
      <c r="A601" s="417">
        <f>$A600+Planning!$D$2</f>
        <v>42500.502592592595</v>
      </c>
    </row>
    <row r="602" spans="1:1">
      <c r="A602" s="417">
        <f>$A601+Planning!$D$2</f>
        <v>42500.752592592595</v>
      </c>
    </row>
    <row r="603" spans="1:1">
      <c r="A603" s="417">
        <f>$A602+Planning!$D$2</f>
        <v>42501.002592592595</v>
      </c>
    </row>
    <row r="604" spans="1:1">
      <c r="A604" s="417">
        <f>$A603+Planning!$D$2</f>
        <v>42501.252592592595</v>
      </c>
    </row>
    <row r="605" spans="1:1">
      <c r="A605" s="417">
        <f>$A604+Planning!$D$2</f>
        <v>42501.502592592595</v>
      </c>
    </row>
    <row r="606" spans="1:1">
      <c r="A606" s="417">
        <f>$A605+Planning!$D$2</f>
        <v>42501.752592592595</v>
      </c>
    </row>
    <row r="607" spans="1:1">
      <c r="A607" s="417">
        <f>$A606+Planning!$D$2</f>
        <v>42502.002592592595</v>
      </c>
    </row>
    <row r="608" spans="1:1">
      <c r="A608" s="417">
        <f>$A607+Planning!$D$2</f>
        <v>42502.252592592595</v>
      </c>
    </row>
    <row r="609" spans="1:1">
      <c r="A609" s="417">
        <f>$A608+Planning!$D$2</f>
        <v>42502.502592592595</v>
      </c>
    </row>
    <row r="610" spans="1:1">
      <c r="A610" s="417">
        <f>$A609+Planning!$D$2</f>
        <v>42502.752592592595</v>
      </c>
    </row>
    <row r="611" spans="1:1">
      <c r="A611" s="417">
        <f>$A610+Planning!$D$2</f>
        <v>42503.002592592595</v>
      </c>
    </row>
    <row r="612" spans="1:1">
      <c r="A612" s="417">
        <f>$A611+Planning!$D$2</f>
        <v>42503.252592592595</v>
      </c>
    </row>
    <row r="613" spans="1:1">
      <c r="A613" s="417">
        <f>$A612+Planning!$D$2</f>
        <v>42503.502592592595</v>
      </c>
    </row>
    <row r="614" spans="1:1">
      <c r="A614" s="417">
        <f>$A613+Planning!$D$2</f>
        <v>42503.752592592595</v>
      </c>
    </row>
    <row r="615" spans="1:1">
      <c r="A615" s="417">
        <f>$A614+Planning!$D$2</f>
        <v>42504.002592592595</v>
      </c>
    </row>
    <row r="616" spans="1:1">
      <c r="A616" s="417">
        <f>$A615+Planning!$D$2</f>
        <v>42504.252592592595</v>
      </c>
    </row>
    <row r="617" spans="1:1">
      <c r="A617" s="417">
        <f>$A616+Planning!$D$2</f>
        <v>42504.502592592595</v>
      </c>
    </row>
    <row r="618" spans="1:1">
      <c r="A618" s="417">
        <f>$A617+Planning!$D$2</f>
        <v>42504.752592592595</v>
      </c>
    </row>
    <row r="619" spans="1:1">
      <c r="A619" s="417">
        <f>$A618+Planning!$D$2</f>
        <v>42505.002592592595</v>
      </c>
    </row>
    <row r="620" spans="1:1">
      <c r="A620" s="417">
        <f>$A619+Planning!$D$2</f>
        <v>42505.252592592595</v>
      </c>
    </row>
    <row r="621" spans="1:1">
      <c r="A621" s="417">
        <f>$A620+Planning!$D$2</f>
        <v>42505.502592592595</v>
      </c>
    </row>
    <row r="622" spans="1:1">
      <c r="A622" s="417">
        <f>$A621+Planning!$D$2</f>
        <v>42505.752592592595</v>
      </c>
    </row>
    <row r="623" spans="1:1">
      <c r="A623" s="417">
        <f>$A622+Planning!$D$2</f>
        <v>42506.002592592595</v>
      </c>
    </row>
    <row r="624" spans="1:1">
      <c r="A624" s="417">
        <f>$A623+Planning!$D$2</f>
        <v>42506.252592592595</v>
      </c>
    </row>
    <row r="625" spans="1:1">
      <c r="A625" s="417">
        <f>$A624+Planning!$D$2</f>
        <v>42506.502592592595</v>
      </c>
    </row>
    <row r="626" spans="1:1">
      <c r="A626" s="417">
        <f>$A625+Planning!$D$2</f>
        <v>42506.752592592595</v>
      </c>
    </row>
    <row r="627" spans="1:1">
      <c r="A627" s="417">
        <f>$A626+Planning!$D$2</f>
        <v>42507.002592592595</v>
      </c>
    </row>
    <row r="628" spans="1:1">
      <c r="A628" s="417">
        <f>$A627+Planning!$D$2</f>
        <v>42507.252592592595</v>
      </c>
    </row>
    <row r="629" spans="1:1">
      <c r="A629" s="417">
        <f>$A628+Planning!$D$2</f>
        <v>42507.502592592595</v>
      </c>
    </row>
    <row r="630" spans="1:1">
      <c r="A630" s="417">
        <f>$A629+Planning!$D$2</f>
        <v>42507.752592592595</v>
      </c>
    </row>
    <row r="631" spans="1:1">
      <c r="A631" s="417">
        <f>$A630+Planning!$D$2</f>
        <v>42508.002592592595</v>
      </c>
    </row>
    <row r="632" spans="1:1">
      <c r="A632" s="417">
        <f>$A631+Planning!$D$2</f>
        <v>42508.252592592595</v>
      </c>
    </row>
    <row r="633" spans="1:1">
      <c r="A633" s="417">
        <f>$A632+Planning!$D$2</f>
        <v>42508.502592592595</v>
      </c>
    </row>
    <row r="634" spans="1:1">
      <c r="A634" s="417">
        <f>$A633+Planning!$D$2</f>
        <v>42508.752592592595</v>
      </c>
    </row>
    <row r="635" spans="1:1">
      <c r="A635" s="417">
        <f>$A634+Planning!$D$2</f>
        <v>42509.002592592595</v>
      </c>
    </row>
    <row r="636" spans="1:1">
      <c r="A636" s="417">
        <f>$A635+Planning!$D$2</f>
        <v>42509.252592592595</v>
      </c>
    </row>
    <row r="637" spans="1:1">
      <c r="A637" s="417">
        <f>$A636+Planning!$D$2</f>
        <v>42509.502592592595</v>
      </c>
    </row>
    <row r="638" spans="1:1">
      <c r="A638" s="417">
        <f>$A637+Planning!$D$2</f>
        <v>42509.752592592595</v>
      </c>
    </row>
    <row r="639" spans="1:1">
      <c r="A639" s="417">
        <f>$A638+Planning!$D$2</f>
        <v>42510.002592592595</v>
      </c>
    </row>
    <row r="640" spans="1:1">
      <c r="A640" s="417">
        <f>$A639+Planning!$D$2</f>
        <v>42510.252592592595</v>
      </c>
    </row>
    <row r="641" spans="1:1">
      <c r="A641" s="417">
        <f>$A640+Planning!$D$2</f>
        <v>42510.502592592595</v>
      </c>
    </row>
    <row r="642" spans="1:1">
      <c r="A642" s="417">
        <f>$A641+Planning!$D$2</f>
        <v>42510.752592592595</v>
      </c>
    </row>
    <row r="643" spans="1:1">
      <c r="A643" s="417">
        <f>$A642+Planning!$D$2</f>
        <v>42511.002592592595</v>
      </c>
    </row>
    <row r="644" spans="1:1">
      <c r="A644" s="417">
        <f>$A643+Planning!$D$2</f>
        <v>42511.252592592595</v>
      </c>
    </row>
    <row r="645" spans="1:1">
      <c r="A645" s="417">
        <f>$A644+Planning!$D$2</f>
        <v>42511.502592592595</v>
      </c>
    </row>
    <row r="646" spans="1:1">
      <c r="A646" s="417">
        <f>$A645+Planning!$D$2</f>
        <v>42511.752592592595</v>
      </c>
    </row>
    <row r="647" spans="1:1">
      <c r="A647" s="417">
        <f>$A646+Planning!$D$2</f>
        <v>42512.002592592595</v>
      </c>
    </row>
    <row r="648" spans="1:1">
      <c r="A648" s="417">
        <f>$A647+Planning!$D$2</f>
        <v>42512.252592592595</v>
      </c>
    </row>
    <row r="649" spans="1:1">
      <c r="A649" s="417">
        <f>$A648+Planning!$D$2</f>
        <v>42512.502592592595</v>
      </c>
    </row>
    <row r="650" spans="1:1">
      <c r="A650" s="417">
        <f>$A649+Planning!$D$2</f>
        <v>42512.752592592595</v>
      </c>
    </row>
    <row r="651" spans="1:1">
      <c r="A651" s="417">
        <f>$A650+Planning!$D$2</f>
        <v>42513.002592592595</v>
      </c>
    </row>
    <row r="652" spans="1:1">
      <c r="A652" s="417">
        <f>$A651+Planning!$D$2</f>
        <v>42513.252592592595</v>
      </c>
    </row>
    <row r="653" spans="1:1">
      <c r="A653" s="417">
        <f>$A652+Planning!$D$2</f>
        <v>42513.502592592595</v>
      </c>
    </row>
    <row r="654" spans="1:1">
      <c r="A654" s="417">
        <f>$A653+Planning!$D$2</f>
        <v>42513.752592592595</v>
      </c>
    </row>
    <row r="655" spans="1:1">
      <c r="A655" s="417">
        <f>$A654+Planning!$D$2</f>
        <v>42514.002592592595</v>
      </c>
    </row>
    <row r="656" spans="1:1">
      <c r="A656" s="417">
        <f>$A655+Planning!$D$2</f>
        <v>42514.252592592595</v>
      </c>
    </row>
    <row r="657" spans="1:1">
      <c r="A657" s="417">
        <f>$A656+Planning!$D$2</f>
        <v>42514.502592592595</v>
      </c>
    </row>
    <row r="658" spans="1:1">
      <c r="A658" s="417">
        <f>$A657+Planning!$D$2</f>
        <v>42514.752592592595</v>
      </c>
    </row>
    <row r="659" spans="1:1">
      <c r="A659" s="417">
        <f>$A658+Planning!$D$2</f>
        <v>42515.002592592595</v>
      </c>
    </row>
    <row r="660" spans="1:1">
      <c r="A660" s="417">
        <f>$A659+Planning!$D$2</f>
        <v>42515.252592592595</v>
      </c>
    </row>
    <row r="661" spans="1:1">
      <c r="A661" s="417">
        <f>$A660+Planning!$D$2</f>
        <v>42515.502592592595</v>
      </c>
    </row>
    <row r="662" spans="1:1">
      <c r="A662" s="417">
        <f>$A661+Planning!$D$2</f>
        <v>42515.752592592595</v>
      </c>
    </row>
    <row r="663" spans="1:1">
      <c r="A663" s="417">
        <f>$A662+Planning!$D$2</f>
        <v>42516.002592592595</v>
      </c>
    </row>
    <row r="664" spans="1:1">
      <c r="A664" s="417">
        <f>$A663+Planning!$D$2</f>
        <v>42516.252592592595</v>
      </c>
    </row>
    <row r="665" spans="1:1">
      <c r="A665" s="417">
        <f>$A664+Planning!$D$2</f>
        <v>42516.502592592595</v>
      </c>
    </row>
    <row r="666" spans="1:1">
      <c r="A666" s="417">
        <f>$A665+Planning!$D$2</f>
        <v>42516.752592592595</v>
      </c>
    </row>
    <row r="667" spans="1:1">
      <c r="A667" s="417">
        <f>$A666+Planning!$D$2</f>
        <v>42517.002592592595</v>
      </c>
    </row>
    <row r="668" spans="1:1">
      <c r="A668" s="417">
        <f>$A667+Planning!$D$2</f>
        <v>42517.252592592595</v>
      </c>
    </row>
    <row r="669" spans="1:1">
      <c r="A669" s="417">
        <f>$A668+Planning!$D$2</f>
        <v>42517.502592592595</v>
      </c>
    </row>
    <row r="670" spans="1:1">
      <c r="A670" s="417">
        <f>$A669+Planning!$D$2</f>
        <v>42517.752592592595</v>
      </c>
    </row>
    <row r="671" spans="1:1">
      <c r="A671" s="417">
        <f>$A670+Planning!$D$2</f>
        <v>42518.002592592595</v>
      </c>
    </row>
    <row r="672" spans="1:1">
      <c r="A672" s="417">
        <f>$A671+Planning!$D$2</f>
        <v>42518.252592592595</v>
      </c>
    </row>
    <row r="673" spans="1:1">
      <c r="A673" s="417">
        <f>$A672+Planning!$D$2</f>
        <v>42518.502592592595</v>
      </c>
    </row>
    <row r="674" spans="1:1">
      <c r="A674" s="417">
        <f>$A673+Planning!$D$2</f>
        <v>42518.752592592595</v>
      </c>
    </row>
    <row r="675" spans="1:1">
      <c r="A675" s="417">
        <f>$A674+Planning!$D$2</f>
        <v>42519.002592592595</v>
      </c>
    </row>
    <row r="676" spans="1:1">
      <c r="A676" s="417">
        <f>$A675+Planning!$D$2</f>
        <v>42519.252592592595</v>
      </c>
    </row>
    <row r="677" spans="1:1">
      <c r="A677" s="417">
        <f>$A676+Planning!$D$2</f>
        <v>42519.502592592595</v>
      </c>
    </row>
    <row r="678" spans="1:1">
      <c r="A678" s="417">
        <f>$A677+Planning!$D$2</f>
        <v>42519.752592592595</v>
      </c>
    </row>
    <row r="679" spans="1:1">
      <c r="A679" s="417">
        <f>$A678+Planning!$D$2</f>
        <v>42520.002592592595</v>
      </c>
    </row>
    <row r="680" spans="1:1">
      <c r="A680" s="417">
        <f>$A679+Planning!$D$2</f>
        <v>42520.252592592595</v>
      </c>
    </row>
    <row r="681" spans="1:1">
      <c r="A681" s="417">
        <f>$A680+Planning!$D$2</f>
        <v>42520.502592592595</v>
      </c>
    </row>
    <row r="682" spans="1:1">
      <c r="A682" s="417">
        <f>$A681+Planning!$D$2</f>
        <v>42520.752592592595</v>
      </c>
    </row>
    <row r="683" spans="1:1">
      <c r="A683" s="417">
        <f>$A682+Planning!$D$2</f>
        <v>42521.002592592595</v>
      </c>
    </row>
    <row r="684" spans="1:1">
      <c r="A684" s="417">
        <f>$A683+Planning!$D$2</f>
        <v>42521.252592592595</v>
      </c>
    </row>
    <row r="685" spans="1:1">
      <c r="A685" s="417">
        <f>$A684+Planning!$D$2</f>
        <v>42521.502592592595</v>
      </c>
    </row>
    <row r="686" spans="1:1">
      <c r="A686" s="417">
        <f>$A685+Planning!$D$2</f>
        <v>42521.752592592595</v>
      </c>
    </row>
    <row r="687" spans="1:1">
      <c r="A687" s="417">
        <f>$A686+Planning!$D$2</f>
        <v>42522.002592592595</v>
      </c>
    </row>
    <row r="688" spans="1:1">
      <c r="A688" s="417">
        <f>$A687+Planning!$D$2</f>
        <v>42522.252592592595</v>
      </c>
    </row>
    <row r="689" spans="1:1">
      <c r="A689" s="417">
        <f>$A688+Planning!$D$2</f>
        <v>42522.502592592595</v>
      </c>
    </row>
    <row r="690" spans="1:1">
      <c r="A690" s="417">
        <f>$A689+Planning!$D$2</f>
        <v>42522.752592592595</v>
      </c>
    </row>
    <row r="691" spans="1:1">
      <c r="A691" s="417">
        <f>$A690+Planning!$D$2</f>
        <v>42523.002592592595</v>
      </c>
    </row>
    <row r="692" spans="1:1">
      <c r="A692" s="417">
        <f>$A691+Planning!$D$2</f>
        <v>42523.252592592595</v>
      </c>
    </row>
    <row r="693" spans="1:1">
      <c r="A693" s="417">
        <f>$A692+Planning!$D$2</f>
        <v>42523.502592592595</v>
      </c>
    </row>
    <row r="694" spans="1:1">
      <c r="A694" s="417">
        <f>$A693+Planning!$D$2</f>
        <v>42523.752592592595</v>
      </c>
    </row>
    <row r="695" spans="1:1">
      <c r="A695" s="417">
        <f>$A694+Planning!$D$2</f>
        <v>42524.002592592595</v>
      </c>
    </row>
    <row r="696" spans="1:1">
      <c r="A696" s="417">
        <f>$A695+Planning!$D$2</f>
        <v>42524.252592592595</v>
      </c>
    </row>
    <row r="697" spans="1:1">
      <c r="A697" s="417">
        <f>$A696+Planning!$D$2</f>
        <v>42524.502592592595</v>
      </c>
    </row>
    <row r="698" spans="1:1">
      <c r="A698" s="417">
        <f>$A697+Planning!$D$2</f>
        <v>42524.752592592595</v>
      </c>
    </row>
    <row r="699" spans="1:1">
      <c r="A699" s="417">
        <f>$A698+Planning!$D$2</f>
        <v>42525.002592592595</v>
      </c>
    </row>
    <row r="700" spans="1:1">
      <c r="A700" s="417">
        <f>$A699+Planning!$D$2</f>
        <v>42525.252592592595</v>
      </c>
    </row>
    <row r="701" spans="1:1">
      <c r="A701" s="417">
        <f>$A700+Planning!$D$2</f>
        <v>42525.502592592595</v>
      </c>
    </row>
    <row r="702" spans="1:1">
      <c r="A702" s="417">
        <f>$A701+Planning!$D$2</f>
        <v>42525.752592592595</v>
      </c>
    </row>
    <row r="703" spans="1:1">
      <c r="A703" s="417">
        <f>$A702+Planning!$D$2</f>
        <v>42526.002592592595</v>
      </c>
    </row>
    <row r="704" spans="1:1">
      <c r="A704" s="417">
        <f>$A703+Planning!$D$2</f>
        <v>42526.252592592595</v>
      </c>
    </row>
    <row r="705" spans="1:1">
      <c r="A705" s="417">
        <f>$A704+Planning!$D$2</f>
        <v>42526.502592592595</v>
      </c>
    </row>
    <row r="706" spans="1:1">
      <c r="A706" s="417">
        <f>$A705+Planning!$D$2</f>
        <v>42526.752592592595</v>
      </c>
    </row>
    <row r="707" spans="1:1">
      <c r="A707" s="417">
        <f>$A706+Planning!$D$2</f>
        <v>42527.002592592595</v>
      </c>
    </row>
    <row r="708" spans="1:1">
      <c r="A708" s="417">
        <f>$A707+Planning!$D$2</f>
        <v>42527.252592592595</v>
      </c>
    </row>
    <row r="709" spans="1:1">
      <c r="A709" s="417">
        <f>$A708+Planning!$D$2</f>
        <v>42527.502592592595</v>
      </c>
    </row>
    <row r="710" spans="1:1">
      <c r="A710" s="417">
        <f>$A709+Planning!$D$2</f>
        <v>42527.752592592595</v>
      </c>
    </row>
    <row r="711" spans="1:1">
      <c r="A711" s="417">
        <f>$A710+Planning!$D$2</f>
        <v>42528.002592592595</v>
      </c>
    </row>
    <row r="712" spans="1:1">
      <c r="A712" s="417">
        <f>$A711+Planning!$D$2</f>
        <v>42528.252592592595</v>
      </c>
    </row>
    <row r="713" spans="1:1">
      <c r="A713" s="417">
        <f>$A712+Planning!$D$2</f>
        <v>42528.502592592595</v>
      </c>
    </row>
    <row r="714" spans="1:1">
      <c r="A714" s="417">
        <f>$A713+Planning!$D$2</f>
        <v>42528.752592592595</v>
      </c>
    </row>
    <row r="715" spans="1:1">
      <c r="A715" s="417">
        <f>$A714+Planning!$D$2</f>
        <v>42529.002592592595</v>
      </c>
    </row>
    <row r="716" spans="1:1">
      <c r="A716" s="417">
        <f>$A715+Planning!$D$2</f>
        <v>42529.252592592595</v>
      </c>
    </row>
    <row r="717" spans="1:1">
      <c r="A717" s="417">
        <f>$A716+Planning!$D$2</f>
        <v>42529.502592592595</v>
      </c>
    </row>
    <row r="718" spans="1:1">
      <c r="A718" s="417">
        <f>$A717+Planning!$D$2</f>
        <v>42529.752592592595</v>
      </c>
    </row>
    <row r="719" spans="1:1">
      <c r="A719" s="417">
        <f>$A718+Planning!$D$2</f>
        <v>42530.002592592595</v>
      </c>
    </row>
    <row r="720" spans="1:1">
      <c r="A720" s="417">
        <f>$A719+Planning!$D$2</f>
        <v>42530.252592592595</v>
      </c>
    </row>
    <row r="721" spans="1:1">
      <c r="A721" s="417">
        <f>$A720+Planning!$D$2</f>
        <v>42530.502592592595</v>
      </c>
    </row>
    <row r="722" spans="1:1">
      <c r="A722" s="417">
        <f>$A721+Planning!$D$2</f>
        <v>42530.752592592595</v>
      </c>
    </row>
    <row r="723" spans="1:1">
      <c r="A723" s="417">
        <f>$A722+Planning!$D$2</f>
        <v>42531.002592592595</v>
      </c>
    </row>
    <row r="724" spans="1:1">
      <c r="A724" s="417">
        <f>$A723+Planning!$D$2</f>
        <v>42531.252592592595</v>
      </c>
    </row>
    <row r="725" spans="1:1">
      <c r="A725" s="417">
        <f>$A724+Planning!$D$2</f>
        <v>42531.502592592595</v>
      </c>
    </row>
    <row r="726" spans="1:1">
      <c r="A726" s="417">
        <f>$A725+Planning!$D$2</f>
        <v>42531.752592592595</v>
      </c>
    </row>
    <row r="727" spans="1:1">
      <c r="A727" s="417">
        <f>$A726+Planning!$D$2</f>
        <v>42532.002592592595</v>
      </c>
    </row>
    <row r="728" spans="1:1">
      <c r="A728" s="417">
        <f>$A727+Planning!$D$2</f>
        <v>42532.252592592595</v>
      </c>
    </row>
    <row r="729" spans="1:1">
      <c r="A729" s="417">
        <f>$A728+Planning!$D$2</f>
        <v>42532.502592592595</v>
      </c>
    </row>
    <row r="730" spans="1:1">
      <c r="A730" s="417">
        <f>$A729+Planning!$D$2</f>
        <v>42532.752592592595</v>
      </c>
    </row>
    <row r="731" spans="1:1">
      <c r="A731" s="417">
        <f>$A730+Planning!$D$2</f>
        <v>42533.002592592595</v>
      </c>
    </row>
    <row r="732" spans="1:1">
      <c r="A732" s="417">
        <f>$A731+Planning!$D$2</f>
        <v>42533.252592592595</v>
      </c>
    </row>
    <row r="733" spans="1:1">
      <c r="A733" s="417">
        <f>$A732+Planning!$D$2</f>
        <v>42533.502592592595</v>
      </c>
    </row>
    <row r="734" spans="1:1">
      <c r="A734" s="417">
        <f>$A733+Planning!$D$2</f>
        <v>42533.752592592595</v>
      </c>
    </row>
    <row r="735" spans="1:1">
      <c r="A735" s="417">
        <f>$A734+Planning!$D$2</f>
        <v>42534.002592592595</v>
      </c>
    </row>
    <row r="736" spans="1:1">
      <c r="A736" s="417">
        <f>$A735+Planning!$D$2</f>
        <v>42534.252592592595</v>
      </c>
    </row>
    <row r="737" spans="1:1">
      <c r="A737" s="417">
        <f>$A736+Planning!$D$2</f>
        <v>42534.502592592595</v>
      </c>
    </row>
    <row r="738" spans="1:1">
      <c r="A738" s="417">
        <f>$A737+Planning!$D$2</f>
        <v>42534.752592592595</v>
      </c>
    </row>
    <row r="739" spans="1:1">
      <c r="A739" s="417">
        <f>$A738+Planning!$D$2</f>
        <v>42535.002592592595</v>
      </c>
    </row>
    <row r="740" spans="1:1">
      <c r="A740" s="417">
        <f>$A739+Planning!$D$2</f>
        <v>42535.252592592595</v>
      </c>
    </row>
    <row r="741" spans="1:1">
      <c r="A741" s="417">
        <f>$A740+Planning!$D$2</f>
        <v>42535.502592592595</v>
      </c>
    </row>
    <row r="742" spans="1:1">
      <c r="A742" s="417">
        <f>$A741+Planning!$D$2</f>
        <v>42535.752592592595</v>
      </c>
    </row>
    <row r="743" spans="1:1">
      <c r="A743" s="417">
        <f>$A742+Planning!$D$2</f>
        <v>42536.002592592595</v>
      </c>
    </row>
    <row r="744" spans="1:1">
      <c r="A744" s="417">
        <f>$A743+Planning!$D$2</f>
        <v>42536.252592592595</v>
      </c>
    </row>
    <row r="745" spans="1:1">
      <c r="A745" s="417">
        <f>$A744+Planning!$D$2</f>
        <v>42536.502592592595</v>
      </c>
    </row>
    <row r="746" spans="1:1">
      <c r="A746" s="417">
        <f>$A745+Planning!$D$2</f>
        <v>42536.752592592595</v>
      </c>
    </row>
    <row r="747" spans="1:1">
      <c r="A747" s="417">
        <f>$A746+Planning!$D$2</f>
        <v>42537.002592592595</v>
      </c>
    </row>
    <row r="748" spans="1:1">
      <c r="A748" s="417">
        <f>$A747+Planning!$D$2</f>
        <v>42537.252592592595</v>
      </c>
    </row>
    <row r="749" spans="1:1">
      <c r="A749" s="417">
        <f>$A748+Planning!$D$2</f>
        <v>42537.502592592595</v>
      </c>
    </row>
    <row r="750" spans="1:1">
      <c r="A750" s="417">
        <f>$A749+Planning!$D$2</f>
        <v>42537.752592592595</v>
      </c>
    </row>
    <row r="751" spans="1:1">
      <c r="A751" s="417">
        <f>$A750+Planning!$D$2</f>
        <v>42538.002592592595</v>
      </c>
    </row>
    <row r="752" spans="1:1">
      <c r="A752" s="417">
        <f>$A751+Planning!$D$2</f>
        <v>42538.252592592595</v>
      </c>
    </row>
    <row r="753" spans="1:1">
      <c r="A753" s="417">
        <f>$A752+Planning!$D$2</f>
        <v>42538.502592592595</v>
      </c>
    </row>
    <row r="754" spans="1:1">
      <c r="A754" s="417">
        <f>$A753+Planning!$D$2</f>
        <v>42538.752592592595</v>
      </c>
    </row>
    <row r="755" spans="1:1">
      <c r="A755" s="417">
        <f>$A754+Planning!$D$2</f>
        <v>42539.002592592595</v>
      </c>
    </row>
    <row r="756" spans="1:1">
      <c r="A756" s="417">
        <f>$A755+Planning!$D$2</f>
        <v>42539.252592592595</v>
      </c>
    </row>
    <row r="757" spans="1:1">
      <c r="A757" s="417">
        <f>$A756+Planning!$D$2</f>
        <v>42539.502592592595</v>
      </c>
    </row>
    <row r="758" spans="1:1">
      <c r="A758" s="417">
        <f>$A757+Planning!$D$2</f>
        <v>42539.752592592595</v>
      </c>
    </row>
    <row r="759" spans="1:1">
      <c r="A759" s="417">
        <f>$A758+Planning!$D$2</f>
        <v>42540.002592592595</v>
      </c>
    </row>
    <row r="760" spans="1:1">
      <c r="A760" s="417">
        <f>$A759+Planning!$D$2</f>
        <v>42540.252592592595</v>
      </c>
    </row>
    <row r="761" spans="1:1">
      <c r="A761" s="417">
        <f>$A760+Planning!$D$2</f>
        <v>42540.502592592595</v>
      </c>
    </row>
    <row r="762" spans="1:1">
      <c r="A762" s="417">
        <f>$A761+Planning!$D$2</f>
        <v>42540.752592592595</v>
      </c>
    </row>
    <row r="763" spans="1:1">
      <c r="A763" s="417">
        <f>$A762+Planning!$D$2</f>
        <v>42541.002592592595</v>
      </c>
    </row>
    <row r="764" spans="1:1">
      <c r="A764" s="417">
        <f>$A763+Planning!$D$2</f>
        <v>42541.252592592595</v>
      </c>
    </row>
    <row r="765" spans="1:1">
      <c r="A765" s="417">
        <f>$A764+Planning!$D$2</f>
        <v>42541.502592592595</v>
      </c>
    </row>
    <row r="766" spans="1:1">
      <c r="A766" s="417">
        <f>$A765+Planning!$D$2</f>
        <v>42541.752592592595</v>
      </c>
    </row>
    <row r="767" spans="1:1">
      <c r="A767" s="417">
        <f>$A766+Planning!$D$2</f>
        <v>42542.002592592595</v>
      </c>
    </row>
    <row r="768" spans="1:1">
      <c r="A768" s="417">
        <f>$A767+Planning!$D$2</f>
        <v>42542.252592592595</v>
      </c>
    </row>
    <row r="769" spans="1:1">
      <c r="A769" s="417">
        <f>$A768+Planning!$D$2</f>
        <v>42542.502592592595</v>
      </c>
    </row>
    <row r="770" spans="1:1">
      <c r="A770" s="417">
        <f>$A769+Planning!$D$2</f>
        <v>42542.752592592595</v>
      </c>
    </row>
    <row r="771" spans="1:1">
      <c r="A771" s="417">
        <f>$A770+Planning!$D$2</f>
        <v>42543.002592592595</v>
      </c>
    </row>
    <row r="772" spans="1:1">
      <c r="A772" s="417">
        <f>$A771+Planning!$D$2</f>
        <v>42543.252592592595</v>
      </c>
    </row>
    <row r="773" spans="1:1">
      <c r="A773" s="417">
        <f>$A772+Planning!$D$2</f>
        <v>42543.502592592595</v>
      </c>
    </row>
    <row r="774" spans="1:1">
      <c r="A774" s="417">
        <f>$A773+Planning!$D$2</f>
        <v>42543.752592592595</v>
      </c>
    </row>
    <row r="775" spans="1:1">
      <c r="A775" s="417">
        <f>$A774+Planning!$D$2</f>
        <v>42544.002592592595</v>
      </c>
    </row>
    <row r="776" spans="1:1">
      <c r="A776" s="417">
        <f>$A775+Planning!$D$2</f>
        <v>42544.252592592595</v>
      </c>
    </row>
    <row r="777" spans="1:1">
      <c r="A777" s="417">
        <f>$A776+Planning!$D$2</f>
        <v>42544.502592592595</v>
      </c>
    </row>
    <row r="778" spans="1:1">
      <c r="A778" s="417">
        <f>$A777+Planning!$D$2</f>
        <v>42544.752592592595</v>
      </c>
    </row>
    <row r="779" spans="1:1">
      <c r="A779" s="417">
        <f>$A778+Planning!$D$2</f>
        <v>42545.002592592595</v>
      </c>
    </row>
    <row r="780" spans="1:1">
      <c r="A780" s="417">
        <f>$A779+Planning!$D$2</f>
        <v>42545.252592592595</v>
      </c>
    </row>
    <row r="781" spans="1:1">
      <c r="A781" s="417">
        <f>$A780+Planning!$D$2</f>
        <v>42545.502592592595</v>
      </c>
    </row>
    <row r="782" spans="1:1">
      <c r="A782" s="417">
        <f>$A781+Planning!$D$2</f>
        <v>42545.752592592595</v>
      </c>
    </row>
    <row r="783" spans="1:1">
      <c r="A783" s="417">
        <f>$A782+Planning!$D$2</f>
        <v>42546.002592592595</v>
      </c>
    </row>
    <row r="784" spans="1:1">
      <c r="A784" s="417">
        <f>$A783+Planning!$D$2</f>
        <v>42546.252592592595</v>
      </c>
    </row>
    <row r="785" spans="1:1">
      <c r="A785" s="417">
        <f>$A784+Planning!$D$2</f>
        <v>42546.502592592595</v>
      </c>
    </row>
    <row r="786" spans="1:1">
      <c r="A786" s="417">
        <f>$A785+Planning!$D$2</f>
        <v>42546.752592592595</v>
      </c>
    </row>
    <row r="787" spans="1:1">
      <c r="A787" s="417">
        <f>$A786+Planning!$D$2</f>
        <v>42547.002592592595</v>
      </c>
    </row>
    <row r="788" spans="1:1">
      <c r="A788" s="417">
        <f>$A787+Planning!$D$2</f>
        <v>42547.252592592595</v>
      </c>
    </row>
    <row r="789" spans="1:1">
      <c r="A789" s="417">
        <f>$A788+Planning!$D$2</f>
        <v>42547.502592592595</v>
      </c>
    </row>
    <row r="790" spans="1:1">
      <c r="A790" s="417">
        <f>$A789+Planning!$D$2</f>
        <v>42547.752592592595</v>
      </c>
    </row>
    <row r="791" spans="1:1">
      <c r="A791" s="417">
        <f>$A790+Planning!$D$2</f>
        <v>42548.002592592595</v>
      </c>
    </row>
    <row r="792" spans="1:1">
      <c r="A792" s="417">
        <f>$A791+Planning!$D$2</f>
        <v>42548.252592592595</v>
      </c>
    </row>
    <row r="793" spans="1:1">
      <c r="A793" s="417">
        <f>$A792+Planning!$D$2</f>
        <v>42548.502592592595</v>
      </c>
    </row>
    <row r="794" spans="1:1">
      <c r="A794" s="417">
        <f>$A793+Planning!$D$2</f>
        <v>42548.752592592595</v>
      </c>
    </row>
    <row r="795" spans="1:1">
      <c r="A795" s="417">
        <f>$A794+Planning!$D$2</f>
        <v>42549.002592592595</v>
      </c>
    </row>
    <row r="796" spans="1:1">
      <c r="A796" s="417">
        <f>$A795+Planning!$D$2</f>
        <v>42549.252592592595</v>
      </c>
    </row>
    <row r="797" spans="1:1">
      <c r="A797" s="417">
        <f>$A796+Planning!$D$2</f>
        <v>42549.502592592595</v>
      </c>
    </row>
    <row r="798" spans="1:1">
      <c r="A798" s="417">
        <f>$A797+Planning!$D$2</f>
        <v>42549.752592592595</v>
      </c>
    </row>
    <row r="799" spans="1:1">
      <c r="A799" s="417">
        <f>$A798+Planning!$D$2</f>
        <v>42550.002592592595</v>
      </c>
    </row>
    <row r="800" spans="1:1">
      <c r="A800" s="417">
        <f>$A799+Planning!$D$2</f>
        <v>42550.252592592595</v>
      </c>
    </row>
    <row r="801" spans="1:1">
      <c r="A801" s="417">
        <f>$A800+Planning!$D$2</f>
        <v>42550.502592592595</v>
      </c>
    </row>
    <row r="802" spans="1:1">
      <c r="A802" s="417">
        <f>$A801+Planning!$D$2</f>
        <v>42550.752592592595</v>
      </c>
    </row>
    <row r="803" spans="1:1">
      <c r="A803" s="417">
        <f>$A802+Planning!$D$2</f>
        <v>42551.002592592595</v>
      </c>
    </row>
    <row r="804" spans="1:1">
      <c r="A804" s="417">
        <f>$A803+Planning!$D$2</f>
        <v>42551.252592592595</v>
      </c>
    </row>
    <row r="805" spans="1:1">
      <c r="A805" s="417">
        <f>$A804+Planning!$D$2</f>
        <v>42551.502592592595</v>
      </c>
    </row>
    <row r="806" spans="1:1">
      <c r="A806" s="417">
        <f>$A805+Planning!$D$2</f>
        <v>42551.752592592595</v>
      </c>
    </row>
    <row r="807" spans="1:1">
      <c r="A807" s="417">
        <f>$A806+Planning!$D$2</f>
        <v>42552.002592592595</v>
      </c>
    </row>
    <row r="808" spans="1:1">
      <c r="A808" s="417">
        <f>$A807+Planning!$D$2</f>
        <v>42552.252592592595</v>
      </c>
    </row>
    <row r="809" spans="1:1">
      <c r="A809" s="417">
        <f>$A808+Planning!$D$2</f>
        <v>42552.502592592595</v>
      </c>
    </row>
    <row r="810" spans="1:1">
      <c r="A810" s="417">
        <f>$A809+Planning!$D$2</f>
        <v>42552.752592592595</v>
      </c>
    </row>
    <row r="811" spans="1:1">
      <c r="A811" s="417">
        <f>$A810+Planning!$D$2</f>
        <v>42553.002592592595</v>
      </c>
    </row>
    <row r="812" spans="1:1">
      <c r="A812" s="417">
        <f>$A811+Planning!$D$2</f>
        <v>42553.252592592595</v>
      </c>
    </row>
    <row r="813" spans="1:1">
      <c r="A813" s="417">
        <f>$A812+Planning!$D$2</f>
        <v>42553.502592592595</v>
      </c>
    </row>
    <row r="814" spans="1:1">
      <c r="A814" s="417">
        <f>$A813+Planning!$D$2</f>
        <v>42553.752592592595</v>
      </c>
    </row>
    <row r="815" spans="1:1">
      <c r="A815" s="417">
        <f>$A814+Planning!$D$2</f>
        <v>42554.002592592595</v>
      </c>
    </row>
    <row r="816" spans="1:1">
      <c r="A816" s="417">
        <f>$A815+Planning!$D$2</f>
        <v>42554.252592592595</v>
      </c>
    </row>
    <row r="817" spans="1:1">
      <c r="A817" s="417">
        <f>$A816+Planning!$D$2</f>
        <v>42554.502592592595</v>
      </c>
    </row>
    <row r="818" spans="1:1">
      <c r="A818" s="417">
        <f>$A817+Planning!$D$2</f>
        <v>42554.752592592595</v>
      </c>
    </row>
    <row r="819" spans="1:1">
      <c r="A819" s="417">
        <f>$A818+Planning!$D$2</f>
        <v>42555.002592592595</v>
      </c>
    </row>
    <row r="820" spans="1:1">
      <c r="A820" s="417">
        <f>$A819+Planning!$D$2</f>
        <v>42555.252592592595</v>
      </c>
    </row>
    <row r="821" spans="1:1">
      <c r="A821" s="417">
        <f>$A820+Planning!$D$2</f>
        <v>42555.502592592595</v>
      </c>
    </row>
    <row r="822" spans="1:1">
      <c r="A822" s="417">
        <f>$A821+Planning!$D$2</f>
        <v>42555.752592592595</v>
      </c>
    </row>
    <row r="823" spans="1:1">
      <c r="A823" s="417">
        <f>$A822+Planning!$D$2</f>
        <v>42556.002592592595</v>
      </c>
    </row>
    <row r="824" spans="1:1">
      <c r="A824" s="417">
        <f>$A823+Planning!$D$2</f>
        <v>42556.252592592595</v>
      </c>
    </row>
    <row r="825" spans="1:1">
      <c r="A825" s="417">
        <f>$A824+Planning!$D$2</f>
        <v>42556.502592592595</v>
      </c>
    </row>
    <row r="826" spans="1:1">
      <c r="A826" s="417">
        <f>$A825+Planning!$D$2</f>
        <v>42556.752592592595</v>
      </c>
    </row>
    <row r="827" spans="1:1">
      <c r="A827" s="417">
        <f>$A826+Planning!$D$2</f>
        <v>42557.002592592595</v>
      </c>
    </row>
    <row r="828" spans="1:1">
      <c r="A828" s="417">
        <f>$A827+Planning!$D$2</f>
        <v>42557.252592592595</v>
      </c>
    </row>
    <row r="829" spans="1:1">
      <c r="A829" s="417">
        <f>$A828+Planning!$D$2</f>
        <v>42557.502592592595</v>
      </c>
    </row>
    <row r="830" spans="1:1">
      <c r="A830" s="417">
        <f>$A829+Planning!$D$2</f>
        <v>42557.752592592595</v>
      </c>
    </row>
    <row r="831" spans="1:1">
      <c r="A831" s="417">
        <f>$A830+Planning!$D$2</f>
        <v>42558.002592592595</v>
      </c>
    </row>
    <row r="832" spans="1:1">
      <c r="A832" s="417">
        <f>$A831+Planning!$D$2</f>
        <v>42558.252592592595</v>
      </c>
    </row>
    <row r="833" spans="1:1">
      <c r="A833" s="417">
        <f>$A832+Planning!$D$2</f>
        <v>42558.502592592595</v>
      </c>
    </row>
    <row r="834" spans="1:1">
      <c r="A834" s="417">
        <f>$A833+Planning!$D$2</f>
        <v>42558.752592592595</v>
      </c>
    </row>
    <row r="835" spans="1:1">
      <c r="A835" s="417">
        <f>$A834+Planning!$D$2</f>
        <v>42559.002592592595</v>
      </c>
    </row>
    <row r="836" spans="1:1">
      <c r="A836" s="417">
        <f>$A835+Planning!$D$2</f>
        <v>42559.252592592595</v>
      </c>
    </row>
    <row r="837" spans="1:1">
      <c r="A837" s="417">
        <f>$A836+Planning!$D$2</f>
        <v>42559.502592592595</v>
      </c>
    </row>
    <row r="838" spans="1:1">
      <c r="A838" s="417">
        <f>$A837+Planning!$D$2</f>
        <v>42559.752592592595</v>
      </c>
    </row>
    <row r="839" spans="1:1">
      <c r="A839" s="417">
        <f>$A838+Planning!$D$2</f>
        <v>42560.002592592595</v>
      </c>
    </row>
    <row r="840" spans="1:1">
      <c r="A840" s="417">
        <f>$A839+Planning!$D$2</f>
        <v>42560.252592592595</v>
      </c>
    </row>
    <row r="841" spans="1:1">
      <c r="A841" s="417">
        <f>$A840+Planning!$D$2</f>
        <v>42560.502592592595</v>
      </c>
    </row>
    <row r="842" spans="1:1">
      <c r="A842" s="417">
        <f>$A841+Planning!$D$2</f>
        <v>42560.752592592595</v>
      </c>
    </row>
    <row r="843" spans="1:1">
      <c r="A843" s="417">
        <f>$A842+Planning!$D$2</f>
        <v>42561.002592592595</v>
      </c>
    </row>
    <row r="844" spans="1:1">
      <c r="A844" s="417">
        <f>$A843+Planning!$D$2</f>
        <v>42561.252592592595</v>
      </c>
    </row>
    <row r="845" spans="1:1">
      <c r="A845" s="417">
        <f>$A844+Planning!$D$2</f>
        <v>42561.502592592595</v>
      </c>
    </row>
    <row r="846" spans="1:1">
      <c r="A846" s="417">
        <f>$A845+Planning!$D$2</f>
        <v>42561.752592592595</v>
      </c>
    </row>
    <row r="847" spans="1:1">
      <c r="A847" s="417">
        <f>$A846+Planning!$D$2</f>
        <v>42562.002592592595</v>
      </c>
    </row>
    <row r="848" spans="1:1">
      <c r="A848" s="417">
        <f>$A847+Planning!$D$2</f>
        <v>42562.252592592595</v>
      </c>
    </row>
    <row r="849" spans="1:1">
      <c r="A849" s="417">
        <f>$A848+Planning!$D$2</f>
        <v>42562.502592592595</v>
      </c>
    </row>
    <row r="850" spans="1:1">
      <c r="A850" s="417">
        <f>$A849+Planning!$D$2</f>
        <v>42562.752592592595</v>
      </c>
    </row>
    <row r="851" spans="1:1">
      <c r="A851" s="417">
        <f>$A850+Planning!$D$2</f>
        <v>42563.002592592595</v>
      </c>
    </row>
    <row r="852" spans="1:1">
      <c r="A852" s="417">
        <f>$A851+Planning!$D$2</f>
        <v>42563.252592592595</v>
      </c>
    </row>
    <row r="853" spans="1:1">
      <c r="A853" s="417">
        <f>$A852+Planning!$D$2</f>
        <v>42563.502592592595</v>
      </c>
    </row>
    <row r="854" spans="1:1">
      <c r="A854" s="417">
        <f>$A853+Planning!$D$2</f>
        <v>42563.752592592595</v>
      </c>
    </row>
    <row r="855" spans="1:1">
      <c r="A855" s="417">
        <f>$A854+Planning!$D$2</f>
        <v>42564.002592592595</v>
      </c>
    </row>
    <row r="856" spans="1:1">
      <c r="A856" s="417">
        <f>$A855+Planning!$D$2</f>
        <v>42564.252592592595</v>
      </c>
    </row>
    <row r="857" spans="1:1">
      <c r="A857" s="417">
        <f>$A856+Planning!$D$2</f>
        <v>42564.502592592595</v>
      </c>
    </row>
    <row r="858" spans="1:1">
      <c r="A858" s="417">
        <f>$A857+Planning!$D$2</f>
        <v>42564.752592592595</v>
      </c>
    </row>
    <row r="859" spans="1:1">
      <c r="A859" s="417">
        <f>$A858+Planning!$D$2</f>
        <v>42565.002592592595</v>
      </c>
    </row>
    <row r="860" spans="1:1">
      <c r="A860" s="417">
        <f>$A859+Planning!$D$2</f>
        <v>42565.252592592595</v>
      </c>
    </row>
    <row r="861" spans="1:1">
      <c r="A861" s="417">
        <f>$A860+Planning!$D$2</f>
        <v>42565.502592592595</v>
      </c>
    </row>
    <row r="862" spans="1:1">
      <c r="A862" s="417">
        <f>$A861+Planning!$D$2</f>
        <v>42565.752592592595</v>
      </c>
    </row>
    <row r="863" spans="1:1">
      <c r="A863" s="417">
        <f>$A862+Planning!$D$2</f>
        <v>42566.002592592595</v>
      </c>
    </row>
    <row r="864" spans="1:1">
      <c r="A864" s="417">
        <f>$A863+Planning!$D$2</f>
        <v>42566.252592592595</v>
      </c>
    </row>
    <row r="865" spans="1:1">
      <c r="A865" s="417">
        <f>$A864+Planning!$D$2</f>
        <v>42566.502592592595</v>
      </c>
    </row>
    <row r="866" spans="1:1">
      <c r="A866" s="417">
        <f>$A865+Planning!$D$2</f>
        <v>42566.752592592595</v>
      </c>
    </row>
    <row r="867" spans="1:1">
      <c r="A867" s="417">
        <f>$A866+Planning!$D$2</f>
        <v>42567.002592592595</v>
      </c>
    </row>
    <row r="868" spans="1:1">
      <c r="A868" s="417">
        <f>$A867+Planning!$D$2</f>
        <v>42567.252592592595</v>
      </c>
    </row>
    <row r="869" spans="1:1">
      <c r="A869" s="417">
        <f>$A868+Planning!$D$2</f>
        <v>42567.502592592595</v>
      </c>
    </row>
    <row r="870" spans="1:1">
      <c r="A870" s="417">
        <f>$A869+Planning!$D$2</f>
        <v>42567.752592592595</v>
      </c>
    </row>
    <row r="871" spans="1:1">
      <c r="A871" s="417">
        <f>$A870+Planning!$D$2</f>
        <v>42568.002592592595</v>
      </c>
    </row>
    <row r="872" spans="1:1">
      <c r="A872" s="417">
        <f>$A871+Planning!$D$2</f>
        <v>42568.252592592595</v>
      </c>
    </row>
    <row r="873" spans="1:1">
      <c r="A873" s="417">
        <f>$A872+Planning!$D$2</f>
        <v>42568.502592592595</v>
      </c>
    </row>
    <row r="874" spans="1:1">
      <c r="A874" s="417">
        <f>$A873+Planning!$D$2</f>
        <v>42568.752592592595</v>
      </c>
    </row>
    <row r="875" spans="1:1">
      <c r="A875" s="417">
        <f>$A874+Planning!$D$2</f>
        <v>42569.002592592595</v>
      </c>
    </row>
    <row r="876" spans="1:1">
      <c r="A876" s="417">
        <f>$A875+Planning!$D$2</f>
        <v>42569.252592592595</v>
      </c>
    </row>
    <row r="877" spans="1:1">
      <c r="A877" s="417">
        <f>$A876+Planning!$D$2</f>
        <v>42569.502592592595</v>
      </c>
    </row>
    <row r="878" spans="1:1">
      <c r="A878" s="417">
        <f>$A877+Planning!$D$2</f>
        <v>42569.752592592595</v>
      </c>
    </row>
    <row r="879" spans="1:1">
      <c r="A879" s="417">
        <f>$A878+Planning!$D$2</f>
        <v>42570.002592592595</v>
      </c>
    </row>
    <row r="880" spans="1:1">
      <c r="A880" s="417">
        <f>$A879+Planning!$D$2</f>
        <v>42570.252592592595</v>
      </c>
    </row>
    <row r="881" spans="1:1">
      <c r="A881" s="417">
        <f>$A880+Planning!$D$2</f>
        <v>42570.502592592595</v>
      </c>
    </row>
    <row r="882" spans="1:1">
      <c r="A882" s="417">
        <f>$A881+Planning!$D$2</f>
        <v>42570.752592592595</v>
      </c>
    </row>
    <row r="883" spans="1:1">
      <c r="A883" s="417">
        <f>$A882+Planning!$D$2</f>
        <v>42571.002592592595</v>
      </c>
    </row>
    <row r="884" spans="1:1">
      <c r="A884" s="417">
        <f>$A883+Planning!$D$2</f>
        <v>42571.252592592595</v>
      </c>
    </row>
    <row r="885" spans="1:1">
      <c r="A885" s="417">
        <f>$A884+Planning!$D$2</f>
        <v>42571.502592592595</v>
      </c>
    </row>
    <row r="886" spans="1:1">
      <c r="A886" s="417">
        <f>$A885+Planning!$D$2</f>
        <v>42571.752592592595</v>
      </c>
    </row>
    <row r="887" spans="1:1">
      <c r="A887" s="417">
        <f>$A886+Planning!$D$2</f>
        <v>42572.002592592595</v>
      </c>
    </row>
    <row r="888" spans="1:1">
      <c r="A888" s="417">
        <f>$A887+Planning!$D$2</f>
        <v>42572.252592592595</v>
      </c>
    </row>
    <row r="889" spans="1:1">
      <c r="A889" s="417">
        <f>$A888+Planning!$D$2</f>
        <v>42572.502592592595</v>
      </c>
    </row>
    <row r="890" spans="1:1">
      <c r="A890" s="417">
        <f>$A889+Planning!$D$2</f>
        <v>42572.752592592595</v>
      </c>
    </row>
    <row r="891" spans="1:1">
      <c r="A891" s="417">
        <f>$A890+Planning!$D$2</f>
        <v>42573.002592592595</v>
      </c>
    </row>
    <row r="892" spans="1:1">
      <c r="A892" s="417">
        <f>$A891+Planning!$D$2</f>
        <v>42573.252592592595</v>
      </c>
    </row>
    <row r="893" spans="1:1">
      <c r="A893" s="417">
        <f>$A892+Planning!$D$2</f>
        <v>42573.502592592595</v>
      </c>
    </row>
    <row r="894" spans="1:1">
      <c r="A894" s="417">
        <f>$A893+Planning!$D$2</f>
        <v>42573.752592592595</v>
      </c>
    </row>
    <row r="895" spans="1:1">
      <c r="A895" s="417">
        <f>$A894+Planning!$D$2</f>
        <v>42574.002592592595</v>
      </c>
    </row>
    <row r="896" spans="1:1">
      <c r="A896" s="417">
        <f>$A895+Planning!$D$2</f>
        <v>42574.252592592595</v>
      </c>
    </row>
    <row r="897" spans="1:1">
      <c r="A897" s="417">
        <f>$A896+Planning!$D$2</f>
        <v>42574.502592592595</v>
      </c>
    </row>
    <row r="898" spans="1:1">
      <c r="A898" s="417">
        <f>$A897+Planning!$D$2</f>
        <v>42574.752592592595</v>
      </c>
    </row>
    <row r="899" spans="1:1">
      <c r="A899" s="417">
        <f>$A898+Planning!$D$2</f>
        <v>42575.002592592595</v>
      </c>
    </row>
    <row r="900" spans="1:1">
      <c r="A900" s="417">
        <f>$A899+Planning!$D$2</f>
        <v>42575.252592592595</v>
      </c>
    </row>
    <row r="901" spans="1:1">
      <c r="A901" s="417">
        <f>$A900+Planning!$D$2</f>
        <v>42575.502592592595</v>
      </c>
    </row>
    <row r="902" spans="1:1">
      <c r="A902" s="417">
        <f>$A901+Planning!$D$2</f>
        <v>42575.752592592595</v>
      </c>
    </row>
    <row r="903" spans="1:1">
      <c r="A903" s="417">
        <f>$A902+Planning!$D$2</f>
        <v>42576.002592592595</v>
      </c>
    </row>
    <row r="904" spans="1:1">
      <c r="A904" s="417">
        <f>$A903+Planning!$D$2</f>
        <v>42576.252592592595</v>
      </c>
    </row>
    <row r="905" spans="1:1">
      <c r="A905" s="417">
        <f>$A904+Planning!$D$2</f>
        <v>42576.502592592595</v>
      </c>
    </row>
    <row r="906" spans="1:1">
      <c r="A906" s="417">
        <f>$A905+Planning!$D$2</f>
        <v>42576.752592592595</v>
      </c>
    </row>
    <row r="907" spans="1:1">
      <c r="A907" s="417">
        <f>$A906+Planning!$D$2</f>
        <v>42577.002592592595</v>
      </c>
    </row>
    <row r="908" spans="1:1">
      <c r="A908" s="417">
        <f>$A907+Planning!$D$2</f>
        <v>42577.252592592595</v>
      </c>
    </row>
    <row r="909" spans="1:1">
      <c r="A909" s="417">
        <f>$A908+Planning!$D$2</f>
        <v>42577.502592592595</v>
      </c>
    </row>
    <row r="910" spans="1:1">
      <c r="A910" s="417">
        <f>$A909+Planning!$D$2</f>
        <v>42577.752592592595</v>
      </c>
    </row>
    <row r="911" spans="1:1">
      <c r="A911" s="417">
        <f>$A910+Planning!$D$2</f>
        <v>42578.002592592595</v>
      </c>
    </row>
    <row r="912" spans="1:1">
      <c r="A912" s="417">
        <f>$A911+Planning!$D$2</f>
        <v>42578.252592592595</v>
      </c>
    </row>
    <row r="913" spans="1:1">
      <c r="A913" s="417">
        <f>$A912+Planning!$D$2</f>
        <v>42578.502592592595</v>
      </c>
    </row>
    <row r="914" spans="1:1">
      <c r="A914" s="417">
        <f>$A913+Planning!$D$2</f>
        <v>42578.752592592595</v>
      </c>
    </row>
    <row r="915" spans="1:1">
      <c r="A915" s="417">
        <f>$A914+Planning!$D$2</f>
        <v>42579.002592592595</v>
      </c>
    </row>
    <row r="916" spans="1:1">
      <c r="A916" s="417">
        <f>$A915+Planning!$D$2</f>
        <v>42579.252592592595</v>
      </c>
    </row>
    <row r="917" spans="1:1">
      <c r="A917" s="417">
        <f>$A916+Planning!$D$2</f>
        <v>42579.502592592595</v>
      </c>
    </row>
    <row r="918" spans="1:1">
      <c r="A918" s="417">
        <f>$A917+Planning!$D$2</f>
        <v>42579.752592592595</v>
      </c>
    </row>
    <row r="919" spans="1:1">
      <c r="A919" s="417">
        <f>$A918+Planning!$D$2</f>
        <v>42580.002592592595</v>
      </c>
    </row>
    <row r="920" spans="1:1">
      <c r="A920" s="417">
        <f>$A919+Planning!$D$2</f>
        <v>42580.252592592595</v>
      </c>
    </row>
    <row r="921" spans="1:1">
      <c r="A921" s="417">
        <f>$A920+Planning!$D$2</f>
        <v>42580.502592592595</v>
      </c>
    </row>
    <row r="922" spans="1:1">
      <c r="A922" s="417">
        <f>$A921+Planning!$D$2</f>
        <v>42580.752592592595</v>
      </c>
    </row>
    <row r="923" spans="1:1">
      <c r="A923" s="417">
        <f>$A922+Planning!$D$2</f>
        <v>42581.002592592595</v>
      </c>
    </row>
    <row r="924" spans="1:1">
      <c r="A924" s="417">
        <f>$A923+Planning!$D$2</f>
        <v>42581.252592592595</v>
      </c>
    </row>
    <row r="925" spans="1:1">
      <c r="A925" s="417">
        <f>$A924+Planning!$D$2</f>
        <v>42581.502592592595</v>
      </c>
    </row>
    <row r="926" spans="1:1">
      <c r="A926" s="417">
        <f>$A925+Planning!$D$2</f>
        <v>42581.752592592595</v>
      </c>
    </row>
    <row r="927" spans="1:1">
      <c r="A927" s="417">
        <f>$A926+Planning!$D$2</f>
        <v>42582.002592592595</v>
      </c>
    </row>
    <row r="928" spans="1:1">
      <c r="A928" s="417">
        <f>$A927+Planning!$D$2</f>
        <v>42582.252592592595</v>
      </c>
    </row>
    <row r="929" spans="1:1">
      <c r="A929" s="417">
        <f>$A928+Planning!$D$2</f>
        <v>42582.502592592595</v>
      </c>
    </row>
    <row r="930" spans="1:1">
      <c r="A930" s="417">
        <f>$A929+Planning!$D$2</f>
        <v>42582.752592592595</v>
      </c>
    </row>
    <row r="931" spans="1:1">
      <c r="A931" s="417">
        <f>$A930+Planning!$D$2</f>
        <v>42583.002592592595</v>
      </c>
    </row>
    <row r="932" spans="1:1">
      <c r="A932" s="417">
        <f>$A931+Planning!$D$2</f>
        <v>42583.252592592595</v>
      </c>
    </row>
    <row r="933" spans="1:1">
      <c r="A933" s="417">
        <f>$A932+Planning!$D$2</f>
        <v>42583.502592592595</v>
      </c>
    </row>
    <row r="934" spans="1:1">
      <c r="A934" s="417">
        <f>$A933+Planning!$D$2</f>
        <v>42583.752592592595</v>
      </c>
    </row>
    <row r="935" spans="1:1">
      <c r="A935" s="417">
        <f>$A934+Planning!$D$2</f>
        <v>42584.002592592595</v>
      </c>
    </row>
    <row r="936" spans="1:1">
      <c r="A936" s="417">
        <f>$A935+Planning!$D$2</f>
        <v>42584.252592592595</v>
      </c>
    </row>
    <row r="937" spans="1:1">
      <c r="A937" s="417">
        <f>$A936+Planning!$D$2</f>
        <v>42584.502592592595</v>
      </c>
    </row>
    <row r="938" spans="1:1">
      <c r="A938" s="417">
        <f>$A937+Planning!$D$2</f>
        <v>42584.752592592595</v>
      </c>
    </row>
    <row r="939" spans="1:1">
      <c r="A939" s="417">
        <f>$A938+Planning!$D$2</f>
        <v>42585.002592592595</v>
      </c>
    </row>
    <row r="940" spans="1:1">
      <c r="A940" s="417">
        <f>$A939+Planning!$D$2</f>
        <v>42585.252592592595</v>
      </c>
    </row>
    <row r="941" spans="1:1">
      <c r="A941" s="417">
        <f>$A940+Planning!$D$2</f>
        <v>42585.502592592595</v>
      </c>
    </row>
    <row r="942" spans="1:1">
      <c r="A942" s="417">
        <f>$A941+Planning!$D$2</f>
        <v>42585.752592592595</v>
      </c>
    </row>
    <row r="943" spans="1:1">
      <c r="A943" s="417">
        <f>$A942+Planning!$D$2</f>
        <v>42586.002592592595</v>
      </c>
    </row>
    <row r="944" spans="1:1">
      <c r="A944" s="417">
        <f>$A943+Planning!$D$2</f>
        <v>42586.252592592595</v>
      </c>
    </row>
    <row r="945" spans="1:1">
      <c r="A945" s="417">
        <f>$A944+Planning!$D$2</f>
        <v>42586.502592592595</v>
      </c>
    </row>
    <row r="946" spans="1:1">
      <c r="A946" s="417">
        <f>$A945+Planning!$D$2</f>
        <v>42586.752592592595</v>
      </c>
    </row>
    <row r="947" spans="1:1">
      <c r="A947" s="417">
        <f>$A946+Planning!$D$2</f>
        <v>42587.002592592595</v>
      </c>
    </row>
    <row r="948" spans="1:1">
      <c r="A948" s="417">
        <f>$A947+Planning!$D$2</f>
        <v>42587.252592592595</v>
      </c>
    </row>
    <row r="949" spans="1:1">
      <c r="A949" s="417">
        <f>$A948+Planning!$D$2</f>
        <v>42587.502592592595</v>
      </c>
    </row>
    <row r="950" spans="1:1">
      <c r="A950" s="417">
        <f>$A949+Planning!$D$2</f>
        <v>42587.752592592595</v>
      </c>
    </row>
    <row r="951" spans="1:1">
      <c r="A951" s="417">
        <f>$A950+Planning!$D$2</f>
        <v>42588.002592592595</v>
      </c>
    </row>
    <row r="952" spans="1:1">
      <c r="A952" s="417">
        <f>$A951+Planning!$D$2</f>
        <v>42588.252592592595</v>
      </c>
    </row>
    <row r="953" spans="1:1">
      <c r="A953" s="417">
        <f>$A952+Planning!$D$2</f>
        <v>42588.502592592595</v>
      </c>
    </row>
    <row r="954" spans="1:1">
      <c r="A954" s="417">
        <f>$A953+Planning!$D$2</f>
        <v>42588.752592592595</v>
      </c>
    </row>
    <row r="955" spans="1:1">
      <c r="A955" s="417">
        <f>$A954+Planning!$D$2</f>
        <v>42589.002592592595</v>
      </c>
    </row>
    <row r="956" spans="1:1">
      <c r="A956" s="417">
        <f>$A955+Planning!$D$2</f>
        <v>42589.252592592595</v>
      </c>
    </row>
    <row r="957" spans="1:1">
      <c r="A957" s="417">
        <f>$A956+Planning!$D$2</f>
        <v>42589.502592592595</v>
      </c>
    </row>
    <row r="958" spans="1:1">
      <c r="A958" s="417">
        <f>$A957+Planning!$D$2</f>
        <v>42589.752592592595</v>
      </c>
    </row>
    <row r="959" spans="1:1">
      <c r="A959" s="417">
        <f>$A958+Planning!$D$2</f>
        <v>42590.002592592595</v>
      </c>
    </row>
    <row r="960" spans="1:1">
      <c r="A960" s="417">
        <f>$A959+Planning!$D$2</f>
        <v>42590.252592592595</v>
      </c>
    </row>
    <row r="961" spans="1:1">
      <c r="A961" s="417">
        <f>$A960+Planning!$D$2</f>
        <v>42590.502592592595</v>
      </c>
    </row>
    <row r="962" spans="1:1">
      <c r="A962" s="417">
        <f>$A961+Planning!$D$2</f>
        <v>42590.752592592595</v>
      </c>
    </row>
    <row r="963" spans="1:1">
      <c r="A963" s="417">
        <f>$A962+Planning!$D$2</f>
        <v>42591.002592592595</v>
      </c>
    </row>
    <row r="964" spans="1:1">
      <c r="A964" s="417">
        <f>$A963+Planning!$D$2</f>
        <v>42591.252592592595</v>
      </c>
    </row>
    <row r="965" spans="1:1">
      <c r="A965" s="417">
        <f>$A964+Planning!$D$2</f>
        <v>42591.502592592595</v>
      </c>
    </row>
    <row r="966" spans="1:1">
      <c r="A966" s="417">
        <f>$A965+Planning!$D$2</f>
        <v>42591.752592592595</v>
      </c>
    </row>
    <row r="967" spans="1:1">
      <c r="A967" s="417">
        <f>$A966+Planning!$D$2</f>
        <v>42592.002592592595</v>
      </c>
    </row>
    <row r="968" spans="1:1">
      <c r="A968" s="417">
        <f>$A967+Planning!$D$2</f>
        <v>42592.252592592595</v>
      </c>
    </row>
    <row r="969" spans="1:1">
      <c r="A969" s="417">
        <f>$A968+Planning!$D$2</f>
        <v>42592.502592592595</v>
      </c>
    </row>
    <row r="970" spans="1:1">
      <c r="A970" s="417">
        <f>$A969+Planning!$D$2</f>
        <v>42592.752592592595</v>
      </c>
    </row>
    <row r="971" spans="1:1">
      <c r="A971" s="417">
        <f>$A970+Planning!$D$2</f>
        <v>42593.002592592595</v>
      </c>
    </row>
    <row r="972" spans="1:1">
      <c r="A972" s="417">
        <f>$A971+Planning!$D$2</f>
        <v>42593.252592592595</v>
      </c>
    </row>
    <row r="973" spans="1:1">
      <c r="A973" s="417">
        <f>$A972+Planning!$D$2</f>
        <v>42593.502592592595</v>
      </c>
    </row>
    <row r="974" spans="1:1">
      <c r="A974" s="417">
        <f>$A973+Planning!$D$2</f>
        <v>42593.752592592595</v>
      </c>
    </row>
    <row r="975" spans="1:1">
      <c r="A975" s="417">
        <f>$A974+Planning!$D$2</f>
        <v>42594.002592592595</v>
      </c>
    </row>
    <row r="976" spans="1:1">
      <c r="A976" s="417">
        <f>$A975+Planning!$D$2</f>
        <v>42594.252592592595</v>
      </c>
    </row>
    <row r="977" spans="1:1">
      <c r="A977" s="417">
        <f>$A976+Planning!$D$2</f>
        <v>42594.502592592595</v>
      </c>
    </row>
    <row r="978" spans="1:1">
      <c r="A978" s="417">
        <f>$A977+Planning!$D$2</f>
        <v>42594.752592592595</v>
      </c>
    </row>
    <row r="979" spans="1:1">
      <c r="A979" s="417">
        <f>$A978+Planning!$D$2</f>
        <v>42595.002592592595</v>
      </c>
    </row>
    <row r="980" spans="1:1">
      <c r="A980" s="417">
        <f>$A979+Planning!$D$2</f>
        <v>42595.252592592595</v>
      </c>
    </row>
    <row r="981" spans="1:1">
      <c r="A981" s="417">
        <f>$A980+Planning!$D$2</f>
        <v>42595.502592592595</v>
      </c>
    </row>
    <row r="982" spans="1:1">
      <c r="A982" s="417">
        <f>$A981+Planning!$D$2</f>
        <v>42595.752592592595</v>
      </c>
    </row>
    <row r="983" spans="1:1">
      <c r="A983" s="417">
        <f>$A982+Planning!$D$2</f>
        <v>42596.002592592595</v>
      </c>
    </row>
    <row r="984" spans="1:1">
      <c r="A984" s="417">
        <f>$A983+Planning!$D$2</f>
        <v>42596.252592592595</v>
      </c>
    </row>
    <row r="985" spans="1:1">
      <c r="A985" s="417">
        <f>$A984+Planning!$D$2</f>
        <v>42596.502592592595</v>
      </c>
    </row>
    <row r="986" spans="1:1">
      <c r="A986" s="417">
        <f>$A985+Planning!$D$2</f>
        <v>42596.752592592595</v>
      </c>
    </row>
    <row r="987" spans="1:1">
      <c r="A987" s="417">
        <f>$A986+Planning!$D$2</f>
        <v>42597.002592592595</v>
      </c>
    </row>
    <row r="988" spans="1:1">
      <c r="A988" s="417">
        <f>$A987+Planning!$D$2</f>
        <v>42597.252592592595</v>
      </c>
    </row>
    <row r="989" spans="1:1">
      <c r="A989" s="417">
        <f>$A988+Planning!$D$2</f>
        <v>42597.502592592595</v>
      </c>
    </row>
    <row r="990" spans="1:1">
      <c r="A990" s="417">
        <f>$A989+Planning!$D$2</f>
        <v>42597.752592592595</v>
      </c>
    </row>
    <row r="991" spans="1:1">
      <c r="A991" s="417">
        <f>$A990+Planning!$D$2</f>
        <v>42598.002592592595</v>
      </c>
    </row>
    <row r="992" spans="1:1">
      <c r="A992" s="417">
        <f>$A991+Planning!$D$2</f>
        <v>42598.252592592595</v>
      </c>
    </row>
    <row r="993" spans="1:1">
      <c r="A993" s="417">
        <f>$A992+Planning!$D$2</f>
        <v>42598.502592592595</v>
      </c>
    </row>
    <row r="994" spans="1:1">
      <c r="A994" s="417">
        <f>$A993+Planning!$D$2</f>
        <v>42598.752592592595</v>
      </c>
    </row>
    <row r="995" spans="1:1">
      <c r="A995" s="417">
        <f>$A994+Planning!$D$2</f>
        <v>42599.002592592595</v>
      </c>
    </row>
    <row r="996" spans="1:1">
      <c r="A996" s="417">
        <f>$A995+Planning!$D$2</f>
        <v>42599.252592592595</v>
      </c>
    </row>
    <row r="997" spans="1:1">
      <c r="A997" s="417">
        <f>$A996+Planning!$D$2</f>
        <v>42599.502592592595</v>
      </c>
    </row>
    <row r="998" spans="1:1">
      <c r="A998" s="417">
        <f>$A997+Planning!$D$2</f>
        <v>42599.752592592595</v>
      </c>
    </row>
    <row r="999" spans="1:1">
      <c r="A999" s="417">
        <f>$A998+Planning!$D$2</f>
        <v>42600.002592592595</v>
      </c>
    </row>
    <row r="1000" spans="1:1">
      <c r="A1000" s="417">
        <f>$A999+Planning!$D$2</f>
        <v>42600.252592592595</v>
      </c>
    </row>
  </sheetData>
  <sheetProtection selectLockedCells="1"/>
  <pageMargins left="0.7" right="0.7" top="0.75" bottom="0.75" header="0.3" footer="0.3"/>
  <ignoredErrors>
    <ignoredError sqref="A659:A1000 A3:B658 B2" calculatedColumn="1"/>
  </ignoredErrors>
  <tableParts count="1">
    <tablePart r:id="rId1"/>
  </tableParts>
</worksheet>
</file>

<file path=xl/worksheets/sheet16.xml><?xml version="1.0" encoding="utf-8"?>
<worksheet xmlns="http://schemas.openxmlformats.org/spreadsheetml/2006/main" xmlns:r="http://schemas.openxmlformats.org/officeDocument/2006/relationships">
  <sheetPr codeName="Feuil14">
    <tabColor rgb="FFFF0000"/>
  </sheetPr>
  <dimension ref="A1:B269"/>
  <sheetViews>
    <sheetView showGridLines="0" topLeftCell="A259" workbookViewId="0">
      <selection activeCell="B268" sqref="B268"/>
    </sheetView>
  </sheetViews>
  <sheetFormatPr baseColWidth="10" defaultColWidth="11.42578125" defaultRowHeight="15"/>
  <cols>
    <col min="1" max="1" width="47.5703125" style="189" customWidth="1"/>
    <col min="2" max="2" width="36.85546875" style="189" customWidth="1"/>
    <col min="3" max="4" width="11.42578125" style="189"/>
    <col min="5" max="6" width="43.42578125" style="189" customWidth="1"/>
    <col min="7" max="16384" width="11.42578125" style="189"/>
  </cols>
  <sheetData>
    <row r="1" spans="1:2" ht="21.75" thickBot="1">
      <c r="A1" s="1312" t="s">
        <v>174</v>
      </c>
      <c r="B1" s="1313"/>
    </row>
    <row r="2" spans="1:2">
      <c r="A2" s="318" t="s">
        <v>416</v>
      </c>
      <c r="B2" s="319" t="s">
        <v>417</v>
      </c>
    </row>
    <row r="3" spans="1:2">
      <c r="A3" s="320" t="s">
        <v>485</v>
      </c>
      <c r="B3" s="320" t="s">
        <v>467</v>
      </c>
    </row>
    <row r="4" spans="1:2">
      <c r="A4" s="320" t="s">
        <v>487</v>
      </c>
      <c r="B4" s="320" t="s">
        <v>473</v>
      </c>
    </row>
    <row r="5" spans="1:2">
      <c r="A5" s="341" t="s">
        <v>357</v>
      </c>
      <c r="B5" s="341" t="s">
        <v>359</v>
      </c>
    </row>
    <row r="6" spans="1:2">
      <c r="A6" s="320" t="s">
        <v>275</v>
      </c>
      <c r="B6" s="320" t="s">
        <v>265</v>
      </c>
    </row>
    <row r="7" spans="1:2">
      <c r="A7" s="320" t="s">
        <v>280</v>
      </c>
      <c r="B7" s="320" t="s">
        <v>146</v>
      </c>
    </row>
    <row r="8" spans="1:2">
      <c r="A8" s="321" t="s">
        <v>284</v>
      </c>
      <c r="B8" s="320" t="s">
        <v>273</v>
      </c>
    </row>
    <row r="9" spans="1:2">
      <c r="A9" s="320" t="s">
        <v>283</v>
      </c>
      <c r="B9" s="320" t="s">
        <v>272</v>
      </c>
    </row>
    <row r="10" spans="1:2">
      <c r="A10" s="320" t="s">
        <v>279</v>
      </c>
      <c r="B10" s="320" t="s">
        <v>269</v>
      </c>
    </row>
    <row r="11" spans="1:2">
      <c r="A11" s="320" t="s">
        <v>276</v>
      </c>
      <c r="B11" s="320" t="s">
        <v>266</v>
      </c>
    </row>
    <row r="12" spans="1:2">
      <c r="A12" s="320" t="s">
        <v>281</v>
      </c>
      <c r="B12" s="320" t="s">
        <v>270</v>
      </c>
    </row>
    <row r="13" spans="1:2">
      <c r="A13" s="321" t="s">
        <v>282</v>
      </c>
      <c r="B13" s="320" t="s">
        <v>271</v>
      </c>
    </row>
    <row r="14" spans="1:2" ht="56.25">
      <c r="A14" s="320" t="s">
        <v>353</v>
      </c>
      <c r="B14" s="320" t="s">
        <v>352</v>
      </c>
    </row>
    <row r="15" spans="1:2">
      <c r="A15" s="320" t="s">
        <v>277</v>
      </c>
      <c r="B15" s="320" t="s">
        <v>267</v>
      </c>
    </row>
    <row r="16" spans="1:2">
      <c r="A16" s="320" t="s">
        <v>278</v>
      </c>
      <c r="B16" s="320" t="s">
        <v>268</v>
      </c>
    </row>
    <row r="17" spans="1:2">
      <c r="A17" s="320" t="s">
        <v>361</v>
      </c>
      <c r="B17" s="320" t="s">
        <v>40</v>
      </c>
    </row>
    <row r="18" spans="1:2">
      <c r="A18" s="320" t="s">
        <v>256</v>
      </c>
      <c r="B18" s="320" t="s">
        <v>37</v>
      </c>
    </row>
    <row r="19" spans="1:2">
      <c r="A19" s="320" t="s">
        <v>331</v>
      </c>
      <c r="B19" s="320" t="s">
        <v>152</v>
      </c>
    </row>
    <row r="20" spans="1:2">
      <c r="A20" s="320" t="s">
        <v>228</v>
      </c>
      <c r="B20" s="320" t="s">
        <v>225</v>
      </c>
    </row>
    <row r="21" spans="1:2">
      <c r="A21" s="320" t="s">
        <v>456</v>
      </c>
      <c r="B21" s="320" t="s">
        <v>458</v>
      </c>
    </row>
    <row r="22" spans="1:2">
      <c r="A22" s="321" t="s">
        <v>349</v>
      </c>
      <c r="B22" s="320" t="s">
        <v>102</v>
      </c>
    </row>
    <row r="23" spans="1:2">
      <c r="A23" s="320" t="s">
        <v>257</v>
      </c>
      <c r="B23" s="320" t="s">
        <v>20</v>
      </c>
    </row>
    <row r="24" spans="1:2">
      <c r="A24" s="321" t="s">
        <v>226</v>
      </c>
      <c r="B24" s="320" t="s">
        <v>105</v>
      </c>
    </row>
    <row r="25" spans="1:2">
      <c r="A25" s="320" t="s">
        <v>369</v>
      </c>
      <c r="B25" s="320" t="s">
        <v>107</v>
      </c>
    </row>
    <row r="26" spans="1:2">
      <c r="A26" s="320" t="s">
        <v>402</v>
      </c>
      <c r="B26" s="320" t="s">
        <v>106</v>
      </c>
    </row>
    <row r="27" spans="1:2">
      <c r="A27" s="320" t="s">
        <v>240</v>
      </c>
      <c r="B27" s="320" t="s">
        <v>104</v>
      </c>
    </row>
    <row r="28" spans="1:2">
      <c r="A28" s="320" t="s">
        <v>227</v>
      </c>
      <c r="B28" s="320" t="s">
        <v>100</v>
      </c>
    </row>
    <row r="29" spans="1:2">
      <c r="A29" s="321" t="s">
        <v>372</v>
      </c>
      <c r="B29" s="320" t="s">
        <v>111</v>
      </c>
    </row>
    <row r="30" spans="1:2">
      <c r="A30" s="320" t="s">
        <v>399</v>
      </c>
      <c r="B30" s="320" t="s">
        <v>110</v>
      </c>
    </row>
    <row r="31" spans="1:2">
      <c r="A31" s="320" t="s">
        <v>370</v>
      </c>
      <c r="B31" s="320" t="s">
        <v>109</v>
      </c>
    </row>
    <row r="32" spans="1:2">
      <c r="A32" s="320" t="s">
        <v>401</v>
      </c>
      <c r="B32" s="320" t="s">
        <v>108</v>
      </c>
    </row>
    <row r="33" spans="1:2">
      <c r="A33" s="320" t="s">
        <v>255</v>
      </c>
      <c r="B33" s="320" t="s">
        <v>249</v>
      </c>
    </row>
    <row r="34" spans="1:2">
      <c r="A34" s="320" t="s">
        <v>50</v>
      </c>
      <c r="B34" s="320" t="s">
        <v>50</v>
      </c>
    </row>
    <row r="35" spans="1:2">
      <c r="A35" s="320" t="s">
        <v>200</v>
      </c>
      <c r="B35" s="320" t="s">
        <v>7</v>
      </c>
    </row>
    <row r="36" spans="1:2">
      <c r="A36" s="320" t="s">
        <v>289</v>
      </c>
      <c r="B36" s="320" t="s">
        <v>159</v>
      </c>
    </row>
    <row r="37" spans="1:2">
      <c r="A37" s="320" t="s">
        <v>286</v>
      </c>
      <c r="B37" s="320" t="s">
        <v>287</v>
      </c>
    </row>
    <row r="38" spans="1:2">
      <c r="A38" s="320" t="s">
        <v>186</v>
      </c>
      <c r="B38" s="320" t="s">
        <v>54</v>
      </c>
    </row>
    <row r="39" spans="1:2">
      <c r="A39" s="320" t="s">
        <v>195</v>
      </c>
      <c r="B39" s="320" t="s">
        <v>49</v>
      </c>
    </row>
    <row r="40" spans="1:2">
      <c r="A40" s="320" t="s">
        <v>231</v>
      </c>
      <c r="B40" s="320" t="s">
        <v>69</v>
      </c>
    </row>
    <row r="41" spans="1:2">
      <c r="A41" s="321" t="s">
        <v>308</v>
      </c>
      <c r="B41" s="320" t="s">
        <v>147</v>
      </c>
    </row>
    <row r="42" spans="1:2">
      <c r="A42" s="320" t="s">
        <v>252</v>
      </c>
      <c r="B42" s="320" t="s">
        <v>253</v>
      </c>
    </row>
    <row r="43" spans="1:2">
      <c r="A43" s="321" t="s">
        <v>180</v>
      </c>
      <c r="B43" s="320" t="s">
        <v>76</v>
      </c>
    </row>
    <row r="44" spans="1:2">
      <c r="A44" s="321" t="s">
        <v>368</v>
      </c>
      <c r="B44" s="320" t="s">
        <v>75</v>
      </c>
    </row>
    <row r="45" spans="1:2">
      <c r="A45" s="321" t="s">
        <v>405</v>
      </c>
      <c r="B45" s="320" t="s">
        <v>409</v>
      </c>
    </row>
    <row r="46" spans="1:2">
      <c r="A46" s="321" t="s">
        <v>364</v>
      </c>
      <c r="B46" s="320" t="s">
        <v>87</v>
      </c>
    </row>
    <row r="47" spans="1:2">
      <c r="A47" s="321" t="s">
        <v>403</v>
      </c>
      <c r="B47" s="320" t="s">
        <v>407</v>
      </c>
    </row>
    <row r="48" spans="1:2">
      <c r="A48" s="321" t="s">
        <v>181</v>
      </c>
      <c r="B48" s="320" t="s">
        <v>91</v>
      </c>
    </row>
    <row r="49" spans="1:2">
      <c r="A49" s="321" t="s">
        <v>366</v>
      </c>
      <c r="B49" s="320" t="s">
        <v>88</v>
      </c>
    </row>
    <row r="50" spans="1:2">
      <c r="A50" s="321" t="s">
        <v>404</v>
      </c>
      <c r="B50" s="320" t="s">
        <v>408</v>
      </c>
    </row>
    <row r="51" spans="1:2">
      <c r="A51" s="321" t="s">
        <v>447</v>
      </c>
      <c r="B51" s="320" t="s">
        <v>85</v>
      </c>
    </row>
    <row r="52" spans="1:2">
      <c r="A52" s="321" t="s">
        <v>362</v>
      </c>
      <c r="B52" s="320" t="s">
        <v>86</v>
      </c>
    </row>
    <row r="53" spans="1:2">
      <c r="A53" s="321" t="s">
        <v>406</v>
      </c>
      <c r="B53" s="320" t="s">
        <v>410</v>
      </c>
    </row>
    <row r="54" spans="1:2">
      <c r="A54" s="321" t="s">
        <v>179</v>
      </c>
      <c r="B54" s="320" t="s">
        <v>92</v>
      </c>
    </row>
    <row r="55" spans="1:2">
      <c r="A55" s="321" t="s">
        <v>500</v>
      </c>
      <c r="B55" s="320" t="s">
        <v>497</v>
      </c>
    </row>
    <row r="56" spans="1:2">
      <c r="A56" s="321" t="s">
        <v>501</v>
      </c>
      <c r="B56" s="320" t="s">
        <v>508</v>
      </c>
    </row>
    <row r="57" spans="1:2" ht="22.5">
      <c r="A57" s="321" t="s">
        <v>498</v>
      </c>
      <c r="B57" s="320" t="s">
        <v>499</v>
      </c>
    </row>
    <row r="58" spans="1:2">
      <c r="A58" s="321" t="s">
        <v>561</v>
      </c>
      <c r="B58" s="320" t="s">
        <v>597</v>
      </c>
    </row>
    <row r="59" spans="1:2">
      <c r="A59" s="321" t="s">
        <v>560</v>
      </c>
      <c r="B59" s="320" t="s">
        <v>600</v>
      </c>
    </row>
    <row r="60" spans="1:2">
      <c r="A60" s="321" t="s">
        <v>558</v>
      </c>
      <c r="B60" s="320" t="s">
        <v>599</v>
      </c>
    </row>
    <row r="61" spans="1:2">
      <c r="A61" s="321" t="s">
        <v>306</v>
      </c>
      <c r="B61" s="320" t="s">
        <v>305</v>
      </c>
    </row>
    <row r="62" spans="1:2">
      <c r="A62" s="321" t="s">
        <v>383</v>
      </c>
      <c r="B62" s="320" t="s">
        <v>393</v>
      </c>
    </row>
    <row r="63" spans="1:2">
      <c r="A63" s="321" t="s">
        <v>386</v>
      </c>
      <c r="B63" s="321" t="s">
        <v>131</v>
      </c>
    </row>
    <row r="64" spans="1:2">
      <c r="A64" s="321" t="s">
        <v>387</v>
      </c>
      <c r="B64" s="321" t="s">
        <v>132</v>
      </c>
    </row>
    <row r="65" spans="1:2">
      <c r="A65" s="321" t="s">
        <v>385</v>
      </c>
      <c r="B65" s="321" t="s">
        <v>130</v>
      </c>
    </row>
    <row r="66" spans="1:2">
      <c r="A66" s="321" t="s">
        <v>492</v>
      </c>
      <c r="B66" s="321" t="s">
        <v>469</v>
      </c>
    </row>
    <row r="67" spans="1:2">
      <c r="A67" s="321" t="s">
        <v>338</v>
      </c>
      <c r="B67" s="321" t="s">
        <v>12</v>
      </c>
    </row>
    <row r="68" spans="1:2">
      <c r="A68" s="321" t="s">
        <v>339</v>
      </c>
      <c r="B68" s="321" t="s">
        <v>161</v>
      </c>
    </row>
    <row r="69" spans="1:2" ht="22.5">
      <c r="A69" s="321" t="s">
        <v>346</v>
      </c>
      <c r="B69" s="321" t="s">
        <v>337</v>
      </c>
    </row>
    <row r="70" spans="1:2">
      <c r="A70" s="321" t="s">
        <v>205</v>
      </c>
      <c r="B70" s="321" t="s">
        <v>3</v>
      </c>
    </row>
    <row r="71" spans="1:2">
      <c r="A71" s="321" t="s">
        <v>382</v>
      </c>
      <c r="B71" s="321" t="s">
        <v>120</v>
      </c>
    </row>
    <row r="72" spans="1:2">
      <c r="A72" s="321" t="s">
        <v>392</v>
      </c>
      <c r="B72" s="321" t="s">
        <v>363</v>
      </c>
    </row>
    <row r="73" spans="1:2">
      <c r="A73" s="321" t="s">
        <v>207</v>
      </c>
      <c r="B73" s="321" t="s">
        <v>517</v>
      </c>
    </row>
    <row r="74" spans="1:2">
      <c r="A74" s="321" t="s">
        <v>322</v>
      </c>
      <c r="B74" s="321" t="s">
        <v>518</v>
      </c>
    </row>
    <row r="75" spans="1:2">
      <c r="A75" s="321" t="s">
        <v>321</v>
      </c>
      <c r="B75" s="321" t="s">
        <v>522</v>
      </c>
    </row>
    <row r="76" spans="1:2">
      <c r="A76" s="321" t="s">
        <v>320</v>
      </c>
      <c r="B76" s="321" t="s">
        <v>524</v>
      </c>
    </row>
    <row r="77" spans="1:2">
      <c r="A77" s="321" t="s">
        <v>343</v>
      </c>
      <c r="B77" s="321" t="s">
        <v>527</v>
      </c>
    </row>
    <row r="78" spans="1:2">
      <c r="A78" s="321" t="s">
        <v>329</v>
      </c>
      <c r="B78" s="321" t="s">
        <v>528</v>
      </c>
    </row>
    <row r="79" spans="1:2">
      <c r="A79" s="321" t="s">
        <v>330</v>
      </c>
      <c r="B79" s="321" t="s">
        <v>530</v>
      </c>
    </row>
    <row r="80" spans="1:2" ht="22.5">
      <c r="A80" s="321" t="s">
        <v>336</v>
      </c>
      <c r="B80" s="321" t="s">
        <v>526</v>
      </c>
    </row>
    <row r="81" spans="1:2">
      <c r="A81" s="320" t="s">
        <v>358</v>
      </c>
      <c r="B81" s="320" t="s">
        <v>520</v>
      </c>
    </row>
    <row r="82" spans="1:2">
      <c r="A82" s="321" t="s">
        <v>299</v>
      </c>
      <c r="B82" s="321" t="s">
        <v>297</v>
      </c>
    </row>
    <row r="83" spans="1:2">
      <c r="A83" s="321" t="s">
        <v>298</v>
      </c>
      <c r="B83" s="321" t="s">
        <v>296</v>
      </c>
    </row>
    <row r="84" spans="1:2">
      <c r="A84" s="321" t="s">
        <v>455</v>
      </c>
      <c r="B84" s="321" t="s">
        <v>457</v>
      </c>
    </row>
    <row r="85" spans="1:2">
      <c r="A85" s="321" t="s">
        <v>250</v>
      </c>
      <c r="B85" s="321" t="s">
        <v>274</v>
      </c>
    </row>
    <row r="86" spans="1:2">
      <c r="A86" s="321" t="s">
        <v>198</v>
      </c>
      <c r="B86" s="321" t="s">
        <v>16</v>
      </c>
    </row>
    <row r="87" spans="1:2">
      <c r="A87" s="321" t="s">
        <v>245</v>
      </c>
      <c r="B87" s="321" t="s">
        <v>65</v>
      </c>
    </row>
    <row r="88" spans="1:2">
      <c r="A88" s="321" t="s">
        <v>384</v>
      </c>
      <c r="B88" s="321" t="s">
        <v>133</v>
      </c>
    </row>
    <row r="89" spans="1:2">
      <c r="A89" s="321" t="s">
        <v>335</v>
      </c>
      <c r="B89" s="321" t="s">
        <v>347</v>
      </c>
    </row>
    <row r="90" spans="1:2">
      <c r="A90" s="321" t="s">
        <v>333</v>
      </c>
      <c r="B90" s="321" t="s">
        <v>153</v>
      </c>
    </row>
    <row r="91" spans="1:2">
      <c r="A91" s="321" t="s">
        <v>421</v>
      </c>
      <c r="B91" s="321" t="s">
        <v>420</v>
      </c>
    </row>
    <row r="92" spans="1:2">
      <c r="A92" s="321" t="s">
        <v>301</v>
      </c>
      <c r="B92" s="321" t="s">
        <v>138</v>
      </c>
    </row>
    <row r="93" spans="1:2">
      <c r="A93" s="320" t="s">
        <v>300</v>
      </c>
      <c r="B93" s="320" t="s">
        <v>137</v>
      </c>
    </row>
    <row r="94" spans="1:2">
      <c r="A94" s="320" t="s">
        <v>422</v>
      </c>
      <c r="B94" s="320" t="s">
        <v>418</v>
      </c>
    </row>
    <row r="95" spans="1:2">
      <c r="A95" s="320" t="s">
        <v>481</v>
      </c>
      <c r="B95" s="320" t="s">
        <v>480</v>
      </c>
    </row>
    <row r="96" spans="1:2">
      <c r="A96" s="320" t="s">
        <v>258</v>
      </c>
      <c r="B96" s="320" t="s">
        <v>18</v>
      </c>
    </row>
    <row r="97" spans="1:2">
      <c r="A97" s="320" t="s">
        <v>232</v>
      </c>
      <c r="B97" s="320" t="s">
        <v>42</v>
      </c>
    </row>
    <row r="98" spans="1:2">
      <c r="A98" s="320" t="s">
        <v>377</v>
      </c>
      <c r="B98" s="320" t="s">
        <v>63</v>
      </c>
    </row>
    <row r="99" spans="1:2">
      <c r="A99" s="320" t="s">
        <v>379</v>
      </c>
      <c r="B99" s="320" t="s">
        <v>84</v>
      </c>
    </row>
    <row r="100" spans="1:2">
      <c r="A100" s="320" t="s">
        <v>378</v>
      </c>
      <c r="B100" s="320" t="s">
        <v>83</v>
      </c>
    </row>
    <row r="101" spans="1:2">
      <c r="A101" s="320" t="s">
        <v>376</v>
      </c>
      <c r="B101" s="320" t="s">
        <v>78</v>
      </c>
    </row>
    <row r="102" spans="1:2">
      <c r="A102" s="320" t="s">
        <v>374</v>
      </c>
      <c r="B102" s="320" t="s">
        <v>89</v>
      </c>
    </row>
    <row r="103" spans="1:2">
      <c r="A103" s="321" t="s">
        <v>375</v>
      </c>
      <c r="B103" s="321" t="s">
        <v>90</v>
      </c>
    </row>
    <row r="104" spans="1:2">
      <c r="A104" s="321" t="s">
        <v>373</v>
      </c>
      <c r="B104" s="321" t="s">
        <v>93</v>
      </c>
    </row>
    <row r="105" spans="1:2">
      <c r="A105" s="321" t="s">
        <v>391</v>
      </c>
      <c r="B105" s="321" t="s">
        <v>150</v>
      </c>
    </row>
    <row r="106" spans="1:2">
      <c r="A106" s="321" t="s">
        <v>389</v>
      </c>
      <c r="B106" s="321" t="s">
        <v>149</v>
      </c>
    </row>
    <row r="107" spans="1:2">
      <c r="A107" s="321" t="s">
        <v>380</v>
      </c>
      <c r="B107" s="321" t="s">
        <v>46</v>
      </c>
    </row>
    <row r="108" spans="1:2">
      <c r="A108" s="320" t="s">
        <v>673</v>
      </c>
      <c r="B108" s="320" t="s">
        <v>674</v>
      </c>
    </row>
    <row r="109" spans="1:2">
      <c r="A109" s="321" t="s">
        <v>669</v>
      </c>
      <c r="B109" s="321" t="s">
        <v>634</v>
      </c>
    </row>
    <row r="110" spans="1:2">
      <c r="A110" s="321" t="s">
        <v>312</v>
      </c>
      <c r="B110" s="321" t="s">
        <v>154</v>
      </c>
    </row>
    <row r="111" spans="1:2">
      <c r="A111" s="321" t="s">
        <v>494</v>
      </c>
      <c r="B111" s="321" t="s">
        <v>495</v>
      </c>
    </row>
    <row r="112" spans="1:2">
      <c r="A112" s="321" t="s">
        <v>165</v>
      </c>
      <c r="B112" s="321" t="s">
        <v>165</v>
      </c>
    </row>
    <row r="113" spans="1:2">
      <c r="A113" s="321" t="s">
        <v>477</v>
      </c>
      <c r="B113" s="321" t="s">
        <v>468</v>
      </c>
    </row>
    <row r="114" spans="1:2">
      <c r="A114" s="321" t="s">
        <v>483</v>
      </c>
      <c r="B114" s="321" t="s">
        <v>464</v>
      </c>
    </row>
    <row r="115" spans="1:2">
      <c r="A115" s="321" t="s">
        <v>484</v>
      </c>
      <c r="B115" s="321" t="s">
        <v>465</v>
      </c>
    </row>
    <row r="116" spans="1:2">
      <c r="A116" s="321" t="s">
        <v>290</v>
      </c>
      <c r="B116" s="321" t="s">
        <v>288</v>
      </c>
    </row>
    <row r="117" spans="1:2">
      <c r="A117" s="321" t="s">
        <v>202</v>
      </c>
      <c r="B117" s="321" t="s">
        <v>35</v>
      </c>
    </row>
    <row r="118" spans="1:2">
      <c r="A118" s="321" t="s">
        <v>95</v>
      </c>
      <c r="B118" s="321" t="s">
        <v>95</v>
      </c>
    </row>
    <row r="119" spans="1:2">
      <c r="A119" s="321" t="s">
        <v>388</v>
      </c>
      <c r="B119" s="321" t="s">
        <v>394</v>
      </c>
    </row>
    <row r="120" spans="1:2">
      <c r="A120" s="321" t="s">
        <v>293</v>
      </c>
      <c r="B120" s="321" t="s">
        <v>411</v>
      </c>
    </row>
    <row r="121" spans="1:2">
      <c r="A121" s="321" t="s">
        <v>57</v>
      </c>
      <c r="B121" s="321" t="s">
        <v>57</v>
      </c>
    </row>
    <row r="122" spans="1:2">
      <c r="A122" s="321" t="s">
        <v>482</v>
      </c>
      <c r="B122" s="321" t="s">
        <v>471</v>
      </c>
    </row>
    <row r="123" spans="1:2">
      <c r="A123" s="321" t="s">
        <v>489</v>
      </c>
      <c r="B123" s="321" t="s">
        <v>466</v>
      </c>
    </row>
    <row r="124" spans="1:2">
      <c r="A124" s="321" t="s">
        <v>247</v>
      </c>
      <c r="B124" s="321" t="s">
        <v>32</v>
      </c>
    </row>
    <row r="125" spans="1:2">
      <c r="A125" s="321" t="s">
        <v>248</v>
      </c>
      <c r="B125" s="321" t="s">
        <v>68</v>
      </c>
    </row>
    <row r="126" spans="1:2">
      <c r="A126" s="321" t="s">
        <v>260</v>
      </c>
      <c r="B126" s="321" t="s">
        <v>242</v>
      </c>
    </row>
    <row r="127" spans="1:2">
      <c r="A127" s="321" t="s">
        <v>241</v>
      </c>
      <c r="B127" s="321" t="s">
        <v>239</v>
      </c>
    </row>
    <row r="128" spans="1:2" ht="22.5">
      <c r="A128" s="321" t="s">
        <v>342</v>
      </c>
      <c r="B128" s="321" t="s">
        <v>395</v>
      </c>
    </row>
    <row r="129" spans="1:2" ht="22.5">
      <c r="A129" s="321" t="s">
        <v>341</v>
      </c>
      <c r="B129" s="321" t="s">
        <v>163</v>
      </c>
    </row>
    <row r="130" spans="1:2" ht="22.5">
      <c r="A130" s="321" t="s">
        <v>334</v>
      </c>
      <c r="B130" s="321" t="s">
        <v>532</v>
      </c>
    </row>
    <row r="131" spans="1:2">
      <c r="A131" s="321" t="s">
        <v>488</v>
      </c>
      <c r="B131" s="321" t="s">
        <v>474</v>
      </c>
    </row>
    <row r="132" spans="1:2" ht="22.5">
      <c r="A132" s="321" t="s">
        <v>350</v>
      </c>
      <c r="B132" s="321" t="s">
        <v>103</v>
      </c>
    </row>
    <row r="133" spans="1:2">
      <c r="A133" s="321" t="s">
        <v>390</v>
      </c>
      <c r="B133" s="321" t="s">
        <v>148</v>
      </c>
    </row>
    <row r="134" spans="1:2">
      <c r="A134" s="321" t="s">
        <v>316</v>
      </c>
      <c r="B134" s="321" t="s">
        <v>158</v>
      </c>
    </row>
    <row r="135" spans="1:2">
      <c r="A135" s="321" t="s">
        <v>317</v>
      </c>
      <c r="B135" s="321" t="s">
        <v>157</v>
      </c>
    </row>
    <row r="136" spans="1:2">
      <c r="A136" s="321" t="s">
        <v>210</v>
      </c>
      <c r="B136" s="321" t="s">
        <v>1</v>
      </c>
    </row>
    <row r="137" spans="1:2">
      <c r="A137" s="321" t="s">
        <v>211</v>
      </c>
      <c r="B137" s="321" t="s">
        <v>8</v>
      </c>
    </row>
    <row r="138" spans="1:2">
      <c r="A138" s="321" t="s">
        <v>314</v>
      </c>
      <c r="B138" s="321" t="s">
        <v>156</v>
      </c>
    </row>
    <row r="139" spans="1:2">
      <c r="A139" s="321" t="s">
        <v>313</v>
      </c>
      <c r="B139" s="321" t="s">
        <v>155</v>
      </c>
    </row>
    <row r="140" spans="1:2">
      <c r="A140" s="321" t="s">
        <v>295</v>
      </c>
      <c r="B140" s="321" t="s">
        <v>128</v>
      </c>
    </row>
    <row r="141" spans="1:2">
      <c r="A141" s="321" t="s">
        <v>381</v>
      </c>
      <c r="B141" s="321" t="s">
        <v>121</v>
      </c>
    </row>
    <row r="142" spans="1:2">
      <c r="A142" s="321" t="s">
        <v>188</v>
      </c>
      <c r="B142" s="321" t="s">
        <v>52</v>
      </c>
    </row>
    <row r="143" spans="1:2">
      <c r="A143" s="321" t="s">
        <v>189</v>
      </c>
      <c r="B143" s="321" t="s">
        <v>51</v>
      </c>
    </row>
    <row r="144" spans="1:2">
      <c r="A144" s="321" t="s">
        <v>67</v>
      </c>
      <c r="B144" s="321" t="s">
        <v>67</v>
      </c>
    </row>
    <row r="145" spans="1:2">
      <c r="A145" s="321" t="s">
        <v>184</v>
      </c>
      <c r="B145" s="321" t="s">
        <v>56</v>
      </c>
    </row>
    <row r="146" spans="1:2">
      <c r="A146" s="321" t="s">
        <v>160</v>
      </c>
      <c r="B146" s="321" t="s">
        <v>160</v>
      </c>
    </row>
    <row r="147" spans="1:2">
      <c r="A147" s="321" t="s">
        <v>178</v>
      </c>
      <c r="B147" s="321" t="s">
        <v>79</v>
      </c>
    </row>
    <row r="148" spans="1:2">
      <c r="A148" s="321" t="s">
        <v>178</v>
      </c>
      <c r="B148" s="321" t="s">
        <v>43</v>
      </c>
    </row>
    <row r="149" spans="1:2">
      <c r="A149" s="321" t="s">
        <v>371</v>
      </c>
      <c r="B149" s="321" t="s">
        <v>48</v>
      </c>
    </row>
    <row r="150" spans="1:2">
      <c r="A150" s="321" t="s">
        <v>400</v>
      </c>
      <c r="B150" s="321" t="s">
        <v>47</v>
      </c>
    </row>
    <row r="151" spans="1:2">
      <c r="A151" s="321" t="s">
        <v>251</v>
      </c>
      <c r="B151" s="321" t="s">
        <v>254</v>
      </c>
    </row>
    <row r="152" spans="1:2">
      <c r="A152" s="321" t="s">
        <v>218</v>
      </c>
      <c r="B152" s="321" t="s">
        <v>216</v>
      </c>
    </row>
    <row r="153" spans="1:2">
      <c r="A153" s="321" t="s">
        <v>197</v>
      </c>
      <c r="B153" s="321" t="s">
        <v>509</v>
      </c>
    </row>
    <row r="154" spans="1:2">
      <c r="A154" s="321" t="s">
        <v>345</v>
      </c>
      <c r="B154" s="321" t="s">
        <v>510</v>
      </c>
    </row>
    <row r="155" spans="1:2">
      <c r="A155" s="321" t="s">
        <v>344</v>
      </c>
      <c r="B155" s="321" t="s">
        <v>511</v>
      </c>
    </row>
    <row r="156" spans="1:2">
      <c r="A156" s="321" t="s">
        <v>223</v>
      </c>
      <c r="B156" s="321" t="s">
        <v>223</v>
      </c>
    </row>
    <row r="157" spans="1:2" ht="56.25">
      <c r="A157" s="321" t="s">
        <v>412</v>
      </c>
      <c r="B157" s="321" t="s">
        <v>512</v>
      </c>
    </row>
    <row r="158" spans="1:2">
      <c r="A158" s="321" t="s">
        <v>222</v>
      </c>
      <c r="B158" s="321" t="s">
        <v>114</v>
      </c>
    </row>
    <row r="159" spans="1:2">
      <c r="A159" s="321" t="s">
        <v>354</v>
      </c>
      <c r="B159" s="321" t="s">
        <v>113</v>
      </c>
    </row>
    <row r="160" spans="1:2">
      <c r="A160" s="321" t="s">
        <v>221</v>
      </c>
      <c r="B160" s="321" t="s">
        <v>220</v>
      </c>
    </row>
    <row r="161" spans="1:2">
      <c r="A161" s="321" t="s">
        <v>208</v>
      </c>
      <c r="B161" s="321" t="s">
        <v>0</v>
      </c>
    </row>
    <row r="162" spans="1:2">
      <c r="A162" s="321" t="s">
        <v>448</v>
      </c>
      <c r="B162" s="321" t="s">
        <v>164</v>
      </c>
    </row>
    <row r="163" spans="1:2">
      <c r="A163" s="321" t="s">
        <v>414</v>
      </c>
      <c r="B163" s="321" t="s">
        <v>415</v>
      </c>
    </row>
    <row r="164" spans="1:2">
      <c r="A164" s="321" t="s">
        <v>514</v>
      </c>
      <c r="B164" s="321" t="s">
        <v>502</v>
      </c>
    </row>
    <row r="165" spans="1:2">
      <c r="A165" s="321" t="s">
        <v>340</v>
      </c>
      <c r="B165" s="321" t="s">
        <v>162</v>
      </c>
    </row>
    <row r="166" spans="1:2">
      <c r="A166" s="321" t="s">
        <v>310</v>
      </c>
      <c r="B166" s="321" t="s">
        <v>439</v>
      </c>
    </row>
    <row r="167" spans="1:2">
      <c r="A167" s="321" t="s">
        <v>311</v>
      </c>
      <c r="B167" s="321" t="s">
        <v>309</v>
      </c>
    </row>
    <row r="168" spans="1:2">
      <c r="A168" s="321" t="s">
        <v>17</v>
      </c>
      <c r="B168" s="321" t="s">
        <v>17</v>
      </c>
    </row>
    <row r="169" spans="1:2">
      <c r="A169" s="321" t="s">
        <v>291</v>
      </c>
      <c r="B169" s="321" t="s">
        <v>177</v>
      </c>
    </row>
    <row r="170" spans="1:2">
      <c r="A170" s="321" t="s">
        <v>292</v>
      </c>
      <c r="B170" s="321" t="s">
        <v>413</v>
      </c>
    </row>
    <row r="171" spans="1:2">
      <c r="A171" s="321" t="s">
        <v>15</v>
      </c>
      <c r="B171" s="321" t="s">
        <v>397</v>
      </c>
    </row>
    <row r="172" spans="1:2" ht="22.5">
      <c r="A172" s="321" t="s">
        <v>315</v>
      </c>
      <c r="B172" s="321" t="s">
        <v>398</v>
      </c>
    </row>
    <row r="173" spans="1:2" ht="22.5">
      <c r="A173" s="321" t="s">
        <v>323</v>
      </c>
      <c r="B173" s="321" t="s">
        <v>519</v>
      </c>
    </row>
    <row r="174" spans="1:2" ht="22.5">
      <c r="A174" s="321" t="s">
        <v>324</v>
      </c>
      <c r="B174" s="321" t="s">
        <v>521</v>
      </c>
    </row>
    <row r="175" spans="1:2" ht="22.5">
      <c r="A175" s="321" t="s">
        <v>325</v>
      </c>
      <c r="B175" s="321" t="s">
        <v>523</v>
      </c>
    </row>
    <row r="176" spans="1:2" ht="22.5">
      <c r="A176" s="320" t="s">
        <v>326</v>
      </c>
      <c r="B176" s="320" t="s">
        <v>525</v>
      </c>
    </row>
    <row r="177" spans="1:2" ht="22.5">
      <c r="A177" s="320" t="s">
        <v>327</v>
      </c>
      <c r="B177" s="320" t="s">
        <v>529</v>
      </c>
    </row>
    <row r="178" spans="1:2" ht="22.5">
      <c r="A178" s="320" t="s">
        <v>328</v>
      </c>
      <c r="B178" s="320" t="s">
        <v>531</v>
      </c>
    </row>
    <row r="179" spans="1:2">
      <c r="A179" s="320" t="s">
        <v>176</v>
      </c>
      <c r="B179" s="320" t="s">
        <v>2</v>
      </c>
    </row>
    <row r="180" spans="1:2">
      <c r="A180" s="320" t="s">
        <v>304</v>
      </c>
      <c r="B180" s="320" t="s">
        <v>303</v>
      </c>
    </row>
    <row r="181" spans="1:2">
      <c r="A181" s="320" t="s">
        <v>224</v>
      </c>
      <c r="B181" s="320" t="s">
        <v>224</v>
      </c>
    </row>
    <row r="182" spans="1:2">
      <c r="A182" s="320" t="s">
        <v>214</v>
      </c>
      <c r="B182" s="320" t="s">
        <v>214</v>
      </c>
    </row>
    <row r="183" spans="1:2">
      <c r="A183" s="320" t="s">
        <v>219</v>
      </c>
      <c r="B183" s="320" t="s">
        <v>217</v>
      </c>
    </row>
    <row r="184" spans="1:2">
      <c r="A184" s="320" t="s">
        <v>573</v>
      </c>
      <c r="B184" s="320" t="s">
        <v>596</v>
      </c>
    </row>
    <row r="185" spans="1:2">
      <c r="A185" s="320" t="s">
        <v>423</v>
      </c>
      <c r="B185" s="320" t="s">
        <v>419</v>
      </c>
    </row>
    <row r="186" spans="1:2">
      <c r="A186" s="320" t="s">
        <v>203</v>
      </c>
      <c r="B186" s="320" t="s">
        <v>5</v>
      </c>
    </row>
    <row r="187" spans="1:2">
      <c r="A187" s="320" t="s">
        <v>307</v>
      </c>
      <c r="B187" s="320" t="s">
        <v>136</v>
      </c>
    </row>
    <row r="188" spans="1:2">
      <c r="A188" s="320" t="s">
        <v>715</v>
      </c>
      <c r="B188" s="320" t="s">
        <v>717</v>
      </c>
    </row>
    <row r="189" spans="1:2">
      <c r="A189" s="320" t="s">
        <v>716</v>
      </c>
      <c r="B189" s="320" t="s">
        <v>718</v>
      </c>
    </row>
    <row r="190" spans="1:2">
      <c r="A190" s="320" t="s">
        <v>355</v>
      </c>
      <c r="B190" s="320" t="s">
        <v>97</v>
      </c>
    </row>
    <row r="191" spans="1:2">
      <c r="A191" s="320" t="s">
        <v>246</v>
      </c>
      <c r="B191" s="320" t="s">
        <v>33</v>
      </c>
    </row>
    <row r="192" spans="1:2">
      <c r="A192" s="320" t="s">
        <v>237</v>
      </c>
      <c r="B192" s="320" t="s">
        <v>238</v>
      </c>
    </row>
    <row r="193" spans="1:2">
      <c r="A193" s="320" t="s">
        <v>351</v>
      </c>
      <c r="B193" s="320" t="s">
        <v>80</v>
      </c>
    </row>
    <row r="194" spans="1:2">
      <c r="A194" s="320" t="s">
        <v>504</v>
      </c>
      <c r="B194" s="320" t="s">
        <v>503</v>
      </c>
    </row>
    <row r="195" spans="1:2">
      <c r="A195" s="320" t="s">
        <v>58</v>
      </c>
      <c r="B195" s="320" t="s">
        <v>58</v>
      </c>
    </row>
    <row r="196" spans="1:2">
      <c r="A196" s="320" t="s">
        <v>478</v>
      </c>
      <c r="B196" s="320" t="s">
        <v>475</v>
      </c>
    </row>
    <row r="197" spans="1:2">
      <c r="A197" s="320" t="s">
        <v>261</v>
      </c>
      <c r="B197" s="320" t="s">
        <v>122</v>
      </c>
    </row>
    <row r="198" spans="1:2">
      <c r="A198" s="320" t="s">
        <v>479</v>
      </c>
      <c r="B198" s="320" t="s">
        <v>476</v>
      </c>
    </row>
    <row r="199" spans="1:2">
      <c r="A199" s="320" t="s">
        <v>559</v>
      </c>
      <c r="B199" s="320" t="s">
        <v>598</v>
      </c>
    </row>
    <row r="200" spans="1:2">
      <c r="A200" s="320" t="s">
        <v>564</v>
      </c>
      <c r="B200" s="320" t="s">
        <v>601</v>
      </c>
    </row>
    <row r="201" spans="1:2">
      <c r="A201" s="320" t="s">
        <v>367</v>
      </c>
      <c r="B201" s="320" t="s">
        <v>74</v>
      </c>
    </row>
    <row r="202" spans="1:2">
      <c r="A202" s="320" t="s">
        <v>365</v>
      </c>
      <c r="B202" s="320" t="s">
        <v>73</v>
      </c>
    </row>
    <row r="203" spans="1:2">
      <c r="A203" s="320" t="s">
        <v>582</v>
      </c>
      <c r="B203" s="320" t="s">
        <v>633</v>
      </c>
    </row>
    <row r="204" spans="1:2">
      <c r="A204" s="320" t="s">
        <v>490</v>
      </c>
      <c r="B204" s="320" t="s">
        <v>461</v>
      </c>
    </row>
    <row r="205" spans="1:2">
      <c r="A205" s="320" t="s">
        <v>470</v>
      </c>
      <c r="B205" s="320" t="s">
        <v>470</v>
      </c>
    </row>
    <row r="206" spans="1:2">
      <c r="A206" s="320" t="s">
        <v>119</v>
      </c>
      <c r="B206" s="320" t="s">
        <v>119</v>
      </c>
    </row>
    <row r="207" spans="1:2">
      <c r="A207" s="320" t="s">
        <v>262</v>
      </c>
      <c r="B207" s="320" t="s">
        <v>125</v>
      </c>
    </row>
    <row r="208" spans="1:2">
      <c r="A208" s="320" t="s">
        <v>263</v>
      </c>
      <c r="B208" s="320" t="s">
        <v>126</v>
      </c>
    </row>
    <row r="209" spans="1:2">
      <c r="A209" s="320" t="s">
        <v>643</v>
      </c>
      <c r="B209" s="320" t="s">
        <v>648</v>
      </c>
    </row>
    <row r="210" spans="1:2">
      <c r="A210" s="320" t="s">
        <v>491</v>
      </c>
      <c r="B210" s="320" t="s">
        <v>462</v>
      </c>
    </row>
    <row r="211" spans="1:2">
      <c r="A211" s="321" t="s">
        <v>486</v>
      </c>
      <c r="B211" s="321" t="s">
        <v>472</v>
      </c>
    </row>
    <row r="212" spans="1:2">
      <c r="A212" s="321" t="s">
        <v>182</v>
      </c>
      <c r="B212" s="321" t="s">
        <v>45</v>
      </c>
    </row>
    <row r="213" spans="1:2">
      <c r="A213" s="320" t="s">
        <v>493</v>
      </c>
      <c r="B213" s="320" t="s">
        <v>496</v>
      </c>
    </row>
    <row r="214" spans="1:2">
      <c r="A214" s="320" t="s">
        <v>206</v>
      </c>
      <c r="B214" s="320" t="s">
        <v>4</v>
      </c>
    </row>
    <row r="215" spans="1:2">
      <c r="A215" s="320" t="s">
        <v>212</v>
      </c>
      <c r="B215" s="320" t="s">
        <v>9</v>
      </c>
    </row>
    <row r="216" spans="1:2">
      <c r="A216" s="321" t="s">
        <v>452</v>
      </c>
      <c r="B216" s="321" t="s">
        <v>10</v>
      </c>
    </row>
    <row r="217" spans="1:2">
      <c r="A217" s="321" t="s">
        <v>451</v>
      </c>
      <c r="B217" s="321" t="s">
        <v>11</v>
      </c>
    </row>
    <row r="218" spans="1:2">
      <c r="A218" s="321" t="s">
        <v>230</v>
      </c>
      <c r="B218" s="321" t="s">
        <v>229</v>
      </c>
    </row>
    <row r="219" spans="1:2">
      <c r="A219" s="321" t="s">
        <v>196</v>
      </c>
      <c r="B219" s="321" t="s">
        <v>44</v>
      </c>
    </row>
    <row r="220" spans="1:2">
      <c r="A220" s="321" t="s">
        <v>187</v>
      </c>
      <c r="B220" s="321" t="s">
        <v>53</v>
      </c>
    </row>
    <row r="221" spans="1:2">
      <c r="A221" s="320" t="s">
        <v>215</v>
      </c>
      <c r="B221" s="320" t="s">
        <v>213</v>
      </c>
    </row>
    <row r="222" spans="1:2">
      <c r="A222" s="320" t="s">
        <v>183</v>
      </c>
      <c r="B222" s="320" t="s">
        <v>64</v>
      </c>
    </row>
    <row r="223" spans="1:2">
      <c r="A223" s="320" t="s">
        <v>185</v>
      </c>
      <c r="B223" s="320" t="s">
        <v>55</v>
      </c>
    </row>
    <row r="224" spans="1:2">
      <c r="A224" s="320" t="s">
        <v>536</v>
      </c>
      <c r="B224" s="320" t="s">
        <v>535</v>
      </c>
    </row>
    <row r="225" spans="1:2">
      <c r="A225" s="320" t="s">
        <v>234</v>
      </c>
      <c r="B225" s="320" t="s">
        <v>71</v>
      </c>
    </row>
    <row r="226" spans="1:2">
      <c r="A226" s="320" t="s">
        <v>190</v>
      </c>
      <c r="B226" s="320" t="s">
        <v>59</v>
      </c>
    </row>
    <row r="227" spans="1:2">
      <c r="A227" s="320" t="s">
        <v>194</v>
      </c>
      <c r="B227" s="320" t="s">
        <v>72</v>
      </c>
    </row>
    <row r="228" spans="1:2">
      <c r="A228" s="320" t="s">
        <v>191</v>
      </c>
      <c r="B228" s="320" t="s">
        <v>60</v>
      </c>
    </row>
    <row r="229" spans="1:2">
      <c r="A229" s="320" t="s">
        <v>708</v>
      </c>
      <c r="B229" s="320" t="s">
        <v>722</v>
      </c>
    </row>
    <row r="230" spans="1:2">
      <c r="A230" s="320" t="s">
        <v>707</v>
      </c>
      <c r="B230" s="320" t="s">
        <v>720</v>
      </c>
    </row>
    <row r="231" spans="1:2">
      <c r="A231" s="320" t="s">
        <v>192</v>
      </c>
      <c r="B231" s="320" t="s">
        <v>61</v>
      </c>
    </row>
    <row r="232" spans="1:2">
      <c r="A232" s="320" t="s">
        <v>193</v>
      </c>
      <c r="B232" s="320" t="s">
        <v>62</v>
      </c>
    </row>
    <row r="233" spans="1:2">
      <c r="A233" s="320" t="s">
        <v>719</v>
      </c>
      <c r="B233" s="320" t="s">
        <v>721</v>
      </c>
    </row>
    <row r="234" spans="1:2">
      <c r="A234" s="320" t="s">
        <v>285</v>
      </c>
      <c r="B234" s="320" t="s">
        <v>139</v>
      </c>
    </row>
    <row r="235" spans="1:2">
      <c r="A235" s="320" t="s">
        <v>453</v>
      </c>
      <c r="B235" s="320" t="s">
        <v>302</v>
      </c>
    </row>
    <row r="236" spans="1:2">
      <c r="A236" s="321" t="s">
        <v>175</v>
      </c>
      <c r="B236" s="321" t="s">
        <v>112</v>
      </c>
    </row>
    <row r="237" spans="1:2">
      <c r="A237" s="321" t="s">
        <v>356</v>
      </c>
      <c r="B237" s="321" t="s">
        <v>96</v>
      </c>
    </row>
    <row r="238" spans="1:2">
      <c r="A238" s="321" t="s">
        <v>259</v>
      </c>
      <c r="B238" s="321" t="s">
        <v>19</v>
      </c>
    </row>
    <row r="239" spans="1:2">
      <c r="A239" s="321" t="s">
        <v>264</v>
      </c>
      <c r="B239" s="321" t="s">
        <v>124</v>
      </c>
    </row>
    <row r="240" spans="1:2">
      <c r="A240" s="321" t="s">
        <v>233</v>
      </c>
      <c r="B240" s="321" t="s">
        <v>41</v>
      </c>
    </row>
    <row r="241" spans="1:2">
      <c r="A241" s="321" t="s">
        <v>244</v>
      </c>
      <c r="B241" s="321" t="s">
        <v>243</v>
      </c>
    </row>
    <row r="242" spans="1:2">
      <c r="A242" s="321" t="s">
        <v>201</v>
      </c>
      <c r="B242" s="321" t="s">
        <v>36</v>
      </c>
    </row>
    <row r="243" spans="1:2">
      <c r="A243" s="321" t="s">
        <v>562</v>
      </c>
      <c r="B243" s="321" t="s">
        <v>602</v>
      </c>
    </row>
    <row r="244" spans="1:2">
      <c r="A244" s="321" t="s">
        <v>31</v>
      </c>
      <c r="B244" s="321" t="s">
        <v>31</v>
      </c>
    </row>
    <row r="245" spans="1:2">
      <c r="A245" s="321" t="s">
        <v>204</v>
      </c>
      <c r="B245" s="321" t="s">
        <v>34</v>
      </c>
    </row>
    <row r="246" spans="1:2">
      <c r="A246" s="320" t="s">
        <v>199</v>
      </c>
      <c r="B246" s="320" t="s">
        <v>14</v>
      </c>
    </row>
    <row r="247" spans="1:2">
      <c r="A247" s="320" t="s">
        <v>454</v>
      </c>
      <c r="B247" s="320" t="s">
        <v>6</v>
      </c>
    </row>
    <row r="248" spans="1:2">
      <c r="A248" s="320" t="s">
        <v>294</v>
      </c>
      <c r="B248" s="320" t="s">
        <v>134</v>
      </c>
    </row>
    <row r="249" spans="1:2">
      <c r="A249" s="320" t="s">
        <v>236</v>
      </c>
      <c r="B249" s="320" t="s">
        <v>82</v>
      </c>
    </row>
    <row r="250" spans="1:2">
      <c r="A250" s="320" t="s">
        <v>235</v>
      </c>
      <c r="B250" s="320" t="s">
        <v>81</v>
      </c>
    </row>
    <row r="251" spans="1:2">
      <c r="A251" s="320" t="s">
        <v>332</v>
      </c>
      <c r="B251" s="320" t="s">
        <v>396</v>
      </c>
    </row>
    <row r="252" spans="1:2">
      <c r="A252" s="320" t="s">
        <v>123</v>
      </c>
      <c r="B252" s="320" t="s">
        <v>123</v>
      </c>
    </row>
    <row r="253" spans="1:2">
      <c r="A253" s="320" t="s">
        <v>70</v>
      </c>
      <c r="B253" s="320" t="s">
        <v>70</v>
      </c>
    </row>
    <row r="254" spans="1:2">
      <c r="A254" s="320" t="s">
        <v>209</v>
      </c>
      <c r="B254" s="320" t="s">
        <v>13</v>
      </c>
    </row>
    <row r="255" spans="1:2">
      <c r="A255" s="320" t="s">
        <v>702</v>
      </c>
      <c r="B255" s="320" t="s">
        <v>703</v>
      </c>
    </row>
    <row r="256" spans="1:2">
      <c r="A256" s="320" t="s">
        <v>698</v>
      </c>
      <c r="B256" s="320" t="s">
        <v>699</v>
      </c>
    </row>
    <row r="257" spans="1:2">
      <c r="A257" s="320" t="s">
        <v>683</v>
      </c>
      <c r="B257" s="320" t="s">
        <v>685</v>
      </c>
    </row>
    <row r="258" spans="1:2">
      <c r="A258" s="320" t="s">
        <v>680</v>
      </c>
      <c r="B258" s="320" t="s">
        <v>686</v>
      </c>
    </row>
    <row r="259" spans="1:2">
      <c r="A259" s="320" t="s">
        <v>681</v>
      </c>
      <c r="B259" s="320" t="s">
        <v>687</v>
      </c>
    </row>
    <row r="260" spans="1:2">
      <c r="A260" s="320" t="s">
        <v>679</v>
      </c>
      <c r="B260" s="320" t="s">
        <v>688</v>
      </c>
    </row>
    <row r="261" spans="1:2">
      <c r="A261" s="320" t="s">
        <v>684</v>
      </c>
      <c r="B261" s="320" t="s">
        <v>689</v>
      </c>
    </row>
    <row r="262" spans="1:2">
      <c r="A262" s="320" t="s">
        <v>682</v>
      </c>
      <c r="B262" s="320" t="s">
        <v>696</v>
      </c>
    </row>
    <row r="263" spans="1:2">
      <c r="A263" s="320" t="s">
        <v>690</v>
      </c>
      <c r="B263" s="320" t="s">
        <v>691</v>
      </c>
    </row>
    <row r="264" spans="1:2">
      <c r="A264" s="320" t="s">
        <v>693</v>
      </c>
      <c r="B264" s="320" t="s">
        <v>695</v>
      </c>
    </row>
    <row r="265" spans="1:2">
      <c r="A265" s="320" t="s">
        <v>694</v>
      </c>
      <c r="B265" s="320" t="s">
        <v>692</v>
      </c>
    </row>
    <row r="266" spans="1:2">
      <c r="A266" s="321" t="s">
        <v>66</v>
      </c>
      <c r="B266" s="321" t="s">
        <v>66</v>
      </c>
    </row>
    <row r="267" spans="1:2">
      <c r="A267" s="321" t="s">
        <v>94</v>
      </c>
      <c r="B267" s="321" t="s">
        <v>94</v>
      </c>
    </row>
    <row r="268" spans="1:2">
      <c r="A268" s="321" t="s">
        <v>747</v>
      </c>
      <c r="B268" s="321" t="s">
        <v>746</v>
      </c>
    </row>
    <row r="269" spans="1:2">
      <c r="A269" s="321" t="s">
        <v>739</v>
      </c>
      <c r="B269" s="321" t="s">
        <v>745</v>
      </c>
    </row>
  </sheetData>
  <sheetProtection selectLockedCells="1"/>
  <mergeCells count="1">
    <mergeCell ref="A1:B1"/>
  </mergeCells>
  <pageMargins left="0.7" right="0.7" top="0.75" bottom="0.75" header="0.3" footer="0.3"/>
  <pageSetup paperSize="9"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sheetPr codeName="Feuil15">
    <tabColor rgb="FFFF0000"/>
  </sheetPr>
  <dimension ref="A1:G46"/>
  <sheetViews>
    <sheetView showGridLines="0" workbookViewId="0">
      <selection activeCell="E9" sqref="E9"/>
    </sheetView>
  </sheetViews>
  <sheetFormatPr baseColWidth="10" defaultColWidth="11.42578125" defaultRowHeight="15"/>
  <cols>
    <col min="1" max="1" width="11.42578125" style="132" customWidth="1"/>
    <col min="2" max="3" width="15" style="338" customWidth="1"/>
    <col min="4" max="4" width="15.42578125" style="338" customWidth="1"/>
    <col min="5" max="16384" width="11.42578125" style="338"/>
  </cols>
  <sheetData>
    <row r="1" spans="1:7" ht="30.75" thickBot="1">
      <c r="A1" s="326" t="s">
        <v>30</v>
      </c>
      <c r="B1" s="192" t="s">
        <v>228</v>
      </c>
      <c r="C1" s="323" t="s">
        <v>228</v>
      </c>
      <c r="D1" s="323" t="s">
        <v>250</v>
      </c>
      <c r="E1" s="192" t="s">
        <v>261</v>
      </c>
      <c r="F1" s="192" t="s">
        <v>286</v>
      </c>
      <c r="G1" s="192" t="s">
        <v>478</v>
      </c>
    </row>
    <row r="2" spans="1:7">
      <c r="A2" s="225">
        <v>0</v>
      </c>
      <c r="B2" s="327" t="s">
        <v>215</v>
      </c>
      <c r="C2" s="324" t="s">
        <v>215</v>
      </c>
      <c r="D2" s="324" t="s">
        <v>224</v>
      </c>
      <c r="E2" s="225" t="s">
        <v>275</v>
      </c>
      <c r="F2" s="225" t="s">
        <v>289</v>
      </c>
      <c r="G2" s="431">
        <v>0.25</v>
      </c>
    </row>
    <row r="3" spans="1:7" ht="15.75" thickBot="1">
      <c r="A3" s="202">
        <f t="shared" ref="A3:A42" si="0">A2+1</f>
        <v>1</v>
      </c>
      <c r="B3" s="328" t="s">
        <v>214</v>
      </c>
      <c r="C3" s="325" t="s">
        <v>214</v>
      </c>
      <c r="D3" s="325" t="s">
        <v>223</v>
      </c>
      <c r="E3" s="202" t="s">
        <v>276</v>
      </c>
      <c r="F3" s="203" t="s">
        <v>290</v>
      </c>
      <c r="G3" s="432">
        <v>0.5</v>
      </c>
    </row>
    <row r="4" spans="1:7">
      <c r="A4" s="202">
        <f t="shared" si="0"/>
        <v>2</v>
      </c>
      <c r="B4" s="328" t="s">
        <v>218</v>
      </c>
      <c r="C4" s="325" t="s">
        <v>218</v>
      </c>
      <c r="D4" s="325" t="s">
        <v>221</v>
      </c>
      <c r="E4" s="202" t="s">
        <v>277</v>
      </c>
      <c r="G4" s="432">
        <v>0.75</v>
      </c>
    </row>
    <row r="5" spans="1:7" ht="15.75" thickBot="1">
      <c r="A5" s="202">
        <f t="shared" si="0"/>
        <v>3</v>
      </c>
      <c r="B5" s="325" t="s">
        <v>221</v>
      </c>
      <c r="C5" s="322" t="s">
        <v>160</v>
      </c>
      <c r="D5" s="325" t="s">
        <v>348</v>
      </c>
      <c r="E5" s="202" t="s">
        <v>278</v>
      </c>
      <c r="G5" s="433">
        <v>1</v>
      </c>
    </row>
    <row r="6" spans="1:7">
      <c r="A6" s="202">
        <f t="shared" si="0"/>
        <v>4</v>
      </c>
      <c r="B6" s="325" t="s">
        <v>219</v>
      </c>
      <c r="D6" s="325" t="s">
        <v>251</v>
      </c>
      <c r="E6" s="202" t="s">
        <v>665</v>
      </c>
    </row>
    <row r="7" spans="1:7" ht="15.75" thickBot="1">
      <c r="A7" s="202">
        <f t="shared" si="0"/>
        <v>5</v>
      </c>
      <c r="B7" s="322" t="s">
        <v>222</v>
      </c>
      <c r="D7" s="322" t="s">
        <v>252</v>
      </c>
      <c r="E7" s="202" t="s">
        <v>279</v>
      </c>
    </row>
    <row r="8" spans="1:7">
      <c r="A8" s="202">
        <f t="shared" si="0"/>
        <v>6</v>
      </c>
      <c r="E8" s="202" t="s">
        <v>280</v>
      </c>
    </row>
    <row r="9" spans="1:7">
      <c r="A9" s="202">
        <f t="shared" si="0"/>
        <v>7</v>
      </c>
      <c r="E9" s="202" t="s">
        <v>281</v>
      </c>
    </row>
    <row r="10" spans="1:7">
      <c r="A10" s="202">
        <f t="shared" si="0"/>
        <v>8</v>
      </c>
      <c r="E10" s="202" t="s">
        <v>282</v>
      </c>
    </row>
    <row r="11" spans="1:7">
      <c r="A11" s="202">
        <f t="shared" si="0"/>
        <v>9</v>
      </c>
      <c r="E11" s="202" t="s">
        <v>283</v>
      </c>
    </row>
    <row r="12" spans="1:7" ht="15.75" thickBot="1">
      <c r="A12" s="202">
        <f t="shared" si="0"/>
        <v>10</v>
      </c>
      <c r="E12" s="203" t="s">
        <v>284</v>
      </c>
    </row>
    <row r="13" spans="1:7">
      <c r="A13" s="202">
        <f t="shared" si="0"/>
        <v>11</v>
      </c>
    </row>
    <row r="14" spans="1:7">
      <c r="A14" s="202">
        <f t="shared" si="0"/>
        <v>12</v>
      </c>
    </row>
    <row r="15" spans="1:7">
      <c r="A15" s="202">
        <f t="shared" si="0"/>
        <v>13</v>
      </c>
    </row>
    <row r="16" spans="1:7">
      <c r="A16" s="202">
        <f t="shared" si="0"/>
        <v>14</v>
      </c>
    </row>
    <row r="17" spans="1:1">
      <c r="A17" s="202">
        <f t="shared" si="0"/>
        <v>15</v>
      </c>
    </row>
    <row r="18" spans="1:1">
      <c r="A18" s="202">
        <f t="shared" si="0"/>
        <v>16</v>
      </c>
    </row>
    <row r="19" spans="1:1">
      <c r="A19" s="202">
        <f t="shared" si="0"/>
        <v>17</v>
      </c>
    </row>
    <row r="20" spans="1:1">
      <c r="A20" s="202">
        <f t="shared" si="0"/>
        <v>18</v>
      </c>
    </row>
    <row r="21" spans="1:1">
      <c r="A21" s="202">
        <f t="shared" si="0"/>
        <v>19</v>
      </c>
    </row>
    <row r="22" spans="1:1">
      <c r="A22" s="202">
        <f t="shared" si="0"/>
        <v>20</v>
      </c>
    </row>
    <row r="23" spans="1:1">
      <c r="A23" s="202">
        <f t="shared" si="0"/>
        <v>21</v>
      </c>
    </row>
    <row r="24" spans="1:1">
      <c r="A24" s="202">
        <f t="shared" si="0"/>
        <v>22</v>
      </c>
    </row>
    <row r="25" spans="1:1">
      <c r="A25" s="202">
        <f t="shared" si="0"/>
        <v>23</v>
      </c>
    </row>
    <row r="26" spans="1:1">
      <c r="A26" s="202">
        <f t="shared" si="0"/>
        <v>24</v>
      </c>
    </row>
    <row r="27" spans="1:1">
      <c r="A27" s="202">
        <f t="shared" si="0"/>
        <v>25</v>
      </c>
    </row>
    <row r="28" spans="1:1">
      <c r="A28" s="202">
        <f t="shared" si="0"/>
        <v>26</v>
      </c>
    </row>
    <row r="29" spans="1:1">
      <c r="A29" s="202">
        <f t="shared" si="0"/>
        <v>27</v>
      </c>
    </row>
    <row r="30" spans="1:1">
      <c r="A30" s="202">
        <f t="shared" si="0"/>
        <v>28</v>
      </c>
    </row>
    <row r="31" spans="1:1">
      <c r="A31" s="202">
        <f t="shared" si="0"/>
        <v>29</v>
      </c>
    </row>
    <row r="32" spans="1:1">
      <c r="A32" s="202">
        <f t="shared" si="0"/>
        <v>30</v>
      </c>
    </row>
    <row r="33" spans="1:1">
      <c r="A33" s="202">
        <f t="shared" si="0"/>
        <v>31</v>
      </c>
    </row>
    <row r="34" spans="1:1">
      <c r="A34" s="202">
        <f t="shared" si="0"/>
        <v>32</v>
      </c>
    </row>
    <row r="35" spans="1:1">
      <c r="A35" s="202">
        <f t="shared" si="0"/>
        <v>33</v>
      </c>
    </row>
    <row r="36" spans="1:1">
      <c r="A36" s="202">
        <f t="shared" si="0"/>
        <v>34</v>
      </c>
    </row>
    <row r="37" spans="1:1">
      <c r="A37" s="202">
        <f t="shared" si="0"/>
        <v>35</v>
      </c>
    </row>
    <row r="38" spans="1:1">
      <c r="A38" s="202">
        <f t="shared" si="0"/>
        <v>36</v>
      </c>
    </row>
    <row r="39" spans="1:1">
      <c r="A39" s="202">
        <f t="shared" si="0"/>
        <v>37</v>
      </c>
    </row>
    <row r="40" spans="1:1">
      <c r="A40" s="202">
        <f t="shared" si="0"/>
        <v>38</v>
      </c>
    </row>
    <row r="41" spans="1:1">
      <c r="A41" s="202">
        <f t="shared" si="0"/>
        <v>39</v>
      </c>
    </row>
    <row r="42" spans="1:1" ht="15.75" thickBot="1">
      <c r="A42" s="203">
        <f t="shared" si="0"/>
        <v>40</v>
      </c>
    </row>
    <row r="43" spans="1:1">
      <c r="A43" s="131"/>
    </row>
    <row r="44" spans="1:1">
      <c r="A44" s="131"/>
    </row>
    <row r="45" spans="1:1">
      <c r="A45" s="131"/>
    </row>
    <row r="46" spans="1:1">
      <c r="A46" s="131"/>
    </row>
  </sheetData>
  <sheetProtection sheet="1" objects="1" scenarios="1" selectLockedCells="1"/>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sheetPr codeName="Feuil8">
    <tabColor rgb="FFFF0000"/>
  </sheetPr>
  <dimension ref="A1:E20"/>
  <sheetViews>
    <sheetView showGridLines="0" workbookViewId="0">
      <pane ySplit="2" topLeftCell="A3" activePane="bottomLeft" state="frozen"/>
      <selection activeCell="P319" sqref="P319"/>
      <selection pane="bottomLeft" activeCell="B2" sqref="B2"/>
    </sheetView>
  </sheetViews>
  <sheetFormatPr baseColWidth="10" defaultColWidth="11.42578125" defaultRowHeight="15" customHeight="1"/>
  <cols>
    <col min="1" max="1" width="15.85546875" style="189" customWidth="1"/>
    <col min="2" max="5" width="20.7109375" style="189" customWidth="1"/>
    <col min="6" max="16384" width="11.42578125" style="189"/>
  </cols>
  <sheetData>
    <row r="1" spans="1:5" ht="15" customHeight="1" thickBot="1">
      <c r="A1" s="334" t="s">
        <v>291</v>
      </c>
      <c r="B1" s="347" t="s">
        <v>261</v>
      </c>
      <c r="C1" s="761" t="s">
        <v>237</v>
      </c>
      <c r="D1" s="762" t="s">
        <v>241</v>
      </c>
      <c r="E1" s="335" t="s">
        <v>260</v>
      </c>
    </row>
    <row r="2" spans="1:5" ht="15" customHeight="1" thickTop="1" thickBot="1">
      <c r="A2" s="342">
        <f>Paramètres!$BI$2</f>
        <v>2</v>
      </c>
      <c r="B2" s="367" t="s">
        <v>281</v>
      </c>
      <c r="C2" s="346" t="str">
        <f>'À Faire - Récapitulatif'!H2</f>
        <v>51 400</v>
      </c>
      <c r="D2" s="394" t="str">
        <f>'À Faire - Récapitulatif'!K2</f>
        <v>27 800</v>
      </c>
      <c r="E2" s="336" t="str">
        <f>'À Faire - Récapitulatif'!M2</f>
        <v>0</v>
      </c>
    </row>
    <row r="3" spans="1:5" ht="20.100000000000001" customHeight="1" thickBot="1">
      <c r="A3" s="1030" t="s">
        <v>119</v>
      </c>
      <c r="B3" s="1031"/>
      <c r="C3" s="1031"/>
      <c r="D3" s="1032"/>
    </row>
    <row r="4" spans="1:5" ht="15" customHeight="1" thickBot="1">
      <c r="A4" s="192" t="s">
        <v>123</v>
      </c>
      <c r="B4" s="191" t="s">
        <v>176</v>
      </c>
      <c r="C4" s="201" t="s">
        <v>210</v>
      </c>
      <c r="D4" s="190" t="s">
        <v>211</v>
      </c>
    </row>
    <row r="5" spans="1:5" ht="15" customHeight="1" thickBot="1">
      <c r="A5" s="250" t="s">
        <v>39</v>
      </c>
      <c r="B5" s="641">
        <f>VLOOKUP($A$2,AVAILABLE_Buildings_Resource[#All],MATCH(B$4,AVAILABLE_Buildings_Resource[#Headers],0)+1)</f>
        <v>4</v>
      </c>
      <c r="C5" s="251">
        <f>VLOOKUP($A$2,AVAILABLE_Buildings_Resource[#All],MATCH(C$4,AVAILABLE_Buildings_Resource[#Headers],0)+1)</f>
        <v>4</v>
      </c>
      <c r="D5" s="642">
        <f>VLOOKUP($A$2,AVAILABLE_Buildings_Resource[#All],MATCH(D$4,AVAILABLE_Buildings_Resource[#Headers],0)+1)</f>
        <v>0</v>
      </c>
    </row>
    <row r="6" spans="1:5" ht="15" customHeight="1">
      <c r="A6" s="197">
        <v>1</v>
      </c>
      <c r="B6" s="643">
        <f>Paramètres!B6</f>
        <v>0</v>
      </c>
      <c r="C6" s="198">
        <f>Paramètres!C6</f>
        <v>0</v>
      </c>
      <c r="D6" s="199">
        <f>Paramètres!D6</f>
        <v>0</v>
      </c>
    </row>
    <row r="7" spans="1:5" ht="15" customHeight="1">
      <c r="A7" s="196">
        <v>2</v>
      </c>
      <c r="B7" s="644">
        <f>Paramètres!B7</f>
        <v>0</v>
      </c>
      <c r="C7" s="194">
        <f>Paramètres!C7</f>
        <v>0</v>
      </c>
      <c r="D7" s="195">
        <f>Paramètres!D7</f>
        <v>0</v>
      </c>
    </row>
    <row r="8" spans="1:5" ht="15" customHeight="1">
      <c r="A8" s="196">
        <v>3</v>
      </c>
      <c r="B8" s="644">
        <f>Paramètres!B8</f>
        <v>0</v>
      </c>
      <c r="C8" s="194">
        <f>Paramètres!C8</f>
        <v>0</v>
      </c>
      <c r="D8" s="195">
        <f>Paramètres!D8</f>
        <v>0</v>
      </c>
    </row>
    <row r="9" spans="1:5" ht="15" customHeight="1">
      <c r="A9" s="196">
        <v>4</v>
      </c>
      <c r="B9" s="644">
        <f>Paramètres!B9</f>
        <v>0</v>
      </c>
      <c r="C9" s="194">
        <f>Paramètres!C9</f>
        <v>0</v>
      </c>
      <c r="D9" s="195">
        <f>Paramètres!D9</f>
        <v>0</v>
      </c>
    </row>
    <row r="10" spans="1:5" ht="15" customHeight="1">
      <c r="A10" s="196">
        <v>5</v>
      </c>
      <c r="B10" s="644">
        <f>Paramètres!B10</f>
        <v>0</v>
      </c>
      <c r="C10" s="194">
        <f>Paramètres!C10</f>
        <v>0</v>
      </c>
      <c r="D10" s="195">
        <f>Paramètres!D10</f>
        <v>0</v>
      </c>
    </row>
    <row r="11" spans="1:5" ht="15" customHeight="1">
      <c r="A11" s="196">
        <v>6</v>
      </c>
      <c r="B11" s="644">
        <f>Paramètres!B11</f>
        <v>0</v>
      </c>
      <c r="C11" s="194">
        <f>Paramètres!C11</f>
        <v>0</v>
      </c>
      <c r="D11" s="195">
        <f>Paramètres!D11</f>
        <v>0</v>
      </c>
    </row>
    <row r="12" spans="1:5" ht="15" customHeight="1">
      <c r="A12" s="196">
        <v>7</v>
      </c>
      <c r="B12" s="644">
        <f>Paramètres!B12</f>
        <v>0</v>
      </c>
      <c r="C12" s="194">
        <f>Paramètres!C12</f>
        <v>0</v>
      </c>
      <c r="D12" s="195">
        <f>Paramètres!D12</f>
        <v>0</v>
      </c>
    </row>
    <row r="13" spans="1:5" ht="15" customHeight="1">
      <c r="A13" s="196">
        <v>8</v>
      </c>
      <c r="B13" s="644">
        <f>Paramètres!B13</f>
        <v>0</v>
      </c>
      <c r="C13" s="194">
        <f>Paramètres!C13</f>
        <v>0</v>
      </c>
      <c r="D13" s="195">
        <f>Paramètres!D13</f>
        <v>0</v>
      </c>
    </row>
    <row r="14" spans="1:5" ht="15" customHeight="1">
      <c r="A14" s="196">
        <v>9</v>
      </c>
      <c r="B14" s="644">
        <f>Paramètres!B14</f>
        <v>0</v>
      </c>
      <c r="C14" s="194">
        <f>Paramètres!C14</f>
        <v>0</v>
      </c>
      <c r="D14" s="195">
        <f>Paramètres!D14</f>
        <v>0</v>
      </c>
    </row>
    <row r="15" spans="1:5" ht="15" customHeight="1">
      <c r="A15" s="196">
        <v>10</v>
      </c>
      <c r="B15" s="644">
        <f>Paramètres!B15</f>
        <v>0</v>
      </c>
      <c r="C15" s="194">
        <f>Paramètres!C15</f>
        <v>0</v>
      </c>
      <c r="D15" s="195">
        <f>Paramètres!D15</f>
        <v>0</v>
      </c>
    </row>
    <row r="16" spans="1:5" ht="15" customHeight="1">
      <c r="A16" s="196">
        <v>11</v>
      </c>
      <c r="B16" s="644">
        <f>Paramètres!B16</f>
        <v>0</v>
      </c>
      <c r="C16" s="194">
        <f>Paramètres!C16</f>
        <v>0</v>
      </c>
      <c r="D16" s="195">
        <f>Paramètres!D16</f>
        <v>0</v>
      </c>
    </row>
    <row r="17" spans="1:5" ht="15" customHeight="1" thickBot="1">
      <c r="A17" s="200">
        <v>12</v>
      </c>
      <c r="B17" s="721">
        <f>Paramètres!B17</f>
        <v>0</v>
      </c>
      <c r="C17" s="722">
        <f>Paramètres!C17</f>
        <v>0</v>
      </c>
      <c r="D17" s="723">
        <f>Paramètres!D17</f>
        <v>0</v>
      </c>
    </row>
    <row r="18" spans="1:5" ht="15" customHeight="1">
      <c r="A18" s="453" t="s">
        <v>262</v>
      </c>
      <c r="B18" s="726">
        <f>SUMPRODUCT(B6:B17,EARNINGS_Gold_Mine[Production])</f>
        <v>0</v>
      </c>
      <c r="C18" s="727">
        <f>SUMPRODUCT(C6:C17,EARNINGS_Elixir_Collector[Production])</f>
        <v>0</v>
      </c>
      <c r="D18" s="728">
        <f>SUMPRODUCT(D6:D11,EARNINGS_Dark_Elixir_Drill[Production])</f>
        <v>0</v>
      </c>
      <c r="E18" s="131"/>
    </row>
    <row r="19" spans="1:5" ht="15" customHeight="1" thickBot="1">
      <c r="A19" s="240" t="s">
        <v>263</v>
      </c>
      <c r="B19" s="729">
        <f>IF($B$2='Paramètres - Admin'!$E$2,B18,IF($B$2='Paramètres - Admin'!$E$3,B18*2,IF($B$2='Paramètres - Admin'!$E$4,B18*4,IF($B$2='Paramètres - Admin'!$E$5,B18*8,IF($B$2='Paramètres - Admin'!$E$6,B18*12,IF($B$2='Paramètres - Admin'!$E$7,B18*16,IF($B$2='Paramètres - Admin'!$E$8,B18*24,IF($B$2='Paramètres - Admin'!$E$9,B18*48,IF($B$2='Paramètres - Admin'!$E$10,B18*72,IF($B$2='Paramètres - Admin'!$E$11,B18*168,IF($B$2='Paramètres - Admin'!$E$12,B18*720)))))))))))</f>
        <v>0</v>
      </c>
      <c r="C19" s="730">
        <f>IF($B$2='Paramètres - Admin'!$E$2,C18,IF($B$2='Paramètres - Admin'!$E$3,C18*2,IF($B$2='Paramètres - Admin'!$E$4,C18*4,IF($B$2='Paramètres - Admin'!$E$5,C18*8,IF($B$2='Paramètres - Admin'!$E$6,C18*12,IF($B$2='Paramètres - Admin'!$E$7,C18*16,IF($B$2='Paramètres - Admin'!$E$8,C18*24,IF($B$2='Paramètres - Admin'!$E$9,C18*48,IF($B$2='Paramètres - Admin'!$E$10,C18*72,IF($B$2='Paramètres - Admin'!$E$11,C18*168,IF($B$2='Paramètres - Admin'!$E$12,C18*720)))))))))))</f>
        <v>0</v>
      </c>
      <c r="D19" s="731">
        <f>IF($B$2='Paramètres - Admin'!$E$2,D18,IF($B$2='Paramètres - Admin'!$E$3,D18*2,IF($B$2='Paramètres - Admin'!$E$4,D18*4,IF($B$2='Paramètres - Admin'!$E$5,D18*8,IF($B$2='Paramètres - Admin'!$E$6,D18*12,IF($B$2='Paramètres - Admin'!$E$7,D18*16,IF($B$2='Paramètres - Admin'!$E$8,D18*24,IF($B$2='Paramètres - Admin'!$E$9,D18*48,IF($B$2='Paramètres - Admin'!$E$10,D18*72,IF($B$2='Paramètres - Admin'!$E$11,D18*168,IF($B$2='Paramètres - Admin'!$E$12,D18*720)))))))))))</f>
        <v>0</v>
      </c>
    </row>
    <row r="20" spans="1:5" ht="15" customHeight="1" thickBot="1">
      <c r="A20" s="781" t="s">
        <v>264</v>
      </c>
      <c r="B20" s="724">
        <f>IF(B$18&lt;&gt;0,IF($B$2='Paramètres - Admin'!$B$2,TEXT((('À Faire - Récapitulatif'!D8+'À Faire - Récapitulatif'!D11+'À Faire - Récapitulatif'!D28+'À Faire - Récapitulatif'!P27)/B$18)*60*60,"# 0")&amp;" " &amp; 'Paramètres - Admin'!$B$2,IF($B$2='Paramètres - Admin'!$B$3,TEXT((('À Faire - Récapitulatif'!D8+'À Faire - Récapitulatif'!D11+'À Faire - Récapitulatif'!D28+'À Faire - Récapitulatif'!P27)/B$18)*60,"# 0")&amp;" " &amp; 'Paramètres - Admin'!$B$3,IF($B$2='Paramètres - Admin'!$B$4,TEXT((('À Faire - Récapitulatif'!D8+'À Faire - Récapitulatif'!D11+'À Faire - Récapitulatif'!D28+'À Faire - Récapitulatif'!P27)/B$18),"# 0,00")&amp;" " &amp; 'Paramètres - Admin'!$B$4,IF($B$2='Paramètres - Admin'!$B$5,TEXT((('À Faire - Récapitulatif'!D8+'À Faire - Récapitulatif'!D11+'À Faire - Récapitulatif'!D28+'À Faire - Récapitulatif'!P27)/B$18)/24,"# 0,00")&amp;" " &amp; 'Paramètres - Admin'!$B$5,IF($B$2='Paramètres - Admin'!$B$6,TEXT(((('À Faire - Récapitulatif'!D8+'À Faire - Récapitulatif'!D11+'À Faire - Récapitulatif'!D28+'À Faire - Récapitulatif'!P27)/B$18)/24)/30,"# 0,00")&amp;" " &amp; 'Paramètres - Admin'!$B$6,IF((('À Faire - Récapitulatif'!D8+'À Faire - Récapitulatif'!D11+'À Faire - Récapitulatif'!D28+'À Faire - Récapitulatif'!P27)/B$18)/24&gt;=1,INT((('À Faire - Récapitulatif'!D8+'À Faire - Récapitulatif'!D11+'À Faire - Récapitulatif'!D28+'À Faire - Récapitulatif'!P27)/B$18)/24)&amp;" " &amp;  'Paramètres - Admin'!$D$4 &amp; " " &amp; HOUR((('À Faire - Récapitulatif'!D8+'À Faire - Récapitulatif'!D11+'À Faire - Récapitulatif'!D28+'À Faire - Récapitulatif'!P27)/B$18)/24-INT((('À Faire - Récapitulatif'!D8+'À Faire - Récapitulatif'!D11+'À Faire - Récapitulatif'!D28+'À Faire - Récapitulatif'!P27)/B$18)/24))&amp;" " &amp;  'Paramètres - Admin'!$D$3 &amp; " " &amp; MINUTE((('À Faire - Récapitulatif'!D8+'À Faire - Récapitulatif'!D11+'À Faire - Récapitulatif'!D28+'À Faire - Récapitulatif'!P27)/B$18)/24-INT((('À Faire - Récapitulatif'!D8+'À Faire - Récapitulatif'!D11+'À Faire - Récapitulatif'!D28+'À Faire - Récapitulatif'!P27)/B$18)/24))&amp;" " &amp;  'Paramètres - Admin'!$D$2,HOUR((('À Faire - Récapitulatif'!D8+'À Faire - Récapitulatif'!D11+'À Faire - Récapitulatif'!D28+'À Faire - Récapitulatif'!P27)/B$18)/24-INT((('À Faire - Récapitulatif'!D8+'À Faire - Récapitulatif'!D11+'À Faire - Récapitulatif'!D28+'À Faire - Récapitulatif'!P27)/B$18)/24))&amp;" " &amp;  'Paramètres - Admin'!$D$3 &amp; " " &amp; MINUTE((('À Faire - Récapitulatif'!D8+'À Faire - Récapitulatif'!D11+'À Faire - Récapitulatif'!D28+'À Faire - Récapitulatif'!P27)/B$18)/24-INT((('À Faire - Récapitulatif'!D8+'À Faire - Récapitulatif'!D11+'À Faire - Récapitulatif'!D28+'À Faire - Récapitulatif'!P27)/B$18)/24))&amp;" " &amp;  'Paramètres - Admin'!$D$2)))))),0)</f>
        <v>0</v>
      </c>
      <c r="C20" s="724">
        <f>IF(C$18&lt;&gt;0,IF($B$2='Paramètres - Admin'!$B$2,TEXT((('À Faire - Récapitulatif'!D7+'À Faire - Récapitulatif'!D9+'À Faire - Récapitulatif'!D10+'À Faire - Récapitulatif'!D12+'À Faire - Récapitulatif'!J13+'À Faire - Récapitulatif'!P22+'À Faire - Récapitulatif'!J27)/C$18)*60*60,"# 0")&amp;" " &amp; 'Paramètres - Admin'!$B$2,IF($B$2='Paramètres - Admin'!$B$3,TEXT((('À Faire - Récapitulatif'!D7+'À Faire - Récapitulatif'!D9+'À Faire - Récapitulatif'!D10+'À Faire - Récapitulatif'!D12+'À Faire - Récapitulatif'!J13+'À Faire - Récapitulatif'!P22+'À Faire - Récapitulatif'!J27)/C$18)*60,"# 0")&amp;" " &amp; 'Paramètres - Admin'!$B$3,IF($B$2='Paramètres - Admin'!$B$4,TEXT((('À Faire - Récapitulatif'!D7+'À Faire - Récapitulatif'!D9+'À Faire - Récapitulatif'!D10+'À Faire - Récapitulatif'!D12+'À Faire - Récapitulatif'!J13+'À Faire - Récapitulatif'!P22+'À Faire - Récapitulatif'!J27)/C$18),"# 0,00")&amp;" " &amp; 'Paramètres - Admin'!$B$4,IF($B$2='Paramètres - Admin'!$B$5,TEXT((('À Faire - Récapitulatif'!D7+'À Faire - Récapitulatif'!D9+'À Faire - Récapitulatif'!D10+'À Faire - Récapitulatif'!D12+'À Faire - Récapitulatif'!J13+'À Faire - Récapitulatif'!P22+'À Faire - Récapitulatif'!J27)/C$18)/24,"# 0,00")&amp;" " &amp; 'Paramètres - Admin'!$B$5,IF($B$2='Paramètres - Admin'!$B$6,TEXT(((('À Faire - Récapitulatif'!D7+'À Faire - Récapitulatif'!D9+'À Faire - Récapitulatif'!D10+'À Faire - Récapitulatif'!D12+'À Faire - Récapitulatif'!J13+'À Faire - Récapitulatif'!P22+'À Faire - Récapitulatif'!J27)/C$18)/24)/30,"# 0,00")&amp;" " &amp; 'Paramètres - Admin'!$B$6,IF((('À Faire - Récapitulatif'!D7+'À Faire - Récapitulatif'!D9+'À Faire - Récapitulatif'!D10+'À Faire - Récapitulatif'!D12+'À Faire - Récapitulatif'!J13+'À Faire - Récapitulatif'!P22+'À Faire - Récapitulatif'!J27)/C$18)/24&gt;=1,INT((('À Faire - Récapitulatif'!D7+'À Faire - Récapitulatif'!D9+'À Faire - Récapitulatif'!D10+'À Faire - Récapitulatif'!D12+'À Faire - Récapitulatif'!J13+'À Faire - Récapitulatif'!P22+'À Faire - Récapitulatif'!J27)/C$18)/24)&amp;" " &amp;  'Paramètres - Admin'!$D$4 &amp; " " &amp; HOUR((('À Faire - Récapitulatif'!D7+'À Faire - Récapitulatif'!D9+'À Faire - Récapitulatif'!D10+'À Faire - Récapitulatif'!D12+'À Faire - Récapitulatif'!J13+'À Faire - Récapitulatif'!P22+'À Faire - Récapitulatif'!J27)/C$18)/24-INT((('À Faire - Récapitulatif'!D7+'À Faire - Récapitulatif'!D9+'À Faire - Récapitulatif'!D10+'À Faire - Récapitulatif'!D12+'À Faire - Récapitulatif'!J13+'À Faire - Récapitulatif'!P22+'À Faire - Récapitulatif'!J27)/C$18)/24))&amp;" " &amp;  'Paramètres - Admin'!$D$3 &amp; " " &amp; MINUTE((('À Faire - Récapitulatif'!D7+'À Faire - Récapitulatif'!D9+'À Faire - Récapitulatif'!D10+'À Faire - Récapitulatif'!D12+'À Faire - Récapitulatif'!J13+'À Faire - Récapitulatif'!P22+'À Faire - Récapitulatif'!J27)/C$18)/24-INT((('À Faire - Récapitulatif'!D7+'À Faire - Récapitulatif'!D9+'À Faire - Récapitulatif'!D10+'À Faire - Récapitulatif'!D12+'À Faire - Récapitulatif'!J13+'À Faire - Récapitulatif'!P22+'À Faire - Récapitulatif'!J27)/C$18)/24))&amp;" " &amp;  'Paramètres - Admin'!$D$2,HOUR((('À Faire - Récapitulatif'!D7+'À Faire - Récapitulatif'!D9+'À Faire - Récapitulatif'!D10+'À Faire - Récapitulatif'!D12+'À Faire - Récapitulatif'!J13+'À Faire - Récapitulatif'!P22+'À Faire - Récapitulatif'!J27)/C$18)/24-INT((('À Faire - Récapitulatif'!D7+'À Faire - Récapitulatif'!D9+'À Faire - Récapitulatif'!D10+'À Faire - Récapitulatif'!D12+'À Faire - Récapitulatif'!J13+'À Faire - Récapitulatif'!P22+'À Faire - Récapitulatif'!J27)/C$18)/24))&amp;" " &amp;  'Paramètres - Admin'!$D$3 &amp; " " &amp; MINUTE((('À Faire - Récapitulatif'!D7+'À Faire - Récapitulatif'!D9+'À Faire - Récapitulatif'!D10+'À Faire - Récapitulatif'!D12+'À Faire - Récapitulatif'!J13+'À Faire - Récapitulatif'!P22+'À Faire - Récapitulatif'!J27)/C$18)/24-INT((('À Faire - Récapitulatif'!D7+'À Faire - Récapitulatif'!D9+'À Faire - Récapitulatif'!D10+'À Faire - Récapitulatif'!D12+'À Faire - Récapitulatif'!J13+'À Faire - Récapitulatif'!P22+'À Faire - Récapitulatif'!J27)/C$18)/24))&amp;" " &amp;  'Paramètres - Admin'!$D$2)))))),0)</f>
        <v>0</v>
      </c>
      <c r="D20" s="725">
        <f>IF(D$18&lt;&gt;0,IF($B$2='Paramètres - Admin'!$B$2,TEXT((('À Faire - Récapitulatif'!V13+'À Faire - Récapitulatif'!V27)/D$18)*60*60,"# 0")&amp;" " &amp; 'Paramètres - Admin'!$B$2,IF($B$2='Paramètres - Admin'!$B$3,TEXT((('À Faire - Récapitulatif'!V13+'À Faire - Récapitulatif'!V27)/D$18)*60,"# 0")&amp;" " &amp; 'Paramètres - Admin'!$B$3,IF($B$2='Paramètres - Admin'!$B$4,TEXT((('À Faire - Récapitulatif'!V13+'À Faire - Récapitulatif'!V27)/D$18),"# 0,00")&amp;" " &amp; 'Paramètres - Admin'!$B$4,IF($B$2='Paramètres - Admin'!$B$5,TEXT((('À Faire - Récapitulatif'!V13+'À Faire - Récapitulatif'!V27)/D$18)/24,"# 0,00")&amp;" " &amp; 'Paramètres - Admin'!$B$5,IF($B$2='Paramètres - Admin'!$B$6,TEXT(((('À Faire - Récapitulatif'!V13+'À Faire - Récapitulatif'!V27)/D$18)/24)/30,"# 0,00")&amp;" " &amp; 'Paramètres - Admin'!$B$6,IF((('À Faire - Récapitulatif'!V13+'À Faire - Récapitulatif'!V27)/D$18)/24&gt;=1,INT((('À Faire - Récapitulatif'!V13+'À Faire - Récapitulatif'!V27)/D$18)/24)&amp;" " &amp;  'Paramètres - Admin'!$D$4 &amp; " " &amp; HOUR((('À Faire - Récapitulatif'!V13+'À Faire - Récapitulatif'!V27)/D$18)/24-INT((('À Faire - Récapitulatif'!V13+'À Faire - Récapitulatif'!V27)/D$18)/24))&amp;" " &amp;  'Paramètres - Admin'!$D$3 &amp; " " &amp; MINUTE((('À Faire - Récapitulatif'!V13+'À Faire - Récapitulatif'!V27)/D$18)/24-INT((('À Faire - Récapitulatif'!V13+'À Faire - Récapitulatif'!V27)/D$18)/24))&amp;" " &amp;  'Paramètres - Admin'!$D$2,HOUR((('À Faire - Récapitulatif'!V13+'À Faire - Récapitulatif'!V27)/D$18)/24-INT((('À Faire - Récapitulatif'!V13+'À Faire - Récapitulatif'!V27)/D$18)/24))&amp;" " &amp;  'Paramètres - Admin'!$D$3 &amp; " " &amp; MINUTE((('À Faire - Récapitulatif'!V13+'À Faire - Récapitulatif'!V27)/D$18)/24-INT((('À Faire - Récapitulatif'!V13+'À Faire - Récapitulatif'!V27)/D$18)/24))&amp;" " &amp;  'Paramètres - Admin'!$D$2)))))),0)</f>
        <v>0</v>
      </c>
      <c r="E20" s="131"/>
    </row>
  </sheetData>
  <sheetProtection sheet="1" objects="1" scenarios="1" selectLockedCells="1"/>
  <mergeCells count="1">
    <mergeCell ref="A3:D3"/>
  </mergeCells>
  <conditionalFormatting sqref="B6:D17">
    <cfRule type="expression" dxfId="468" priority="1">
      <formula>$A6&gt;B$5</formula>
    </cfRule>
  </conditionalFormatting>
  <dataValidations count="1">
    <dataValidation type="list" allowBlank="1" showInputMessage="1" showErrorMessage="1" sqref="B2">
      <formula1>Period</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sheetPr codeName="Feuil71">
    <tabColor theme="0" tint="-0.499984740745262"/>
  </sheetPr>
  <dimension ref="A1:F66"/>
  <sheetViews>
    <sheetView showGridLines="0" workbookViewId="0">
      <selection activeCell="F3" sqref="F3"/>
    </sheetView>
  </sheetViews>
  <sheetFormatPr baseColWidth="10" defaultColWidth="11.42578125" defaultRowHeight="11.25"/>
  <cols>
    <col min="1" max="2" width="10.7109375" style="410" customWidth="1"/>
    <col min="3" max="3" width="30.7109375" style="493" customWidth="1"/>
    <col min="4" max="4" width="70.7109375" style="493" hidden="1" customWidth="1"/>
    <col min="5" max="5" width="70.7109375" style="493" customWidth="1"/>
    <col min="6" max="6" width="60.85546875" style="410" bestFit="1" customWidth="1"/>
    <col min="7" max="16384" width="11.42578125" style="410"/>
  </cols>
  <sheetData>
    <row r="1" spans="1:6" ht="75.75" customHeight="1" thickBot="1">
      <c r="A1" s="1272" t="s">
        <v>354</v>
      </c>
      <c r="B1" s="1273"/>
      <c r="C1" s="1273"/>
      <c r="D1" s="1273"/>
      <c r="E1" s="1273"/>
      <c r="F1" s="1274"/>
    </row>
    <row r="2" spans="1:6" ht="13.5" thickBot="1">
      <c r="A2" s="476" t="s">
        <v>94</v>
      </c>
      <c r="B2" s="477" t="s">
        <v>165</v>
      </c>
      <c r="C2" s="478" t="s">
        <v>355</v>
      </c>
      <c r="D2" s="479" t="s">
        <v>425</v>
      </c>
      <c r="E2" s="480" t="s">
        <v>95</v>
      </c>
      <c r="F2" s="481" t="s">
        <v>356</v>
      </c>
    </row>
    <row r="3" spans="1:6" ht="30">
      <c r="A3" s="482" t="s">
        <v>744</v>
      </c>
      <c r="B3" s="483">
        <v>42350</v>
      </c>
      <c r="C3" s="484" t="str">
        <f>"COC - Cost &amp; Time Calcultator " &amp; A3 &amp; ".xlsx"</f>
        <v>COC - Cost &amp; Time Calcultator V6.01.xlsx</v>
      </c>
      <c r="D3" s="577"/>
      <c r="E3" s="385" t="s">
        <v>749</v>
      </c>
      <c r="F3" s="684" t="s">
        <v>748</v>
      </c>
    </row>
    <row r="4" spans="1:6" ht="45">
      <c r="A4" s="482" t="s">
        <v>734</v>
      </c>
      <c r="B4" s="483">
        <v>42342</v>
      </c>
      <c r="C4" s="484" t="str">
        <f t="shared" ref="C4:C9" si="0">"COC - Cost &amp; Time Calcultator " &amp; A4 &amp; ".xlsx"</f>
        <v>COC - Cost &amp; Time Calcultator V5.04.xlsx</v>
      </c>
      <c r="D4" s="577"/>
      <c r="E4" s="385" t="s">
        <v>735</v>
      </c>
      <c r="F4" s="684" t="s">
        <v>736</v>
      </c>
    </row>
    <row r="5" spans="1:6" ht="33.75">
      <c r="A5" s="482" t="s">
        <v>730</v>
      </c>
      <c r="B5" s="483">
        <v>42322</v>
      </c>
      <c r="C5" s="484" t="str">
        <f t="shared" si="0"/>
        <v>COC - Cost &amp; Time Calcultator V5.03.xlsx</v>
      </c>
      <c r="D5" s="577"/>
      <c r="E5" s="385" t="s">
        <v>731</v>
      </c>
      <c r="F5" s="684" t="s">
        <v>732</v>
      </c>
    </row>
    <row r="6" spans="1:6" ht="30">
      <c r="A6" s="482" t="s">
        <v>727</v>
      </c>
      <c r="B6" s="483">
        <v>42299</v>
      </c>
      <c r="C6" s="484" t="str">
        <f t="shared" si="0"/>
        <v>COC - Cost &amp; Time Calcultator V5.02.xlsx</v>
      </c>
      <c r="D6" s="577"/>
      <c r="E6" s="385" t="s">
        <v>728</v>
      </c>
      <c r="F6" s="684" t="s">
        <v>729</v>
      </c>
    </row>
    <row r="7" spans="1:6" ht="36.75" customHeight="1">
      <c r="A7" s="482" t="s">
        <v>723</v>
      </c>
      <c r="B7" s="483">
        <v>42266</v>
      </c>
      <c r="C7" s="484" t="str">
        <f t="shared" si="0"/>
        <v>COC - Cost &amp; Time Calcultator V5.01.xlsx</v>
      </c>
      <c r="D7" s="577"/>
      <c r="E7" s="385" t="s">
        <v>724</v>
      </c>
      <c r="F7" s="684" t="s">
        <v>725</v>
      </c>
    </row>
    <row r="8" spans="1:6" ht="33.75">
      <c r="A8" s="482" t="s">
        <v>713</v>
      </c>
      <c r="B8" s="483">
        <v>42189</v>
      </c>
      <c r="C8" s="484" t="str">
        <f t="shared" si="0"/>
        <v>COC - Cost &amp; Time Calcultator V5.xlsx</v>
      </c>
      <c r="D8" s="577"/>
      <c r="E8" s="385" t="s">
        <v>714</v>
      </c>
      <c r="F8" s="485"/>
    </row>
    <row r="9" spans="1:6" ht="33.75">
      <c r="A9" s="482" t="s">
        <v>700</v>
      </c>
      <c r="B9" s="483">
        <v>42175</v>
      </c>
      <c r="C9" s="484" t="str">
        <f t="shared" si="0"/>
        <v>COC - Cost &amp; Time Calcultator V4.17.08.xlsx</v>
      </c>
      <c r="D9" s="577"/>
      <c r="E9" s="385" t="s">
        <v>701</v>
      </c>
      <c r="F9" s="485"/>
    </row>
    <row r="10" spans="1:6" ht="22.5">
      <c r="A10" s="482" t="s">
        <v>677</v>
      </c>
      <c r="B10" s="483">
        <v>42167</v>
      </c>
      <c r="C10" s="484" t="str">
        <f t="shared" ref="C10:C15" si="1">"COC - Cost &amp; Time Calcultator " &amp; A10 &amp; ".xlsx"</f>
        <v>COC - Cost &amp; Time Calcultator V4.17.07.xlsx</v>
      </c>
      <c r="D10" s="577"/>
      <c r="E10" s="385" t="s">
        <v>676</v>
      </c>
      <c r="F10" s="485"/>
    </row>
    <row r="11" spans="1:6" ht="33.75">
      <c r="A11" s="482" t="s">
        <v>671</v>
      </c>
      <c r="B11" s="483">
        <v>42160</v>
      </c>
      <c r="C11" s="484" t="str">
        <f t="shared" si="1"/>
        <v>COC - Cost &amp; Time Calcultator V4.17.06.xlsx</v>
      </c>
      <c r="D11" s="577"/>
      <c r="E11" s="385" t="s">
        <v>670</v>
      </c>
      <c r="F11" s="684"/>
    </row>
    <row r="12" spans="1:6" ht="33.75">
      <c r="A12" s="482" t="s">
        <v>666</v>
      </c>
      <c r="B12" s="483">
        <v>42160</v>
      </c>
      <c r="C12" s="484" t="str">
        <f t="shared" si="1"/>
        <v>COC - Cost &amp; Time Calcultator V4.17.05.xlsx</v>
      </c>
      <c r="D12" s="577"/>
      <c r="E12" s="385" t="s">
        <v>667</v>
      </c>
      <c r="F12" s="684" t="s">
        <v>668</v>
      </c>
    </row>
    <row r="13" spans="1:6" ht="45">
      <c r="A13" s="482" t="s">
        <v>661</v>
      </c>
      <c r="B13" s="483">
        <v>42154</v>
      </c>
      <c r="C13" s="484" t="str">
        <f t="shared" si="1"/>
        <v>COC - Cost &amp; Time Calcultator V4.17.04.xlsx</v>
      </c>
      <c r="D13" s="577"/>
      <c r="E13" s="385" t="s">
        <v>662</v>
      </c>
      <c r="F13" s="684" t="s">
        <v>664</v>
      </c>
    </row>
    <row r="14" spans="1:6" ht="78.75">
      <c r="A14" s="482" t="s">
        <v>650</v>
      </c>
      <c r="B14" s="483">
        <v>42138</v>
      </c>
      <c r="C14" s="484" t="str">
        <f t="shared" si="1"/>
        <v>COC - Cost &amp; Time Calcultator V4.17.03.xlsx</v>
      </c>
      <c r="D14" s="385" t="s">
        <v>653</v>
      </c>
      <c r="E14" s="385" t="s">
        <v>659</v>
      </c>
      <c r="F14" s="485" t="s">
        <v>658</v>
      </c>
    </row>
    <row r="15" spans="1:6">
      <c r="A15" s="482" t="s">
        <v>649</v>
      </c>
      <c r="B15" s="483">
        <v>42124</v>
      </c>
      <c r="C15" s="484" t="str">
        <f t="shared" si="1"/>
        <v>COC - Cost &amp; Time Calcultator V4.17.00.xlsx</v>
      </c>
      <c r="D15" s="577"/>
      <c r="E15" s="555" t="s">
        <v>647</v>
      </c>
      <c r="F15" s="485"/>
    </row>
    <row r="16" spans="1:6" ht="112.5">
      <c r="A16" s="482" t="s">
        <v>636</v>
      </c>
      <c r="B16" s="483">
        <v>41984</v>
      </c>
      <c r="C16" s="484" t="str">
        <f t="shared" ref="C16:C28" si="2">"COC - Cost &amp; Time Calcultator " &amp; A16 &amp; ".xlsx"</f>
        <v>COC - Cost &amp; Time Calcultator V4.16.00.xlsx</v>
      </c>
      <c r="D16" s="577"/>
      <c r="E16" s="385" t="s">
        <v>635</v>
      </c>
      <c r="F16" s="485"/>
    </row>
    <row r="17" spans="1:6" ht="22.5">
      <c r="A17" s="482" t="s">
        <v>637</v>
      </c>
      <c r="B17" s="483">
        <v>41977</v>
      </c>
      <c r="C17" s="484" t="str">
        <f t="shared" si="2"/>
        <v>COC - Cost &amp; Time Calcultator V4.15.00.xlsx</v>
      </c>
      <c r="D17" s="577"/>
      <c r="E17" s="385" t="s">
        <v>638</v>
      </c>
      <c r="F17" s="485"/>
    </row>
    <row r="18" spans="1:6" ht="33.75">
      <c r="A18" s="482" t="s">
        <v>630</v>
      </c>
      <c r="B18" s="483">
        <v>41974</v>
      </c>
      <c r="C18" s="484" t="str">
        <f t="shared" si="2"/>
        <v>COC - Cost &amp; Time Calcultator V4.14.xlsx</v>
      </c>
      <c r="D18" s="577"/>
      <c r="E18" s="385" t="s">
        <v>631</v>
      </c>
      <c r="F18" s="485"/>
    </row>
    <row r="19" spans="1:6">
      <c r="A19" s="482" t="s">
        <v>632</v>
      </c>
      <c r="B19" s="483">
        <v>41974</v>
      </c>
      <c r="C19" s="484" t="str">
        <f t="shared" si="2"/>
        <v>COC - Cost &amp; Time Calcultator V4.13,09.xlsx</v>
      </c>
      <c r="D19" s="577"/>
      <c r="E19" s="385"/>
      <c r="F19" s="485"/>
    </row>
    <row r="20" spans="1:6" ht="33.75">
      <c r="A20" s="482" t="s">
        <v>628</v>
      </c>
      <c r="B20" s="483">
        <v>41973</v>
      </c>
      <c r="C20" s="484" t="str">
        <f t="shared" si="2"/>
        <v>COC - Cost &amp; Time Calcultator V4.13,07.xlsx</v>
      </c>
      <c r="D20" s="577"/>
      <c r="E20" s="385" t="s">
        <v>629</v>
      </c>
      <c r="F20" s="485"/>
    </row>
    <row r="21" spans="1:6" ht="33.75">
      <c r="A21" s="482" t="s">
        <v>627</v>
      </c>
      <c r="B21" s="483">
        <v>41972</v>
      </c>
      <c r="C21" s="484" t="str">
        <f t="shared" si="2"/>
        <v>COC - Cost &amp; Time Calcultator V4.13,06.xlsx</v>
      </c>
      <c r="D21" s="577"/>
      <c r="E21" s="385" t="s">
        <v>626</v>
      </c>
      <c r="F21" s="485"/>
    </row>
    <row r="22" spans="1:6" ht="33.75">
      <c r="A22" s="482" t="s">
        <v>622</v>
      </c>
      <c r="B22" s="483">
        <v>41971</v>
      </c>
      <c r="C22" s="484" t="str">
        <f t="shared" si="2"/>
        <v>COC - Cost &amp; Time Calcultator V4.13,05.xlsx</v>
      </c>
      <c r="D22" s="577"/>
      <c r="E22" s="385" t="s">
        <v>623</v>
      </c>
      <c r="F22" s="485"/>
    </row>
    <row r="23" spans="1:6" ht="22.5">
      <c r="A23" s="482" t="s">
        <v>621</v>
      </c>
      <c r="B23" s="483">
        <v>41969</v>
      </c>
      <c r="C23" s="484" t="str">
        <f t="shared" si="2"/>
        <v>COC - Cost &amp; Time Calcultator V4.13,04.xlsx</v>
      </c>
      <c r="D23" s="577"/>
      <c r="E23" s="385" t="s">
        <v>624</v>
      </c>
      <c r="F23" s="485"/>
    </row>
    <row r="24" spans="1:6" ht="112.5">
      <c r="A24" s="482" t="s">
        <v>620</v>
      </c>
      <c r="B24" s="483">
        <v>41968</v>
      </c>
      <c r="C24" s="484" t="str">
        <f t="shared" si="2"/>
        <v>COC - Cost &amp; Time Calcultator V4.13,03.xlsx</v>
      </c>
      <c r="D24" s="577"/>
      <c r="E24" s="385" t="s">
        <v>625</v>
      </c>
      <c r="F24" s="485"/>
    </row>
    <row r="25" spans="1:6" ht="33.75">
      <c r="A25" s="482" t="s">
        <v>618</v>
      </c>
      <c r="B25" s="483">
        <v>41966</v>
      </c>
      <c r="C25" s="484" t="str">
        <f t="shared" si="2"/>
        <v>COC - Cost &amp; Time Calcultator V4.13,02.xlsx</v>
      </c>
      <c r="D25" s="577"/>
      <c r="E25" s="385" t="s">
        <v>619</v>
      </c>
      <c r="F25" s="684"/>
    </row>
    <row r="26" spans="1:6" ht="22.5">
      <c r="A26" s="482" t="s">
        <v>616</v>
      </c>
      <c r="B26" s="483">
        <v>41966</v>
      </c>
      <c r="C26" s="484" t="str">
        <f t="shared" si="2"/>
        <v>COC - Cost &amp; Time Calcultator V4.13,01.xlsx</v>
      </c>
      <c r="D26" s="577"/>
      <c r="E26" s="385" t="s">
        <v>617</v>
      </c>
      <c r="F26" s="485"/>
    </row>
    <row r="27" spans="1:6" ht="33.75">
      <c r="A27" s="482" t="s">
        <v>614</v>
      </c>
      <c r="B27" s="483">
        <v>41965</v>
      </c>
      <c r="C27" s="484" t="str">
        <f t="shared" si="2"/>
        <v>COC - Cost &amp; Time Calcultator V4.13.xlsx</v>
      </c>
      <c r="D27" s="577"/>
      <c r="E27" s="385" t="s">
        <v>615</v>
      </c>
      <c r="F27" s="485"/>
    </row>
    <row r="28" spans="1:6" ht="22.5">
      <c r="A28" s="482" t="s">
        <v>610</v>
      </c>
      <c r="B28" s="483">
        <v>41960</v>
      </c>
      <c r="C28" s="484" t="str">
        <f t="shared" si="2"/>
        <v>COC - Cost &amp; Time Calcultator V4.12.xlsx</v>
      </c>
      <c r="D28" s="444" t="s">
        <v>611</v>
      </c>
      <c r="E28" s="444" t="s">
        <v>612</v>
      </c>
      <c r="F28" s="485"/>
    </row>
    <row r="29" spans="1:6" ht="22.5">
      <c r="A29" s="482" t="s">
        <v>605</v>
      </c>
      <c r="B29" s="483">
        <v>41958</v>
      </c>
      <c r="C29" s="484" t="str">
        <f t="shared" ref="C29:C34" si="3">"COC - Cost &amp; Time Calcultator " &amp; A29 &amp; ".xlsx"</f>
        <v>COC - Cost &amp; Time Calcultator V4.11,01.xlsx</v>
      </c>
      <c r="D29" s="385" t="s">
        <v>606</v>
      </c>
      <c r="E29" s="385" t="s">
        <v>606</v>
      </c>
      <c r="F29" s="485"/>
    </row>
    <row r="30" spans="1:6" ht="45">
      <c r="A30" s="482" t="s">
        <v>603</v>
      </c>
      <c r="B30" s="483">
        <v>41958</v>
      </c>
      <c r="C30" s="484" t="str">
        <f t="shared" si="3"/>
        <v>COC - Cost &amp; Time Calcultator V4.11.xlsx</v>
      </c>
      <c r="D30" s="385" t="s">
        <v>604</v>
      </c>
      <c r="E30" s="385" t="s">
        <v>604</v>
      </c>
      <c r="F30" s="485"/>
    </row>
    <row r="31" spans="1:6" ht="33.75">
      <c r="A31" s="482" t="s">
        <v>594</v>
      </c>
      <c r="B31" s="483">
        <v>41956</v>
      </c>
      <c r="C31" s="484" t="str">
        <f t="shared" si="3"/>
        <v>COC - Cost &amp; Time Calcultator V4.09.01.xlsx</v>
      </c>
      <c r="D31" s="385" t="s">
        <v>595</v>
      </c>
      <c r="E31" s="385" t="s">
        <v>595</v>
      </c>
      <c r="F31" s="485"/>
    </row>
    <row r="32" spans="1:6" ht="56.25">
      <c r="A32" s="482" t="s">
        <v>591</v>
      </c>
      <c r="B32" s="483">
        <v>41955</v>
      </c>
      <c r="C32" s="484" t="str">
        <f t="shared" si="3"/>
        <v>COC - Cost &amp; Time Calcultator V.4.9.xlsx</v>
      </c>
      <c r="D32" s="385" t="s">
        <v>592</v>
      </c>
      <c r="E32" s="385" t="s">
        <v>592</v>
      </c>
      <c r="F32" s="485"/>
    </row>
    <row r="33" spans="1:6" ht="45">
      <c r="A33" s="482" t="s">
        <v>589</v>
      </c>
      <c r="B33" s="483">
        <v>41955</v>
      </c>
      <c r="C33" s="484" t="str">
        <f t="shared" si="3"/>
        <v>COC - Cost &amp; Time Calcultator V.4.8.xlsx</v>
      </c>
      <c r="D33" s="385" t="s">
        <v>590</v>
      </c>
      <c r="E33" s="385" t="s">
        <v>590</v>
      </c>
      <c r="F33" s="485"/>
    </row>
    <row r="34" spans="1:6" ht="56.25">
      <c r="A34" s="482" t="s">
        <v>588</v>
      </c>
      <c r="B34" s="483">
        <v>41954</v>
      </c>
      <c r="C34" s="484" t="str">
        <f t="shared" si="3"/>
        <v>COC - Cost &amp; Time Calcultator V4.07.02.xlsx</v>
      </c>
      <c r="D34" s="555" t="s">
        <v>587</v>
      </c>
      <c r="E34" s="555" t="s">
        <v>587</v>
      </c>
      <c r="F34" s="684"/>
    </row>
    <row r="35" spans="1:6" ht="33.75">
      <c r="A35" s="482" t="s">
        <v>585</v>
      </c>
      <c r="B35" s="483">
        <v>41953</v>
      </c>
      <c r="C35" s="484" t="str">
        <f>"COC - Calcultator " &amp; A35 &amp; ".xlsm"</f>
        <v>COC - Calcultator V4.07.01.xlsm</v>
      </c>
      <c r="D35" s="555" t="s">
        <v>586</v>
      </c>
      <c r="E35" s="555" t="s">
        <v>586</v>
      </c>
      <c r="F35" s="485"/>
    </row>
    <row r="36" spans="1:6" ht="56.25">
      <c r="A36" s="482" t="s">
        <v>583</v>
      </c>
      <c r="B36" s="483">
        <v>41953</v>
      </c>
      <c r="C36" s="484" t="str">
        <f t="shared" ref="C36:C42" si="4">"COC - Calcultator " &amp; A36 &amp; ".xlsm"</f>
        <v>COC - Calcultator V4.07.xlsm</v>
      </c>
      <c r="D36" s="555" t="s">
        <v>584</v>
      </c>
      <c r="E36" s="555" t="s">
        <v>584</v>
      </c>
      <c r="F36" s="485"/>
    </row>
    <row r="37" spans="1:6" ht="33.75">
      <c r="A37" s="482" t="s">
        <v>580</v>
      </c>
      <c r="B37" s="483">
        <v>41952</v>
      </c>
      <c r="C37" s="484" t="str">
        <f t="shared" si="4"/>
        <v>COC - Calcultator v4.06.xlsm</v>
      </c>
      <c r="D37" s="385" t="s">
        <v>581</v>
      </c>
      <c r="E37" s="385" t="s">
        <v>581</v>
      </c>
      <c r="F37" s="485"/>
    </row>
    <row r="38" spans="1:6" ht="22.5">
      <c r="A38" s="482" t="s">
        <v>577</v>
      </c>
      <c r="B38" s="483">
        <v>41950</v>
      </c>
      <c r="C38" s="484" t="str">
        <f t="shared" si="4"/>
        <v>COC - Calcultator v4.05.xlsm</v>
      </c>
      <c r="D38" s="385" t="s">
        <v>578</v>
      </c>
      <c r="E38" s="385" t="s">
        <v>578</v>
      </c>
      <c r="F38" s="485"/>
    </row>
    <row r="39" spans="1:6" ht="22.5">
      <c r="A39" s="482" t="s">
        <v>576</v>
      </c>
      <c r="B39" s="483">
        <v>41949</v>
      </c>
      <c r="C39" s="484" t="str">
        <f t="shared" si="4"/>
        <v>COC - Calcultator v4.04.xlsm</v>
      </c>
      <c r="D39" s="385" t="s">
        <v>579</v>
      </c>
      <c r="E39" s="385" t="s">
        <v>579</v>
      </c>
      <c r="F39" s="485"/>
    </row>
    <row r="40" spans="1:6" ht="45">
      <c r="A40" s="482" t="s">
        <v>574</v>
      </c>
      <c r="B40" s="483">
        <v>41949</v>
      </c>
      <c r="C40" s="484" t="str">
        <f t="shared" si="4"/>
        <v>COC - Calcultator v4.03.xlsm</v>
      </c>
      <c r="D40" s="385" t="s">
        <v>575</v>
      </c>
      <c r="E40" s="385" t="s">
        <v>575</v>
      </c>
      <c r="F40" s="485"/>
    </row>
    <row r="41" spans="1:6" ht="67.5">
      <c r="A41" s="482" t="s">
        <v>569</v>
      </c>
      <c r="B41" s="483">
        <v>41942</v>
      </c>
      <c r="C41" s="484" t="str">
        <f t="shared" si="4"/>
        <v>COC - Calcultator v4.02.xlsm</v>
      </c>
      <c r="D41" s="385" t="s">
        <v>571</v>
      </c>
      <c r="E41" s="385" t="s">
        <v>571</v>
      </c>
      <c r="F41" s="485"/>
    </row>
    <row r="42" spans="1:6">
      <c r="A42" s="482" t="s">
        <v>568</v>
      </c>
      <c r="B42" s="483">
        <v>41940</v>
      </c>
      <c r="C42" s="484" t="str">
        <f t="shared" si="4"/>
        <v>COC - Calcultator v4.01.xlsm</v>
      </c>
      <c r="D42" s="385" t="s">
        <v>570</v>
      </c>
      <c r="E42" s="385" t="s">
        <v>570</v>
      </c>
      <c r="F42" s="485"/>
    </row>
    <row r="43" spans="1:6" ht="78.75">
      <c r="A43" s="482" t="s">
        <v>567</v>
      </c>
      <c r="B43" s="483">
        <v>41940</v>
      </c>
      <c r="C43" s="484" t="str">
        <f>"COC - Calcultator " &amp; A43 &amp; ".xlsm"</f>
        <v>COC - Calcultator v4.00.xlsm</v>
      </c>
      <c r="D43" s="385" t="s">
        <v>609</v>
      </c>
      <c r="E43" s="385" t="s">
        <v>572</v>
      </c>
      <c r="F43" s="485"/>
    </row>
    <row r="44" spans="1:6" ht="56.25">
      <c r="A44" s="482" t="s">
        <v>550</v>
      </c>
      <c r="B44" s="483">
        <v>41514</v>
      </c>
      <c r="C44" s="484" t="str">
        <f>"COC - Calcultator " &amp; A44 &amp; ".xlsm"</f>
        <v>COC - Calcultator v2.00.xlsm</v>
      </c>
      <c r="D44" s="444" t="s">
        <v>552</v>
      </c>
      <c r="E44" s="385" t="s">
        <v>551</v>
      </c>
      <c r="F44" s="485"/>
    </row>
    <row r="45" spans="1:6" ht="56.25">
      <c r="A45" s="482" t="s">
        <v>543</v>
      </c>
      <c r="B45" s="483">
        <v>41502</v>
      </c>
      <c r="C45" s="484" t="str">
        <f t="shared" ref="C45:C51" si="5">"COC - Calcultator " &amp; A45 &amp; ".xlsm"</f>
        <v>COC - Calcultator v1.91.xlsm</v>
      </c>
      <c r="D45" s="444" t="s">
        <v>545</v>
      </c>
      <c r="E45" s="385" t="s">
        <v>544</v>
      </c>
      <c r="F45" s="684"/>
    </row>
    <row r="46" spans="1:6" ht="22.5">
      <c r="A46" s="482" t="s">
        <v>537</v>
      </c>
      <c r="B46" s="483">
        <v>41498</v>
      </c>
      <c r="C46" s="484" t="str">
        <f t="shared" si="5"/>
        <v>COC - Calcultator v1.90.xlsm</v>
      </c>
      <c r="D46" s="444" t="s">
        <v>541</v>
      </c>
      <c r="E46" s="385" t="s">
        <v>542</v>
      </c>
      <c r="F46" s="485"/>
    </row>
    <row r="47" spans="1:6" ht="33.75">
      <c r="A47" s="482" t="s">
        <v>533</v>
      </c>
      <c r="B47" s="483">
        <v>41481</v>
      </c>
      <c r="C47" s="484" t="str">
        <f t="shared" si="5"/>
        <v>COC - Calcultator v1.82.xlsm</v>
      </c>
      <c r="D47" s="444" t="s">
        <v>546</v>
      </c>
      <c r="E47" s="385" t="s">
        <v>534</v>
      </c>
      <c r="F47" s="485"/>
    </row>
    <row r="48" spans="1:6" ht="33.75">
      <c r="A48" s="482" t="s">
        <v>513</v>
      </c>
      <c r="B48" s="483">
        <v>41479</v>
      </c>
      <c r="C48" s="484" t="str">
        <f t="shared" si="5"/>
        <v>COC - Calcultator v1.81.xlsm</v>
      </c>
      <c r="D48" s="444" t="s">
        <v>516</v>
      </c>
      <c r="E48" s="385" t="s">
        <v>515</v>
      </c>
      <c r="F48" s="485"/>
    </row>
    <row r="49" spans="1:6">
      <c r="A49" s="482" t="s">
        <v>505</v>
      </c>
      <c r="B49" s="483">
        <v>41479</v>
      </c>
      <c r="C49" s="484" t="str">
        <f t="shared" si="5"/>
        <v>COC - Calcultator v1.80.xlsm</v>
      </c>
      <c r="D49" s="444" t="s">
        <v>507</v>
      </c>
      <c r="E49" s="385" t="s">
        <v>506</v>
      </c>
      <c r="F49" s="485"/>
    </row>
    <row r="50" spans="1:6" ht="67.5">
      <c r="A50" s="486" t="s">
        <v>459</v>
      </c>
      <c r="B50" s="487">
        <v>41471</v>
      </c>
      <c r="C50" s="488" t="str">
        <f t="shared" si="5"/>
        <v>COC - Calcultator v1.71.xlsm</v>
      </c>
      <c r="D50" s="384" t="s">
        <v>547</v>
      </c>
      <c r="E50" s="384" t="s">
        <v>460</v>
      </c>
      <c r="F50" s="485"/>
    </row>
    <row r="51" spans="1:6" ht="67.5">
      <c r="A51" s="482" t="s">
        <v>424</v>
      </c>
      <c r="B51" s="483">
        <v>41467</v>
      </c>
      <c r="C51" s="484" t="str">
        <f t="shared" si="5"/>
        <v>COC - Calcultator v1.70.xlsm</v>
      </c>
      <c r="D51" s="385" t="s">
        <v>450</v>
      </c>
      <c r="E51" s="385" t="s">
        <v>449</v>
      </c>
      <c r="F51" s="485"/>
    </row>
    <row r="52" spans="1:6" ht="22.5">
      <c r="A52" s="482" t="s">
        <v>166</v>
      </c>
      <c r="B52" s="483">
        <v>41464</v>
      </c>
      <c r="C52" s="484" t="str">
        <f>"COC - Calcultator " &amp; A52 &amp; ".xlsx"</f>
        <v>COC - Calcultator v1.61.xlsx</v>
      </c>
      <c r="D52" s="385" t="s">
        <v>444</v>
      </c>
      <c r="E52" s="385" t="s">
        <v>360</v>
      </c>
      <c r="F52" s="485"/>
    </row>
    <row r="53" spans="1:6" ht="90">
      <c r="A53" s="482" t="s">
        <v>167</v>
      </c>
      <c r="B53" s="483">
        <v>41463</v>
      </c>
      <c r="C53" s="484" t="str">
        <f>"COC - Calcultator " &amp; A53 &amp; ".xlsx"</f>
        <v>COC - Calcultator v1.60.xlsx</v>
      </c>
      <c r="D53" s="385" t="s">
        <v>438</v>
      </c>
      <c r="E53" s="385" t="s">
        <v>437</v>
      </c>
      <c r="F53" s="485"/>
    </row>
    <row r="54" spans="1:6" ht="78.75">
      <c r="A54" s="482" t="s">
        <v>168</v>
      </c>
      <c r="B54" s="483">
        <v>41457</v>
      </c>
      <c r="C54" s="484" t="str">
        <f>"COC - Calcultator " &amp; A54 &amp; ".xlsx"</f>
        <v>COC - Calcultator v1.50.xlsx</v>
      </c>
      <c r="D54" s="385" t="s">
        <v>445</v>
      </c>
      <c r="E54" s="385" t="s">
        <v>443</v>
      </c>
      <c r="F54" s="485"/>
    </row>
    <row r="55" spans="1:6">
      <c r="A55" s="482" t="s">
        <v>538</v>
      </c>
      <c r="B55" s="483">
        <v>41452</v>
      </c>
      <c r="C55" s="484" t="str">
        <f>"COC - Cost &amp; Time Calcultator " &amp; A55 &amp; ".xlsx"</f>
        <v>COC - Cost &amp; Time Calcultator v1.41 - FR.xlsx</v>
      </c>
      <c r="D55" s="385" t="s">
        <v>540</v>
      </c>
      <c r="E55" s="385" t="s">
        <v>539</v>
      </c>
      <c r="F55" s="485"/>
    </row>
    <row r="56" spans="1:6" ht="33.75">
      <c r="A56" s="482" t="s">
        <v>145</v>
      </c>
      <c r="B56" s="483">
        <v>41452</v>
      </c>
      <c r="C56" s="484" t="str">
        <f>"COC - Cost &amp; Time Calcultator " &amp; A56 &amp; ".xlsx"</f>
        <v>COC - Cost &amp; Time Calcultator v1.41.xlsx</v>
      </c>
      <c r="D56" s="385" t="s">
        <v>440</v>
      </c>
      <c r="E56" s="385" t="s">
        <v>441</v>
      </c>
      <c r="F56" s="485"/>
    </row>
    <row r="57" spans="1:6" ht="78.75">
      <c r="A57" s="482" t="s">
        <v>169</v>
      </c>
      <c r="B57" s="483">
        <v>41452</v>
      </c>
      <c r="C57" s="484" t="str">
        <f>"COC - Cost &amp; Time Calcultator " &amp; A57 &amp; ".xlsx"</f>
        <v>COC - Cost &amp; Time Calcultator v1.40.xlsx</v>
      </c>
      <c r="D57" s="385" t="s">
        <v>548</v>
      </c>
      <c r="E57" s="385" t="s">
        <v>442</v>
      </c>
      <c r="F57" s="485"/>
    </row>
    <row r="58" spans="1:6" ht="45">
      <c r="A58" s="482" t="s">
        <v>144</v>
      </c>
      <c r="B58" s="483">
        <v>41451</v>
      </c>
      <c r="C58" s="484" t="str">
        <f t="shared" ref="C58:C65" si="6">"COC - Cost &amp; Time Calcultator " &amp; A58 &amp; ".xlsx"</f>
        <v>COC - Cost &amp; Time Calcultator v1.31.xlsx</v>
      </c>
      <c r="D58" s="385" t="s">
        <v>434</v>
      </c>
      <c r="E58" s="385" t="s">
        <v>436</v>
      </c>
      <c r="F58" s="485"/>
    </row>
    <row r="59" spans="1:6" ht="67.5">
      <c r="A59" s="482" t="s">
        <v>170</v>
      </c>
      <c r="B59" s="483">
        <v>41450</v>
      </c>
      <c r="C59" s="484" t="str">
        <f>"COC - Cost &amp; Time Calcultator " &amp; A59 &amp; ".xlsx"</f>
        <v>COC - Cost &amp; Time Calcultator v1.30.xlsx</v>
      </c>
      <c r="D59" s="385" t="s">
        <v>549</v>
      </c>
      <c r="E59" s="385" t="s">
        <v>429</v>
      </c>
      <c r="F59" s="485"/>
    </row>
    <row r="60" spans="1:6">
      <c r="A60" s="482" t="s">
        <v>143</v>
      </c>
      <c r="B60" s="483">
        <v>41450</v>
      </c>
      <c r="C60" s="484" t="str">
        <f>"COC - Cost &amp; Time Calcultator " &amp; A60 &amp; ".xlsx"</f>
        <v>COC - Cost &amp; Time Calcultator v1.23.xlsx</v>
      </c>
      <c r="D60" s="385" t="s">
        <v>115</v>
      </c>
      <c r="E60" s="385" t="s">
        <v>430</v>
      </c>
      <c r="F60" s="485"/>
    </row>
    <row r="61" spans="1:6">
      <c r="A61" s="482" t="s">
        <v>142</v>
      </c>
      <c r="B61" s="483">
        <v>41449</v>
      </c>
      <c r="C61" s="484" t="str">
        <f t="shared" si="6"/>
        <v>COC - Cost &amp; Time Calcultator v1.22.xlsx</v>
      </c>
      <c r="D61" s="385" t="s">
        <v>99</v>
      </c>
      <c r="E61" s="385" t="s">
        <v>428</v>
      </c>
      <c r="F61" s="485"/>
    </row>
    <row r="62" spans="1:6" ht="33.75">
      <c r="A62" s="482" t="s">
        <v>141</v>
      </c>
      <c r="B62" s="483">
        <v>41446</v>
      </c>
      <c r="C62" s="484" t="str">
        <f t="shared" si="6"/>
        <v>COC - Cost &amp; Time Calcultator v1.21.xlsx</v>
      </c>
      <c r="D62" s="385" t="s">
        <v>116</v>
      </c>
      <c r="E62" s="385" t="s">
        <v>427</v>
      </c>
      <c r="F62" s="485"/>
    </row>
    <row r="63" spans="1:6" ht="33.75">
      <c r="A63" s="482" t="s">
        <v>171</v>
      </c>
      <c r="B63" s="483">
        <v>41445</v>
      </c>
      <c r="C63" s="484" t="str">
        <f t="shared" si="6"/>
        <v>COC - Cost &amp; Time Calcultator v1.20.xlsx</v>
      </c>
      <c r="D63" s="385" t="s">
        <v>117</v>
      </c>
      <c r="E63" s="385" t="s">
        <v>435</v>
      </c>
      <c r="F63" s="485"/>
    </row>
    <row r="64" spans="1:6" ht="33.75">
      <c r="A64" s="482" t="s">
        <v>172</v>
      </c>
      <c r="B64" s="483">
        <v>41444</v>
      </c>
      <c r="C64" s="484" t="str">
        <f t="shared" si="6"/>
        <v>COC - Cost &amp; Time Calcultator v1.10.xlsx</v>
      </c>
      <c r="D64" s="385" t="s">
        <v>446</v>
      </c>
      <c r="E64" s="385" t="s">
        <v>431</v>
      </c>
      <c r="F64" s="485"/>
    </row>
    <row r="65" spans="1:6">
      <c r="A65" s="482" t="s">
        <v>140</v>
      </c>
      <c r="B65" s="483">
        <v>41443</v>
      </c>
      <c r="C65" s="484" t="str">
        <f t="shared" si="6"/>
        <v>COC - Cost &amp; Time Calcultator v1.01.xlsx</v>
      </c>
      <c r="D65" s="385" t="s">
        <v>433</v>
      </c>
      <c r="E65" s="385" t="s">
        <v>432</v>
      </c>
      <c r="F65" s="485"/>
    </row>
    <row r="66" spans="1:6" ht="12" thickBot="1">
      <c r="A66" s="489" t="s">
        <v>173</v>
      </c>
      <c r="B66" s="490">
        <v>41443</v>
      </c>
      <c r="C66" s="491" t="str">
        <f>"COC - Cost &amp; Time Calcultator " &amp; A66 &amp; ".xlsx"</f>
        <v>COC - Cost &amp; Time Calcultator v1.00.xlsx</v>
      </c>
      <c r="D66" s="492" t="s">
        <v>98</v>
      </c>
      <c r="E66" s="492" t="s">
        <v>426</v>
      </c>
      <c r="F66" s="485"/>
    </row>
  </sheetData>
  <sheetProtection selectLockedCells="1"/>
  <mergeCells count="1">
    <mergeCell ref="A1:F1"/>
  </mergeCells>
  <hyperlinks>
    <hyperlink ref="F7" r:id="rId1"/>
    <hyperlink ref="F6" r:id="rId2"/>
    <hyperlink ref="F13" r:id="rId3"/>
    <hyperlink ref="F3" r:id="rId4"/>
  </hyperlinks>
  <pageMargins left="0.7" right="0.7" top="0.75" bottom="0.75" header="0.3" footer="0.3"/>
  <pageSetup paperSize="9" orientation="portrait" r:id="rId5"/>
  <tableParts count="1">
    <tablePart r:id="rId6"/>
  </tableParts>
</worksheet>
</file>

<file path=xl/worksheets/sheet20.xml><?xml version="1.0" encoding="utf-8"?>
<worksheet xmlns="http://schemas.openxmlformats.org/spreadsheetml/2006/main" xmlns:r="http://schemas.openxmlformats.org/officeDocument/2006/relationships">
  <sheetPr codeName="Feuil20">
    <tabColor rgb="FF7030A0"/>
  </sheetPr>
  <dimension ref="A1:AN119"/>
  <sheetViews>
    <sheetView zoomScaleNormal="100" workbookViewId="0">
      <pane ySplit="12" topLeftCell="A58" activePane="bottomLeft" state="frozen"/>
      <selection pane="bottomLeft" activeCell="L62" sqref="L62"/>
    </sheetView>
  </sheetViews>
  <sheetFormatPr baseColWidth="10" defaultRowHeight="15"/>
  <cols>
    <col min="1" max="1" width="7.7109375" bestFit="1" customWidth="1"/>
    <col min="2" max="2" width="8.42578125" bestFit="1" customWidth="1"/>
    <col min="3" max="3" width="9.7109375" bestFit="1" customWidth="1"/>
    <col min="4" max="4" width="8.5703125" bestFit="1" customWidth="1"/>
    <col min="5" max="5" width="7.7109375" bestFit="1" customWidth="1"/>
    <col min="6" max="6" width="8.42578125" bestFit="1" customWidth="1"/>
    <col min="7" max="7" width="9.7109375" bestFit="1" customWidth="1"/>
    <col min="8" max="8" width="8.5703125" bestFit="1" customWidth="1"/>
    <col min="9" max="9" width="7.7109375" bestFit="1" customWidth="1"/>
    <col min="10" max="10" width="8.42578125" bestFit="1" customWidth="1"/>
    <col min="11" max="11" width="9.7109375" bestFit="1" customWidth="1"/>
    <col min="12" max="12" width="8.5703125" bestFit="1" customWidth="1"/>
    <col min="13" max="13" width="7.7109375" bestFit="1" customWidth="1"/>
    <col min="14" max="14" width="8.42578125" bestFit="1" customWidth="1"/>
    <col min="15" max="15" width="9.7109375" bestFit="1" customWidth="1"/>
    <col min="16" max="16" width="8.5703125" bestFit="1" customWidth="1"/>
    <col min="17" max="17" width="7.7109375" bestFit="1" customWidth="1"/>
    <col min="18" max="18" width="8.42578125" bestFit="1" customWidth="1"/>
    <col min="19" max="19" width="9.7109375" bestFit="1" customWidth="1"/>
    <col min="20" max="20" width="8.5703125" bestFit="1" customWidth="1"/>
    <col min="21" max="21" width="7.7109375" bestFit="1" customWidth="1"/>
    <col min="22" max="22" width="8.42578125" bestFit="1" customWidth="1"/>
    <col min="23" max="23" width="9.7109375" bestFit="1" customWidth="1"/>
    <col min="24" max="24" width="8.5703125" bestFit="1" customWidth="1"/>
    <col min="25" max="25" width="7.7109375" bestFit="1" customWidth="1"/>
    <col min="26" max="26" width="8.42578125" bestFit="1" customWidth="1"/>
    <col min="27" max="28" width="9.7109375" bestFit="1" customWidth="1"/>
    <col min="29" max="29" width="8.5703125" bestFit="1" customWidth="1"/>
    <col min="30" max="30" width="8.42578125" bestFit="1" customWidth="1"/>
    <col min="31" max="32" width="9.7109375" bestFit="1" customWidth="1"/>
    <col min="33" max="33" width="8.5703125" bestFit="1" customWidth="1"/>
    <col min="34" max="34" width="8.42578125" bestFit="1" customWidth="1"/>
    <col min="35" max="35" width="9.7109375" bestFit="1" customWidth="1"/>
    <col min="36" max="36" width="8.5703125" bestFit="1" customWidth="1"/>
    <col min="37" max="37" width="7.7109375" bestFit="1" customWidth="1"/>
    <col min="38" max="38" width="8.42578125" bestFit="1" customWidth="1"/>
    <col min="39" max="39" width="9.7109375" bestFit="1" customWidth="1"/>
    <col min="40" max="40" width="8.5703125" bestFit="1" customWidth="1"/>
    <col min="41" max="16384" width="11.42578125" style="758"/>
  </cols>
  <sheetData>
    <row r="1" spans="1:40" ht="15.75" thickBot="1">
      <c r="A1" s="749"/>
      <c r="B1" s="749"/>
      <c r="C1" s="749"/>
      <c r="D1" s="749"/>
      <c r="E1" s="749"/>
      <c r="F1" s="749"/>
      <c r="G1" s="749"/>
      <c r="H1" s="749"/>
      <c r="I1" s="749"/>
      <c r="J1" s="749"/>
      <c r="K1" s="749"/>
      <c r="L1" s="749"/>
      <c r="M1" s="749"/>
      <c r="N1" s="749"/>
      <c r="O1" s="749"/>
      <c r="P1" s="749"/>
      <c r="Q1" s="749"/>
      <c r="R1" s="749"/>
      <c r="S1" s="749"/>
      <c r="T1" s="749"/>
      <c r="U1" s="749"/>
      <c r="V1" s="749"/>
      <c r="W1" s="749"/>
      <c r="X1" s="749"/>
      <c r="Y1" s="749"/>
      <c r="Z1" s="749"/>
      <c r="AA1" s="749"/>
      <c r="AB1" s="749"/>
      <c r="AC1" s="749"/>
      <c r="AD1" s="749"/>
      <c r="AE1" s="749"/>
      <c r="AF1" s="749"/>
      <c r="AG1" s="749"/>
      <c r="AH1" s="749"/>
      <c r="AI1" s="749"/>
      <c r="AJ1" s="749"/>
      <c r="AK1" s="749"/>
      <c r="AL1" s="749"/>
      <c r="AM1" s="749"/>
      <c r="AN1" s="749"/>
    </row>
    <row r="2" spans="1:40" ht="15.75" customHeight="1">
      <c r="A2" s="749"/>
      <c r="B2" s="749"/>
      <c r="C2" s="563"/>
      <c r="D2" s="1324" t="s">
        <v>690</v>
      </c>
      <c r="E2" s="1325"/>
      <c r="F2" s="1325"/>
      <c r="G2" s="1325"/>
      <c r="H2" s="1326"/>
      <c r="I2" s="174">
        <f>SUM(VALUE_Spell_Lightning[Total],VALUE_Spell_Healing[Total],VALUE_Spell_Rage[Total],VALUE_Spell_Jump[Total],VALUE_Spell_Freeze[Total])</f>
        <v>0</v>
      </c>
      <c r="J2" s="749"/>
      <c r="K2" s="749"/>
      <c r="L2" s="749"/>
      <c r="M2" s="749"/>
      <c r="N2" s="749"/>
      <c r="O2" s="749"/>
      <c r="P2" s="749"/>
      <c r="Q2" s="749"/>
      <c r="R2" s="749"/>
      <c r="S2" s="749"/>
      <c r="T2" s="749"/>
      <c r="U2" s="749"/>
      <c r="V2" s="749"/>
      <c r="W2" s="749"/>
      <c r="X2" s="749"/>
      <c r="Y2" s="749"/>
      <c r="Z2" s="749"/>
      <c r="AA2" s="749"/>
      <c r="AB2" s="749"/>
      <c r="AC2" s="749"/>
      <c r="AD2" s="749"/>
      <c r="AE2" s="749"/>
      <c r="AF2" s="749"/>
      <c r="AG2" s="749"/>
      <c r="AH2" s="749"/>
      <c r="AI2" s="749"/>
      <c r="AJ2" s="749"/>
      <c r="AK2" s="749"/>
      <c r="AL2" s="749"/>
      <c r="AM2" s="749"/>
      <c r="AN2" s="779"/>
    </row>
    <row r="3" spans="1:40" ht="15" customHeight="1" thickBot="1">
      <c r="A3" s="749"/>
      <c r="B3" s="749"/>
      <c r="C3" s="563"/>
      <c r="D3" s="1318" t="s">
        <v>726</v>
      </c>
      <c r="E3" s="1319"/>
      <c r="F3" s="1319"/>
      <c r="G3" s="1319"/>
      <c r="H3" s="1320"/>
      <c r="I3" s="175">
        <f>SUM(VALUE_Spell_Poison[Total],VALUE_Spell_Earthquake[Total],VALUE_Spell_Haste[Total])</f>
        <v>0</v>
      </c>
      <c r="J3" s="788"/>
      <c r="K3" s="749"/>
      <c r="L3" s="749"/>
      <c r="M3" s="749"/>
      <c r="N3" s="749"/>
      <c r="O3" s="749"/>
      <c r="P3" s="749"/>
      <c r="Q3" s="749"/>
      <c r="R3" s="749"/>
      <c r="S3" s="749"/>
      <c r="T3" s="749"/>
      <c r="U3" s="749"/>
      <c r="V3" s="749"/>
      <c r="W3" s="749"/>
      <c r="X3" s="749"/>
      <c r="Y3" s="749"/>
      <c r="Z3" s="749"/>
      <c r="AA3" s="749"/>
      <c r="AB3" s="749"/>
      <c r="AC3" s="749"/>
      <c r="AD3" s="749"/>
      <c r="AE3" s="749"/>
      <c r="AF3" s="749"/>
      <c r="AG3" s="749"/>
      <c r="AH3" s="749"/>
      <c r="AI3" s="749"/>
      <c r="AJ3" s="749"/>
      <c r="AK3" s="749"/>
      <c r="AL3" s="749"/>
      <c r="AM3" s="749"/>
      <c r="AN3" s="779"/>
    </row>
    <row r="4" spans="1:40" ht="15" customHeight="1" thickBot="1">
      <c r="A4" s="749"/>
      <c r="B4" s="749"/>
      <c r="C4" s="563"/>
      <c r="D4" s="1318" t="s">
        <v>694</v>
      </c>
      <c r="E4" s="1319"/>
      <c r="F4" s="1319"/>
      <c r="G4" s="1319"/>
      <c r="H4" s="1320"/>
      <c r="I4" s="175">
        <f>SUM(VALUE_Barbarian[Total],VALUE_Archer[Total],VALUE_Goblin[Total],VALUE_Giant[Total],VALUE_Wall_Breaker[Total],VALUE_Balloon[Total],VALUE_Wizard[Total],VALUE_Healer[Total],VALUE_Dragon[Total],VALUE_PEKKA[Total])</f>
        <v>0</v>
      </c>
      <c r="J4" s="788"/>
      <c r="K4" s="1282" t="s">
        <v>698</v>
      </c>
      <c r="L4" s="1284"/>
      <c r="M4" s="749"/>
      <c r="N4" s="749"/>
      <c r="O4" s="749"/>
      <c r="P4" s="749"/>
      <c r="Q4" s="749"/>
      <c r="R4" s="749"/>
      <c r="S4" s="749"/>
      <c r="T4" s="749"/>
      <c r="U4" s="749"/>
      <c r="V4" s="749"/>
      <c r="W4" s="749"/>
      <c r="X4" s="749"/>
      <c r="Y4" s="749"/>
      <c r="Z4" s="749"/>
      <c r="AA4" s="749"/>
      <c r="AB4" s="749"/>
      <c r="AC4" s="749"/>
      <c r="AD4" s="749"/>
      <c r="AE4" s="749"/>
      <c r="AF4" s="749"/>
      <c r="AG4" s="749"/>
      <c r="AH4" s="749"/>
      <c r="AI4" s="749"/>
      <c r="AJ4" s="749"/>
      <c r="AK4" s="749"/>
      <c r="AL4" s="779"/>
      <c r="AM4" s="779"/>
      <c r="AN4" s="779"/>
    </row>
    <row r="5" spans="1:40" ht="15" customHeight="1" thickBot="1">
      <c r="A5" s="749"/>
      <c r="B5" s="749"/>
      <c r="C5" s="563"/>
      <c r="D5" s="1318" t="s">
        <v>693</v>
      </c>
      <c r="E5" s="1319"/>
      <c r="F5" s="1319"/>
      <c r="G5" s="1319"/>
      <c r="H5" s="1320"/>
      <c r="I5" s="175">
        <f>SUM(VALUE_Minion[Total],VALUE_Hog_Rider[Total],VALUE_Valkyrie[Total],VALUE_Golem[Total],VALUE_Witch[Total],VALUE_Lava_Hound[Total])</f>
        <v>0</v>
      </c>
      <c r="J5" s="788"/>
      <c r="K5" s="1316">
        <f>SUM(I2:I11)</f>
        <v>0</v>
      </c>
      <c r="L5" s="1317"/>
      <c r="M5" s="749"/>
      <c r="N5" s="749"/>
      <c r="O5" s="749"/>
      <c r="P5" s="749"/>
      <c r="Q5" s="749"/>
      <c r="R5" s="749"/>
      <c r="S5" s="749"/>
      <c r="T5" s="749"/>
      <c r="U5" s="749"/>
      <c r="V5" s="749"/>
      <c r="W5" s="749"/>
      <c r="X5" s="749"/>
      <c r="Y5" s="749"/>
      <c r="Z5" s="749"/>
      <c r="AA5" s="749"/>
      <c r="AB5" s="749"/>
      <c r="AC5" s="749"/>
      <c r="AD5" s="749"/>
      <c r="AE5" s="749"/>
      <c r="AF5" s="749"/>
      <c r="AG5" s="749"/>
      <c r="AH5" s="749"/>
      <c r="AI5" s="749"/>
      <c r="AJ5" s="749"/>
      <c r="AK5" s="749"/>
      <c r="AL5" s="749"/>
      <c r="AM5" s="749"/>
      <c r="AN5" s="779"/>
    </row>
    <row r="6" spans="1:40" ht="15" customHeight="1">
      <c r="A6" s="749"/>
      <c r="B6" s="749"/>
      <c r="C6" s="563"/>
      <c r="D6" s="1318" t="s">
        <v>679</v>
      </c>
      <c r="E6" s="1319"/>
      <c r="F6" s="1319"/>
      <c r="G6" s="1319"/>
      <c r="H6" s="1320"/>
      <c r="I6" s="175">
        <f>SUM(VALUE_Gold_Mine[Total],VALUE_Dark_Elixir_Drill[Total],VALUE_Gold_Storage[Total],VALUE_Dark_Elixir_Storage[Total],VALUE_Elixir_Collector[Total],VALUE_Elixir_Storage[Total])</f>
        <v>0</v>
      </c>
      <c r="J6" s="788"/>
      <c r="K6" s="749"/>
      <c r="L6" s="749"/>
      <c r="M6" s="749"/>
      <c r="N6" s="749"/>
      <c r="O6" s="749"/>
      <c r="P6" s="749"/>
      <c r="Q6" s="749"/>
      <c r="R6" s="749"/>
      <c r="S6" s="749"/>
      <c r="T6" s="749"/>
      <c r="U6" s="749"/>
      <c r="V6" s="749"/>
      <c r="W6" s="749"/>
      <c r="X6" s="749"/>
      <c r="Y6" s="749"/>
      <c r="Z6" s="749"/>
      <c r="AA6" s="749"/>
      <c r="AB6" s="749"/>
      <c r="AC6" s="749"/>
      <c r="AD6" s="749"/>
      <c r="AE6" s="749"/>
      <c r="AF6" s="749"/>
      <c r="AG6" s="749"/>
      <c r="AH6" s="749"/>
      <c r="AI6" s="749"/>
      <c r="AJ6" s="749"/>
      <c r="AK6" s="749"/>
      <c r="AL6" s="749"/>
      <c r="AM6" s="749"/>
      <c r="AN6" s="779"/>
    </row>
    <row r="7" spans="1:40" ht="15" customHeight="1">
      <c r="A7" s="749"/>
      <c r="B7" s="749"/>
      <c r="C7" s="563"/>
      <c r="D7" s="1318" t="s">
        <v>680</v>
      </c>
      <c r="E7" s="1319"/>
      <c r="F7" s="1319"/>
      <c r="G7" s="1319"/>
      <c r="H7" s="1320"/>
      <c r="I7" s="175">
        <f>SUM(VALUE_Dark_Barrack[Total],VALUE_Barrack[Total],VALUE_Army_Camp[Total],VALUE_Laboratory[Total],VALUE_Spell_Factory[Total],VALUE_Dark_Spell_Factory[Total])</f>
        <v>0</v>
      </c>
      <c r="J7" s="788"/>
      <c r="K7" s="749"/>
      <c r="L7" s="749"/>
      <c r="M7" s="749"/>
      <c r="N7" s="749"/>
      <c r="O7" s="749"/>
      <c r="P7" s="749"/>
      <c r="Q7" s="749"/>
      <c r="R7" s="749"/>
      <c r="S7" s="749"/>
      <c r="T7" s="749"/>
      <c r="U7" s="749"/>
      <c r="V7" s="749"/>
      <c r="W7" s="749"/>
      <c r="X7" s="749"/>
      <c r="Y7" s="749"/>
      <c r="Z7" s="749"/>
      <c r="AA7" s="749"/>
      <c r="AB7" s="749"/>
      <c r="AC7" s="749"/>
      <c r="AD7" s="749"/>
      <c r="AE7" s="749"/>
      <c r="AF7" s="749"/>
      <c r="AG7" s="749"/>
      <c r="AH7" s="749"/>
      <c r="AI7" s="749"/>
      <c r="AJ7" s="749"/>
      <c r="AK7" s="749"/>
      <c r="AL7" s="749"/>
      <c r="AM7" s="749"/>
      <c r="AN7" s="779"/>
    </row>
    <row r="8" spans="1:40" ht="15" customHeight="1">
      <c r="A8" s="749"/>
      <c r="B8" s="749"/>
      <c r="C8" s="563"/>
      <c r="D8" s="1318" t="s">
        <v>683</v>
      </c>
      <c r="E8" s="1319"/>
      <c r="F8" s="1319"/>
      <c r="G8" s="1319"/>
      <c r="H8" s="1320"/>
      <c r="I8" s="175">
        <f>SUM(VALUE_Clan_Castle[Total],VALUE_Town_Home[Total])</f>
        <v>0</v>
      </c>
      <c r="J8" s="788"/>
      <c r="K8" s="749"/>
      <c r="L8" s="749"/>
      <c r="M8" s="749"/>
      <c r="N8" s="749"/>
      <c r="O8" s="749"/>
      <c r="P8" s="749"/>
      <c r="Q8" s="749"/>
      <c r="R8" s="749"/>
      <c r="S8" s="749"/>
      <c r="T8" s="749"/>
      <c r="U8" s="749"/>
      <c r="V8" s="749"/>
      <c r="W8" s="749"/>
      <c r="X8" s="749"/>
      <c r="Y8" s="749"/>
      <c r="Z8" s="749"/>
      <c r="AA8" s="749"/>
      <c r="AB8" s="749"/>
      <c r="AC8" s="749"/>
      <c r="AD8" s="749"/>
      <c r="AE8" s="749"/>
      <c r="AF8" s="749"/>
      <c r="AG8" s="749"/>
      <c r="AH8" s="749"/>
      <c r="AI8" s="749"/>
      <c r="AJ8" s="749"/>
      <c r="AK8" s="749"/>
      <c r="AL8" s="749"/>
      <c r="AM8" s="749"/>
      <c r="AN8" s="779"/>
    </row>
    <row r="9" spans="1:40" ht="15" customHeight="1">
      <c r="A9" s="749"/>
      <c r="B9" s="749"/>
      <c r="C9" s="563"/>
      <c r="D9" s="1318" t="s">
        <v>681</v>
      </c>
      <c r="E9" s="1319"/>
      <c r="F9" s="1319"/>
      <c r="G9" s="1319"/>
      <c r="H9" s="1320"/>
      <c r="I9" s="175">
        <f>SUM(VALUE_Wall[Total],VALUE_Cannon[Total],VALUE_Archer_Tower[Total],VALUE_Mortar[Total],VALUE_Air_Defense[Total],VALUE_Wizard_Tower[Total],VALUE_Air_Sweeper[Total],VALUE_Hidden_Tesla[Total],VALUE_XBow[Total],VALUE_Inferno_Tower[Total])</f>
        <v>0</v>
      </c>
      <c r="J9" s="788"/>
      <c r="K9" s="749"/>
      <c r="L9" s="749"/>
      <c r="M9" s="749"/>
      <c r="N9" s="749"/>
      <c r="O9" s="749"/>
      <c r="P9" s="749"/>
      <c r="Q9" s="749"/>
      <c r="R9" s="749"/>
      <c r="S9" s="749"/>
      <c r="T9" s="749"/>
      <c r="U9" s="749"/>
      <c r="V9" s="749"/>
      <c r="W9" s="749"/>
      <c r="X9" s="749"/>
      <c r="Y9" s="749"/>
      <c r="Z9" s="749"/>
      <c r="AA9" s="749"/>
      <c r="AB9" s="749"/>
      <c r="AC9" s="749"/>
      <c r="AD9" s="749"/>
      <c r="AE9" s="749"/>
      <c r="AF9" s="749"/>
      <c r="AG9" s="749"/>
      <c r="AH9" s="749"/>
      <c r="AI9" s="749"/>
      <c r="AJ9" s="749"/>
      <c r="AK9" s="749"/>
      <c r="AL9" s="749"/>
      <c r="AM9" s="749"/>
      <c r="AN9" s="779"/>
    </row>
    <row r="10" spans="1:40" ht="15.75" customHeight="1">
      <c r="A10" s="749"/>
      <c r="B10" s="749"/>
      <c r="C10" s="563"/>
      <c r="D10" s="1318" t="s">
        <v>682</v>
      </c>
      <c r="E10" s="1319"/>
      <c r="F10" s="1319"/>
      <c r="G10" s="1319"/>
      <c r="H10" s="1320"/>
      <c r="I10" s="175">
        <f>SUM(VALUE_Bomb[Total],VALUE_Spring_Trap[Total],VALUE_Giant_Bomb[Total],VALUE_Air_Bomb[Total],VALUE_Seeking_Air_Mine[Total],VALUE_Skeleton_Trap[Total])</f>
        <v>0</v>
      </c>
      <c r="J10" s="788"/>
      <c r="K10" s="749"/>
      <c r="L10" s="749"/>
      <c r="M10" s="749"/>
      <c r="N10" s="749"/>
      <c r="O10" s="749"/>
      <c r="P10" s="749"/>
      <c r="Q10" s="749"/>
      <c r="R10" s="749"/>
      <c r="S10" s="749"/>
      <c r="T10" s="749"/>
      <c r="U10" s="749"/>
      <c r="V10" s="749"/>
      <c r="W10" s="749"/>
      <c r="X10" s="749"/>
      <c r="Y10" s="749"/>
      <c r="Z10" s="749"/>
      <c r="AA10" s="749"/>
      <c r="AB10" s="749"/>
      <c r="AC10" s="749"/>
      <c r="AD10" s="749"/>
      <c r="AE10" s="749"/>
      <c r="AF10" s="749"/>
      <c r="AG10" s="749"/>
      <c r="AH10" s="749"/>
      <c r="AI10" s="749"/>
      <c r="AJ10" s="749"/>
      <c r="AK10" s="749"/>
      <c r="AL10" s="749"/>
      <c r="AM10" s="749"/>
      <c r="AN10" s="779"/>
    </row>
    <row r="11" spans="1:40" ht="15.75" customHeight="1" thickBot="1">
      <c r="A11" s="749"/>
      <c r="B11" s="749"/>
      <c r="C11" s="563"/>
      <c r="D11" s="1321" t="s">
        <v>684</v>
      </c>
      <c r="E11" s="1322"/>
      <c r="F11" s="1322"/>
      <c r="G11" s="1322"/>
      <c r="H11" s="1323"/>
      <c r="I11" s="460">
        <f>SUM(VALUE_Barbarian_King[Total],VALUE_Archer_Queen[Total])</f>
        <v>0</v>
      </c>
      <c r="J11" s="788"/>
      <c r="K11" s="749"/>
      <c r="L11" s="749"/>
      <c r="M11" s="749"/>
      <c r="N11" s="749"/>
      <c r="O11" s="749"/>
      <c r="P11" s="749"/>
      <c r="Q11" s="749"/>
      <c r="R11" s="749"/>
      <c r="S11" s="749"/>
      <c r="T11" s="749"/>
      <c r="U11" s="749"/>
      <c r="V11" s="749"/>
      <c r="W11" s="749"/>
      <c r="X11" s="749"/>
      <c r="Y11" s="749"/>
      <c r="Z11" s="749"/>
      <c r="AA11" s="749"/>
      <c r="AB11" s="749"/>
      <c r="AC11" s="749"/>
      <c r="AD11" s="749"/>
      <c r="AE11" s="749"/>
      <c r="AF11" s="749"/>
      <c r="AG11" s="749"/>
      <c r="AH11" s="749"/>
      <c r="AI11" s="749"/>
      <c r="AJ11" s="749"/>
      <c r="AK11" s="749"/>
      <c r="AL11" s="749"/>
      <c r="AM11" s="749"/>
      <c r="AN11" s="779"/>
    </row>
    <row r="12" spans="1:40" ht="15.75" thickBot="1">
      <c r="A12" s="749"/>
      <c r="B12" s="749"/>
      <c r="C12" s="749"/>
      <c r="D12" s="749"/>
      <c r="E12" s="749"/>
      <c r="F12" s="749"/>
      <c r="G12" s="749"/>
      <c r="H12" s="749"/>
      <c r="I12" s="749"/>
      <c r="J12" s="749"/>
      <c r="K12" s="749"/>
      <c r="L12" s="749"/>
      <c r="M12" s="749"/>
      <c r="N12" s="749"/>
      <c r="O12" s="749"/>
      <c r="P12" s="749"/>
      <c r="Q12" s="749"/>
      <c r="R12" s="749"/>
      <c r="S12" s="749"/>
      <c r="T12" s="749"/>
      <c r="U12" s="749"/>
      <c r="V12" s="749"/>
      <c r="W12" s="749"/>
      <c r="X12" s="749"/>
      <c r="Y12" s="749"/>
      <c r="Z12" s="749"/>
      <c r="AA12" s="749"/>
      <c r="AB12" s="749"/>
      <c r="AC12" s="749"/>
      <c r="AD12" s="749"/>
      <c r="AE12" s="749"/>
      <c r="AF12" s="749"/>
      <c r="AG12" s="749"/>
      <c r="AH12" s="749"/>
      <c r="AI12" s="749"/>
      <c r="AJ12" s="749"/>
      <c r="AK12" s="749"/>
      <c r="AL12" s="749"/>
      <c r="AM12" s="749"/>
      <c r="AN12" s="749"/>
    </row>
    <row r="13" spans="1:40" ht="19.5" customHeight="1" thickBot="1">
      <c r="A13" s="1272" t="s">
        <v>690</v>
      </c>
      <c r="B13" s="1273"/>
      <c r="C13" s="1273"/>
      <c r="D13" s="1273"/>
      <c r="E13" s="1273"/>
      <c r="F13" s="1273"/>
      <c r="G13" s="1273"/>
      <c r="H13" s="1273"/>
      <c r="I13" s="1273"/>
      <c r="J13" s="1273"/>
      <c r="K13" s="1273"/>
      <c r="L13" s="1273"/>
      <c r="M13" s="1273"/>
      <c r="N13" s="1273"/>
      <c r="O13" s="1273"/>
      <c r="P13" s="1273"/>
      <c r="Q13" s="1273"/>
      <c r="R13" s="1273"/>
      <c r="S13" s="1273"/>
      <c r="T13" s="1274"/>
      <c r="U13" s="749"/>
      <c r="V13" s="749"/>
      <c r="W13" s="749"/>
      <c r="X13" s="749"/>
      <c r="Y13" s="749"/>
      <c r="Z13" s="749"/>
      <c r="AA13" s="749"/>
      <c r="AB13" s="749"/>
      <c r="AC13" s="749"/>
      <c r="AD13" s="749"/>
      <c r="AE13" s="749"/>
      <c r="AF13" s="749"/>
      <c r="AG13" s="749"/>
      <c r="AH13" s="749"/>
      <c r="AI13" s="749"/>
      <c r="AJ13" s="749"/>
      <c r="AK13" s="749"/>
      <c r="AL13" s="749"/>
      <c r="AM13" s="749"/>
      <c r="AN13" s="749"/>
    </row>
    <row r="14" spans="1:40" ht="15.75" customHeight="1" thickBot="1">
      <c r="A14" s="1282" t="s">
        <v>190</v>
      </c>
      <c r="B14" s="1283"/>
      <c r="C14" s="1283"/>
      <c r="D14" s="1284"/>
      <c r="E14" s="1282" t="s">
        <v>191</v>
      </c>
      <c r="F14" s="1283"/>
      <c r="G14" s="1283"/>
      <c r="H14" s="1284"/>
      <c r="I14" s="1282" t="s">
        <v>192</v>
      </c>
      <c r="J14" s="1283"/>
      <c r="K14" s="1283"/>
      <c r="L14" s="1284"/>
      <c r="M14" s="1282" t="s">
        <v>193</v>
      </c>
      <c r="N14" s="1283"/>
      <c r="O14" s="1283"/>
      <c r="P14" s="1284"/>
      <c r="Q14" s="1282" t="s">
        <v>194</v>
      </c>
      <c r="R14" s="1283"/>
      <c r="S14" s="1283"/>
      <c r="T14" s="1284"/>
      <c r="U14" s="749"/>
      <c r="V14" s="749"/>
      <c r="W14" s="749"/>
      <c r="X14" s="749"/>
      <c r="Y14" s="749"/>
      <c r="Z14" s="749"/>
      <c r="AA14" s="749"/>
      <c r="AB14" s="749"/>
      <c r="AC14" s="749"/>
      <c r="AD14" s="749"/>
      <c r="AE14" s="749"/>
      <c r="AF14" s="749"/>
      <c r="AG14" s="749"/>
      <c r="AH14" s="749"/>
      <c r="AI14" s="749"/>
      <c r="AJ14" s="749"/>
      <c r="AK14" s="749"/>
      <c r="AL14" s="749"/>
      <c r="AM14" s="749"/>
      <c r="AN14" s="749"/>
    </row>
    <row r="15" spans="1:40" ht="15.75" thickBot="1">
      <c r="A15" s="177" t="s">
        <v>17</v>
      </c>
      <c r="B15" s="462" t="s">
        <v>697</v>
      </c>
      <c r="C15" s="463" t="s">
        <v>678</v>
      </c>
      <c r="D15" s="464" t="s">
        <v>31</v>
      </c>
      <c r="E15" s="177" t="s">
        <v>17</v>
      </c>
      <c r="F15" s="462" t="s">
        <v>697</v>
      </c>
      <c r="G15" s="463" t="s">
        <v>678</v>
      </c>
      <c r="H15" s="464" t="s">
        <v>31</v>
      </c>
      <c r="I15" s="177" t="s">
        <v>17</v>
      </c>
      <c r="J15" s="462" t="s">
        <v>697</v>
      </c>
      <c r="K15" s="463" t="s">
        <v>678</v>
      </c>
      <c r="L15" s="464" t="s">
        <v>31</v>
      </c>
      <c r="M15" s="177" t="s">
        <v>17</v>
      </c>
      <c r="N15" s="462" t="s">
        <v>697</v>
      </c>
      <c r="O15" s="463" t="s">
        <v>678</v>
      </c>
      <c r="P15" s="464" t="s">
        <v>31</v>
      </c>
      <c r="Q15" s="177" t="s">
        <v>17</v>
      </c>
      <c r="R15" s="462" t="s">
        <v>697</v>
      </c>
      <c r="S15" s="463" t="s">
        <v>678</v>
      </c>
      <c r="T15" s="464" t="s">
        <v>31</v>
      </c>
      <c r="U15" s="156"/>
      <c r="V15" s="749"/>
      <c r="W15" s="749"/>
      <c r="X15" s="749"/>
      <c r="Y15" s="749"/>
      <c r="Z15" s="749"/>
      <c r="AA15" s="749"/>
      <c r="AB15" s="749"/>
      <c r="AC15" s="749"/>
      <c r="AD15" s="749"/>
      <c r="AE15" s="749"/>
      <c r="AF15" s="749"/>
      <c r="AG15" s="749"/>
      <c r="AH15" s="749"/>
      <c r="AI15" s="749"/>
      <c r="AJ15" s="749"/>
      <c r="AK15" s="749"/>
      <c r="AL15" s="749"/>
      <c r="AM15" s="749"/>
      <c r="AN15" s="749"/>
    </row>
    <row r="16" spans="1:40">
      <c r="A16" s="905">
        <v>1</v>
      </c>
      <c r="B16" s="631">
        <f>Paramètres!AG6</f>
        <v>0</v>
      </c>
      <c r="C16" s="751">
        <v>100</v>
      </c>
      <c r="D16" s="174">
        <f>VALUE_Spell_Lightning[[#This Row],[Valeur]]*VALUE_Spell_Lightning[[#This Row],[Rang]]</f>
        <v>0</v>
      </c>
      <c r="E16" s="746">
        <v>1</v>
      </c>
      <c r="F16" s="631">
        <f>Paramètres!AH6</f>
        <v>0</v>
      </c>
      <c r="G16" s="751">
        <v>200</v>
      </c>
      <c r="H16" s="633">
        <f>VALUE_Spell_Healing[[#This Row],[Valeur]]*VALUE_Spell_Healing[[#This Row],[Rang]]</f>
        <v>0</v>
      </c>
      <c r="I16" s="741">
        <v>1</v>
      </c>
      <c r="J16" s="631">
        <f>Paramètres!AI6</f>
        <v>0</v>
      </c>
      <c r="K16" s="751">
        <v>100</v>
      </c>
      <c r="L16" s="633">
        <f>VALUE_Spell_Rage[[#This Row],[Valeur]]*VALUE_Spell_Rage[[#This Row],[Rang]]</f>
        <v>0</v>
      </c>
      <c r="M16" s="741">
        <v>1</v>
      </c>
      <c r="N16" s="631">
        <f>Paramètres!AJ6</f>
        <v>0</v>
      </c>
      <c r="O16" s="751">
        <v>100</v>
      </c>
      <c r="P16" s="633">
        <f>VALUE_Spell_Jump[[#This Row],[Valeur]]*VALUE_Spell_Jump[[#This Row],[Rang]]</f>
        <v>0</v>
      </c>
      <c r="Q16" s="741">
        <v>1</v>
      </c>
      <c r="R16" s="631">
        <f>Paramètres!AK6</f>
        <v>0</v>
      </c>
      <c r="S16" s="751">
        <v>1000</v>
      </c>
      <c r="T16" s="174">
        <f>VALUE_Spell_Freeze[[#This Row],[Valeur]]*VALUE_Spell_Freeze[[#This Row],[Rang]]</f>
        <v>0</v>
      </c>
      <c r="U16" s="156"/>
      <c r="V16" s="749"/>
      <c r="W16" s="749"/>
      <c r="X16" s="749"/>
      <c r="Y16" s="749"/>
      <c r="Z16" s="749"/>
      <c r="AA16" s="749"/>
      <c r="AB16" s="749"/>
      <c r="AC16" s="749"/>
      <c r="AD16" s="749"/>
      <c r="AE16" s="749"/>
      <c r="AF16" s="749"/>
      <c r="AG16" s="749"/>
      <c r="AH16" s="749"/>
      <c r="AI16" s="749"/>
      <c r="AJ16" s="749"/>
      <c r="AK16" s="749"/>
      <c r="AL16" s="749"/>
      <c r="AM16" s="749"/>
      <c r="AN16" s="749"/>
    </row>
    <row r="17" spans="1:40">
      <c r="A17" s="482">
        <v>2</v>
      </c>
      <c r="B17" s="630">
        <f>Paramètres!AG7</f>
        <v>0</v>
      </c>
      <c r="C17" s="750">
        <v>200</v>
      </c>
      <c r="D17" s="175">
        <f>VALUE_Spell_Lightning[[#This Row],[Valeur]]*VALUE_Spell_Lightning[[#This Row],[Rang]]</f>
        <v>0</v>
      </c>
      <c r="E17" s="565">
        <v>2</v>
      </c>
      <c r="F17" s="630">
        <f>Paramètres!AH7</f>
        <v>0</v>
      </c>
      <c r="G17" s="750">
        <v>400</v>
      </c>
      <c r="H17" s="169">
        <f>VALUE_Spell_Healing[[#This Row],[Valeur]]*VALUE_Spell_Healing[[#This Row],[Rang]]</f>
        <v>0</v>
      </c>
      <c r="I17" s="482">
        <v>2</v>
      </c>
      <c r="J17" s="630">
        <f>Paramètres!AI7</f>
        <v>0</v>
      </c>
      <c r="K17" s="750">
        <v>200</v>
      </c>
      <c r="L17" s="169">
        <f>VALUE_Spell_Rage[[#This Row],[Valeur]]*VALUE_Spell_Rage[[#This Row],[Rang]]</f>
        <v>0</v>
      </c>
      <c r="M17" s="482">
        <v>2</v>
      </c>
      <c r="N17" s="630">
        <f>Paramètres!AJ7</f>
        <v>0</v>
      </c>
      <c r="O17" s="750">
        <v>200</v>
      </c>
      <c r="P17" s="169">
        <f>VALUE_Spell_Jump[[#This Row],[Valeur]]*VALUE_Spell_Jump[[#This Row],[Rang]]</f>
        <v>0</v>
      </c>
      <c r="Q17" s="482">
        <v>2</v>
      </c>
      <c r="R17" s="630">
        <f>Paramètres!AK7</f>
        <v>0</v>
      </c>
      <c r="S17" s="750">
        <v>2000</v>
      </c>
      <c r="T17" s="175">
        <f>VALUE_Spell_Freeze[[#This Row],[Valeur]]*VALUE_Spell_Freeze[[#This Row],[Rang]]</f>
        <v>0</v>
      </c>
      <c r="U17" s="156"/>
      <c r="V17" s="749"/>
      <c r="W17" s="749"/>
      <c r="X17" s="749"/>
      <c r="Y17" s="749"/>
      <c r="Z17" s="749"/>
      <c r="AA17" s="749"/>
      <c r="AB17" s="749"/>
      <c r="AC17" s="749"/>
      <c r="AD17" s="749"/>
      <c r="AE17" s="749"/>
      <c r="AF17" s="749"/>
      <c r="AG17" s="749"/>
      <c r="AH17" s="749"/>
      <c r="AI17" s="749"/>
      <c r="AJ17" s="749"/>
      <c r="AK17" s="749"/>
      <c r="AL17" s="749"/>
      <c r="AM17" s="749"/>
      <c r="AN17" s="749"/>
    </row>
    <row r="18" spans="1:40" ht="15.75" thickBot="1">
      <c r="A18" s="482">
        <v>3</v>
      </c>
      <c r="B18" s="630">
        <f>Paramètres!AG8</f>
        <v>0</v>
      </c>
      <c r="C18" s="750">
        <v>300</v>
      </c>
      <c r="D18" s="175">
        <f>VALUE_Spell_Lightning[[#This Row],[Valeur]]*VALUE_Spell_Lightning[[#This Row],[Rang]]</f>
        <v>0</v>
      </c>
      <c r="E18" s="565">
        <v>3</v>
      </c>
      <c r="F18" s="630">
        <f>Paramètres!AH8</f>
        <v>0</v>
      </c>
      <c r="G18" s="750">
        <v>600</v>
      </c>
      <c r="H18" s="169">
        <f>VALUE_Spell_Healing[[#This Row],[Valeur]]*VALUE_Spell_Healing[[#This Row],[Rang]]</f>
        <v>0</v>
      </c>
      <c r="I18" s="482">
        <v>3</v>
      </c>
      <c r="J18" s="630">
        <f>Paramètres!AI8</f>
        <v>0</v>
      </c>
      <c r="K18" s="750">
        <v>300</v>
      </c>
      <c r="L18" s="169">
        <f>VALUE_Spell_Rage[[#This Row],[Valeur]]*VALUE_Spell_Rage[[#This Row],[Rang]]</f>
        <v>0</v>
      </c>
      <c r="M18" s="489">
        <v>3</v>
      </c>
      <c r="N18" s="632">
        <f>Paramètres!AJ8</f>
        <v>0</v>
      </c>
      <c r="O18" s="752">
        <v>300</v>
      </c>
      <c r="P18" s="634">
        <f>VALUE_Spell_Jump[[#This Row],[Valeur]]*VALUE_Spell_Jump[[#This Row],[Rang]]</f>
        <v>0</v>
      </c>
      <c r="Q18" s="482">
        <v>3</v>
      </c>
      <c r="R18" s="630">
        <f>Paramètres!AK8</f>
        <v>0</v>
      </c>
      <c r="S18" s="750">
        <v>3000</v>
      </c>
      <c r="T18" s="175">
        <f>VALUE_Spell_Freeze[[#This Row],[Valeur]]*VALUE_Spell_Freeze[[#This Row],[Rang]]</f>
        <v>0</v>
      </c>
      <c r="U18" s="156"/>
      <c r="V18" s="749"/>
      <c r="W18" s="749"/>
      <c r="X18" s="749"/>
      <c r="Y18" s="749"/>
      <c r="Z18" s="749"/>
      <c r="AA18" s="749"/>
      <c r="AB18" s="749"/>
      <c r="AC18" s="749"/>
      <c r="AD18" s="749"/>
      <c r="AE18" s="749"/>
      <c r="AF18" s="749"/>
      <c r="AG18" s="749"/>
      <c r="AH18" s="749"/>
      <c r="AI18" s="749"/>
      <c r="AJ18" s="749"/>
      <c r="AK18" s="749"/>
      <c r="AL18" s="749"/>
      <c r="AM18" s="749"/>
      <c r="AN18" s="749"/>
    </row>
    <row r="19" spans="1:40">
      <c r="A19" s="482">
        <v>4</v>
      </c>
      <c r="B19" s="630">
        <f>Paramètres!AG9</f>
        <v>0</v>
      </c>
      <c r="C19" s="750">
        <v>400</v>
      </c>
      <c r="D19" s="175">
        <f>VALUE_Spell_Lightning[[#This Row],[Valeur]]*VALUE_Spell_Lightning[[#This Row],[Rang]]</f>
        <v>0</v>
      </c>
      <c r="E19" s="565">
        <v>4</v>
      </c>
      <c r="F19" s="630">
        <f>Paramètres!AH9</f>
        <v>0</v>
      </c>
      <c r="G19" s="750">
        <v>800</v>
      </c>
      <c r="H19" s="169">
        <f>VALUE_Spell_Healing[[#This Row],[Valeur]]*VALUE_Spell_Healing[[#This Row],[Rang]]</f>
        <v>0</v>
      </c>
      <c r="I19" s="482">
        <v>4</v>
      </c>
      <c r="J19" s="630">
        <f>Paramètres!AI9</f>
        <v>0</v>
      </c>
      <c r="K19" s="750">
        <v>400</v>
      </c>
      <c r="L19" s="175">
        <f>VALUE_Spell_Rage[[#This Row],[Valeur]]*VALUE_Spell_Rage[[#This Row],[Rang]]</f>
        <v>0</v>
      </c>
      <c r="M19" s="156"/>
      <c r="N19" s="156"/>
      <c r="O19" s="156"/>
      <c r="P19" s="156"/>
      <c r="Q19" s="482">
        <v>4</v>
      </c>
      <c r="R19" s="630">
        <f>Paramètres!AK9</f>
        <v>0</v>
      </c>
      <c r="S19" s="750">
        <v>4000</v>
      </c>
      <c r="T19" s="175">
        <f>VALUE_Spell_Freeze[[#This Row],[Valeur]]*VALUE_Spell_Freeze[[#This Row],[Rang]]</f>
        <v>0</v>
      </c>
      <c r="U19" s="156"/>
      <c r="V19" s="749"/>
      <c r="W19" s="749"/>
      <c r="X19" s="749"/>
      <c r="Y19" s="749"/>
      <c r="Z19" s="749"/>
      <c r="AA19" s="749"/>
      <c r="AB19" s="749"/>
      <c r="AC19" s="749"/>
      <c r="AD19" s="749"/>
      <c r="AE19" s="749"/>
      <c r="AF19" s="749"/>
      <c r="AG19" s="749"/>
      <c r="AH19" s="749"/>
      <c r="AI19" s="749"/>
      <c r="AJ19" s="749"/>
      <c r="AK19" s="749"/>
      <c r="AL19" s="749"/>
      <c r="AM19" s="749"/>
      <c r="AN19" s="749"/>
    </row>
    <row r="20" spans="1:40" ht="15.75" thickBot="1">
      <c r="A20" s="482">
        <v>5</v>
      </c>
      <c r="B20" s="630">
        <f>Paramètres!AG10</f>
        <v>0</v>
      </c>
      <c r="C20" s="750">
        <v>500</v>
      </c>
      <c r="D20" s="175">
        <f>VALUE_Spell_Lightning[[#This Row],[Valeur]]*VALUE_Spell_Lightning[[#This Row],[Rang]]</f>
        <v>0</v>
      </c>
      <c r="E20" s="565">
        <v>5</v>
      </c>
      <c r="F20" s="630">
        <f>Paramètres!AH10</f>
        <v>0</v>
      </c>
      <c r="G20" s="750">
        <v>1000</v>
      </c>
      <c r="H20" s="169">
        <f>VALUE_Spell_Healing[[#This Row],[Valeur]]*VALUE_Spell_Healing[[#This Row],[Rang]]</f>
        <v>0</v>
      </c>
      <c r="I20" s="489">
        <v>5</v>
      </c>
      <c r="J20" s="632">
        <f>Paramètres!AI10</f>
        <v>0</v>
      </c>
      <c r="K20" s="752">
        <v>500</v>
      </c>
      <c r="L20" s="460">
        <f>VALUE_Spell_Rage[[#This Row],[Valeur]]*VALUE_Spell_Rage[[#This Row],[Rang]]</f>
        <v>0</v>
      </c>
      <c r="M20" s="156"/>
      <c r="N20" s="156"/>
      <c r="O20" s="156"/>
      <c r="P20" s="156"/>
      <c r="Q20" s="489">
        <v>5</v>
      </c>
      <c r="R20" s="632">
        <f>Paramètres!AK10</f>
        <v>0</v>
      </c>
      <c r="S20" s="752">
        <v>5000</v>
      </c>
      <c r="T20" s="460">
        <f>VALUE_Spell_Freeze[[#This Row],[Valeur]]*VALUE_Spell_Freeze[[#This Row],[Rang]]</f>
        <v>0</v>
      </c>
      <c r="U20" s="156"/>
      <c r="V20" s="749"/>
      <c r="W20" s="749"/>
      <c r="X20" s="749"/>
      <c r="Y20" s="749"/>
      <c r="Z20" s="749"/>
      <c r="AA20" s="749"/>
      <c r="AB20" s="749"/>
      <c r="AC20" s="749"/>
      <c r="AD20" s="749"/>
      <c r="AE20" s="749"/>
      <c r="AF20" s="749"/>
      <c r="AG20" s="749"/>
      <c r="AH20" s="749"/>
      <c r="AI20" s="749"/>
      <c r="AJ20" s="749"/>
      <c r="AK20" s="749"/>
      <c r="AL20" s="749"/>
      <c r="AM20" s="749"/>
      <c r="AN20" s="749"/>
    </row>
    <row r="21" spans="1:40" ht="15.75" thickBot="1">
      <c r="A21" s="482">
        <v>6</v>
      </c>
      <c r="B21" s="630">
        <f>Paramètres!AG11</f>
        <v>0</v>
      </c>
      <c r="C21" s="750">
        <v>600</v>
      </c>
      <c r="D21" s="175">
        <f>VALUE_Spell_Lightning[[#This Row],[Valeur]]*VALUE_Spell_Lightning[[#This Row],[Rang]]</f>
        <v>0</v>
      </c>
      <c r="E21" s="747">
        <v>6</v>
      </c>
      <c r="F21" s="632">
        <f>Paramètres!AH11</f>
        <v>0</v>
      </c>
      <c r="G21" s="752">
        <v>1200</v>
      </c>
      <c r="H21" s="460">
        <f>VALUE_Spell_Healing[[#This Row],[Valeur]]*VALUE_Spell_Healing[[#This Row],[Rang]]</f>
        <v>0</v>
      </c>
      <c r="I21" s="156"/>
      <c r="J21" s="156"/>
      <c r="K21" s="156"/>
      <c r="L21" s="156"/>
      <c r="M21" s="156"/>
      <c r="N21" s="156"/>
      <c r="O21" s="156"/>
      <c r="P21" s="156"/>
      <c r="Q21" s="156"/>
      <c r="R21" s="156"/>
      <c r="S21" s="156"/>
      <c r="T21" s="156"/>
      <c r="U21" s="156"/>
      <c r="V21" s="749"/>
      <c r="W21" s="749"/>
      <c r="X21" s="749"/>
      <c r="Y21" s="749"/>
      <c r="Z21" s="749"/>
      <c r="AA21" s="749"/>
      <c r="AB21" s="749"/>
      <c r="AC21" s="749"/>
      <c r="AD21" s="749"/>
      <c r="AE21" s="749"/>
      <c r="AF21" s="749"/>
      <c r="AG21" s="749"/>
      <c r="AH21" s="749"/>
      <c r="AI21" s="749"/>
      <c r="AJ21" s="749"/>
      <c r="AK21" s="749"/>
      <c r="AL21" s="749"/>
      <c r="AM21" s="749"/>
      <c r="AN21" s="749"/>
    </row>
    <row r="22" spans="1:40" ht="15.75" thickBot="1">
      <c r="A22" s="489">
        <v>7</v>
      </c>
      <c r="B22" s="632">
        <f>Paramètres!AG12</f>
        <v>0</v>
      </c>
      <c r="C22" s="752">
        <v>700</v>
      </c>
      <c r="D22" s="460">
        <f>VALUE_Spell_Lightning[[#This Row],[Valeur]]*VALUE_Spell_Lightning[[#This Row],[Rang]]</f>
        <v>0</v>
      </c>
      <c r="E22" s="156"/>
      <c r="F22" s="156"/>
      <c r="G22" s="156"/>
      <c r="H22" s="156"/>
      <c r="I22" s="156"/>
      <c r="J22" s="156"/>
      <c r="K22" s="156"/>
      <c r="L22" s="156"/>
      <c r="M22" s="156"/>
      <c r="N22" s="156"/>
      <c r="O22" s="156"/>
      <c r="P22" s="156"/>
      <c r="Q22" s="156"/>
      <c r="R22" s="156"/>
      <c r="S22" s="156"/>
      <c r="T22" s="156"/>
      <c r="U22" s="156"/>
      <c r="V22" s="749"/>
      <c r="W22" s="749"/>
      <c r="X22" s="749"/>
      <c r="Y22" s="749"/>
      <c r="Z22" s="749"/>
      <c r="AA22" s="749"/>
      <c r="AB22" s="749"/>
      <c r="AC22" s="749"/>
      <c r="AD22" s="749"/>
      <c r="AE22" s="749"/>
      <c r="AF22" s="749"/>
      <c r="AG22" s="749"/>
      <c r="AH22" s="749"/>
      <c r="AI22" s="749"/>
      <c r="AJ22" s="749"/>
      <c r="AK22" s="749"/>
      <c r="AL22" s="749"/>
      <c r="AM22" s="749"/>
      <c r="AN22" s="749"/>
    </row>
    <row r="23" spans="1:40">
      <c r="A23" s="156"/>
      <c r="B23" s="156"/>
      <c r="C23" s="156"/>
      <c r="D23" s="156"/>
      <c r="E23" s="156"/>
      <c r="F23" s="156"/>
      <c r="G23" s="156"/>
      <c r="H23" s="156"/>
      <c r="I23" s="156"/>
      <c r="J23" s="156"/>
      <c r="K23" s="156"/>
      <c r="L23" s="156"/>
      <c r="M23" s="156"/>
      <c r="N23" s="156"/>
      <c r="O23" s="156"/>
      <c r="P23" s="156"/>
      <c r="Q23" s="156"/>
      <c r="R23" s="156"/>
      <c r="S23" s="156"/>
      <c r="T23" s="156"/>
      <c r="U23" s="156"/>
      <c r="V23" s="156"/>
      <c r="W23" s="156"/>
      <c r="X23" s="156"/>
      <c r="Y23" s="156"/>
      <c r="Z23" s="156"/>
      <c r="AA23" s="156"/>
      <c r="AB23" s="156"/>
      <c r="AC23" s="156"/>
      <c r="AD23" s="156"/>
      <c r="AE23" s="156"/>
      <c r="AF23" s="156"/>
      <c r="AG23" s="156"/>
      <c r="AH23" s="749"/>
      <c r="AI23" s="749"/>
      <c r="AJ23" s="749"/>
      <c r="AK23" s="749"/>
      <c r="AL23" s="749"/>
      <c r="AM23" s="749"/>
      <c r="AN23" s="749"/>
    </row>
    <row r="24" spans="1:40" ht="15.75" thickBot="1">
      <c r="A24" s="156"/>
      <c r="B24" s="156"/>
      <c r="C24" s="156"/>
      <c r="D24" s="156"/>
      <c r="E24" s="156"/>
      <c r="F24" s="156"/>
      <c r="G24" s="156"/>
      <c r="H24" s="156"/>
      <c r="I24" s="156"/>
      <c r="J24" s="156"/>
      <c r="K24" s="156"/>
      <c r="L24" s="156"/>
      <c r="M24" s="156"/>
      <c r="N24" s="156"/>
      <c r="O24" s="156"/>
      <c r="P24" s="156"/>
      <c r="Q24" s="156"/>
      <c r="R24" s="156"/>
      <c r="S24" s="156"/>
      <c r="T24" s="156"/>
      <c r="U24" s="156"/>
      <c r="V24" s="156"/>
      <c r="W24" s="156"/>
      <c r="X24" s="156"/>
      <c r="Y24" s="156"/>
      <c r="Z24" s="156"/>
      <c r="AA24" s="156"/>
      <c r="AB24" s="156"/>
      <c r="AC24" s="156"/>
      <c r="AD24" s="156"/>
      <c r="AE24" s="156"/>
      <c r="AF24" s="156"/>
      <c r="AG24" s="156"/>
      <c r="AH24" s="749"/>
      <c r="AI24" s="749"/>
      <c r="AJ24" s="749"/>
      <c r="AK24" s="749"/>
      <c r="AL24" s="749"/>
      <c r="AM24" s="749"/>
      <c r="AN24" s="749"/>
    </row>
    <row r="25" spans="1:40" ht="19.5" thickBot="1">
      <c r="A25" s="1272" t="s">
        <v>694</v>
      </c>
      <c r="B25" s="1273"/>
      <c r="C25" s="1273"/>
      <c r="D25" s="1273"/>
      <c r="E25" s="1273"/>
      <c r="F25" s="1273"/>
      <c r="G25" s="1273"/>
      <c r="H25" s="1273"/>
      <c r="I25" s="1273"/>
      <c r="J25" s="1273"/>
      <c r="K25" s="1273"/>
      <c r="L25" s="1273"/>
      <c r="M25" s="1273"/>
      <c r="N25" s="1273"/>
      <c r="O25" s="1273"/>
      <c r="P25" s="1273"/>
      <c r="Q25" s="1273"/>
      <c r="R25" s="1273"/>
      <c r="S25" s="1273"/>
      <c r="T25" s="1273"/>
      <c r="U25" s="1273"/>
      <c r="V25" s="1273"/>
      <c r="W25" s="1273"/>
      <c r="X25" s="1273"/>
      <c r="Y25" s="1273"/>
      <c r="Z25" s="1273"/>
      <c r="AA25" s="1273"/>
      <c r="AB25" s="1273"/>
      <c r="AC25" s="1273"/>
      <c r="AD25" s="1273"/>
      <c r="AE25" s="1273"/>
      <c r="AF25" s="1273"/>
      <c r="AG25" s="1273"/>
      <c r="AH25" s="1273"/>
      <c r="AI25" s="1273"/>
      <c r="AJ25" s="1273"/>
      <c r="AK25" s="1273"/>
      <c r="AL25" s="1273"/>
      <c r="AM25" s="1273"/>
      <c r="AN25" s="1274"/>
    </row>
    <row r="26" spans="1:40" ht="15.75" thickBot="1">
      <c r="A26" s="1282" t="s">
        <v>195</v>
      </c>
      <c r="B26" s="1283"/>
      <c r="C26" s="1283"/>
      <c r="D26" s="1284"/>
      <c r="E26" s="1282" t="s">
        <v>50</v>
      </c>
      <c r="F26" s="1283"/>
      <c r="G26" s="1283"/>
      <c r="H26" s="1284"/>
      <c r="I26" s="1282" t="s">
        <v>189</v>
      </c>
      <c r="J26" s="1283"/>
      <c r="K26" s="1283"/>
      <c r="L26" s="1284"/>
      <c r="M26" s="1282" t="s">
        <v>188</v>
      </c>
      <c r="N26" s="1283"/>
      <c r="O26" s="1283"/>
      <c r="P26" s="1284"/>
      <c r="Q26" s="1282" t="s">
        <v>187</v>
      </c>
      <c r="R26" s="1283"/>
      <c r="S26" s="1283"/>
      <c r="T26" s="1284"/>
      <c r="U26" s="1282" t="s">
        <v>186</v>
      </c>
      <c r="V26" s="1283"/>
      <c r="W26" s="1283"/>
      <c r="X26" s="1284"/>
      <c r="Y26" s="1282" t="s">
        <v>185</v>
      </c>
      <c r="Z26" s="1283"/>
      <c r="AA26" s="1283"/>
      <c r="AB26" s="1284"/>
      <c r="AC26" s="1282" t="s">
        <v>184</v>
      </c>
      <c r="AD26" s="1283"/>
      <c r="AE26" s="1283"/>
      <c r="AF26" s="1284"/>
      <c r="AG26" s="1282" t="s">
        <v>57</v>
      </c>
      <c r="AH26" s="1283"/>
      <c r="AI26" s="1283"/>
      <c r="AJ26" s="1284"/>
      <c r="AK26" s="1282" t="s">
        <v>58</v>
      </c>
      <c r="AL26" s="1283"/>
      <c r="AM26" s="1283"/>
      <c r="AN26" s="1284"/>
    </row>
    <row r="27" spans="1:40" ht="15.75" thickBot="1">
      <c r="A27" s="177" t="s">
        <v>17</v>
      </c>
      <c r="B27" s="462" t="s">
        <v>697</v>
      </c>
      <c r="C27" s="463" t="s">
        <v>678</v>
      </c>
      <c r="D27" s="464" t="s">
        <v>31</v>
      </c>
      <c r="E27" s="177" t="s">
        <v>17</v>
      </c>
      <c r="F27" s="462" t="s">
        <v>697</v>
      </c>
      <c r="G27" s="463" t="s">
        <v>678</v>
      </c>
      <c r="H27" s="464" t="s">
        <v>31</v>
      </c>
      <c r="I27" s="177" t="s">
        <v>17</v>
      </c>
      <c r="J27" s="462" t="s">
        <v>697</v>
      </c>
      <c r="K27" s="463" t="s">
        <v>678</v>
      </c>
      <c r="L27" s="464" t="s">
        <v>31</v>
      </c>
      <c r="M27" s="177" t="s">
        <v>17</v>
      </c>
      <c r="N27" s="462" t="s">
        <v>697</v>
      </c>
      <c r="O27" s="463" t="s">
        <v>678</v>
      </c>
      <c r="P27" s="464" t="s">
        <v>31</v>
      </c>
      <c r="Q27" s="177" t="s">
        <v>17</v>
      </c>
      <c r="R27" s="462" t="s">
        <v>697</v>
      </c>
      <c r="S27" s="463" t="s">
        <v>678</v>
      </c>
      <c r="T27" s="464" t="s">
        <v>31</v>
      </c>
      <c r="U27" s="161" t="s">
        <v>17</v>
      </c>
      <c r="V27" s="162" t="s">
        <v>697</v>
      </c>
      <c r="W27" s="255" t="s">
        <v>678</v>
      </c>
      <c r="X27" s="163" t="s">
        <v>31</v>
      </c>
      <c r="Y27" s="161" t="s">
        <v>17</v>
      </c>
      <c r="Z27" s="162" t="s">
        <v>697</v>
      </c>
      <c r="AA27" s="255" t="s">
        <v>678</v>
      </c>
      <c r="AB27" s="163" t="s">
        <v>31</v>
      </c>
      <c r="AC27" s="161" t="s">
        <v>17</v>
      </c>
      <c r="AD27" s="162" t="s">
        <v>697</v>
      </c>
      <c r="AE27" s="255" t="s">
        <v>678</v>
      </c>
      <c r="AF27" s="163" t="s">
        <v>31</v>
      </c>
      <c r="AG27" s="877" t="s">
        <v>17</v>
      </c>
      <c r="AH27" s="878" t="s">
        <v>697</v>
      </c>
      <c r="AI27" s="879" t="s">
        <v>678</v>
      </c>
      <c r="AJ27" s="880" t="s">
        <v>31</v>
      </c>
      <c r="AK27" s="876" t="s">
        <v>17</v>
      </c>
      <c r="AL27" s="462" t="s">
        <v>697</v>
      </c>
      <c r="AM27" s="463" t="s">
        <v>678</v>
      </c>
      <c r="AN27" s="757" t="s">
        <v>31</v>
      </c>
    </row>
    <row r="28" spans="1:40">
      <c r="A28" s="741">
        <v>1</v>
      </c>
      <c r="B28" s="631">
        <f>Paramètres!AO6</f>
        <v>0</v>
      </c>
      <c r="C28" s="751">
        <v>100</v>
      </c>
      <c r="D28" s="174">
        <f>VALUE_Barbarian[[#This Row],[Valeur]]*VALUE_Barbarian[[#This Row],[Rang]]</f>
        <v>0</v>
      </c>
      <c r="E28" s="741">
        <v>1</v>
      </c>
      <c r="F28" s="631">
        <f>Paramètres!AP6</f>
        <v>0</v>
      </c>
      <c r="G28" s="751">
        <v>150</v>
      </c>
      <c r="H28" s="174">
        <f>VALUE_Archer[[#This Row],[Valeur]]*VALUE_Archer[[#This Row],[Rang]]</f>
        <v>0</v>
      </c>
      <c r="I28" s="741">
        <v>1</v>
      </c>
      <c r="J28" s="631">
        <f>Paramètres!AQ6</f>
        <v>0</v>
      </c>
      <c r="K28" s="751">
        <v>50</v>
      </c>
      <c r="L28" s="174">
        <f>VALUE_Goblin[[#This Row],[Valeur]]*VALUE_Goblin[[#This Row],[Rang]]</f>
        <v>0</v>
      </c>
      <c r="M28" s="741">
        <v>1</v>
      </c>
      <c r="N28" s="631">
        <f>Paramètres!AR6</f>
        <v>0</v>
      </c>
      <c r="O28" s="751">
        <v>120</v>
      </c>
      <c r="P28" s="174">
        <f>VALUE_Giant[[#This Row],[Valeur]]*VALUE_Giant[[#This Row],[Rang]]</f>
        <v>0</v>
      </c>
      <c r="Q28" s="741">
        <v>1</v>
      </c>
      <c r="R28" s="631">
        <f>Paramètres!AS6</f>
        <v>0</v>
      </c>
      <c r="S28" s="751">
        <v>100</v>
      </c>
      <c r="T28" s="174">
        <f>VALUE_Wall_Breaker[[#This Row],[Valeur]]*VALUE_Wall_Breaker[[#This Row],[Rang]]</f>
        <v>0</v>
      </c>
      <c r="U28" s="741">
        <v>1</v>
      </c>
      <c r="V28" s="631">
        <f>Paramètres!AT6</f>
        <v>0</v>
      </c>
      <c r="W28" s="751">
        <v>120</v>
      </c>
      <c r="X28" s="174">
        <f>VALUE_Balloon[[#This Row],[Valeur]]*VALUE_Balloon[[#This Row],[Rang]]</f>
        <v>0</v>
      </c>
      <c r="Y28" s="741">
        <v>1</v>
      </c>
      <c r="Z28" s="631">
        <f>Paramètres!AU6</f>
        <v>0</v>
      </c>
      <c r="AA28" s="751">
        <v>150</v>
      </c>
      <c r="AB28" s="174">
        <f>VALUE_Wizard[[#This Row],[Valeur]]*VALUE_Wizard[[#This Row],[Rang]]</f>
        <v>0</v>
      </c>
      <c r="AC28" s="746">
        <v>1</v>
      </c>
      <c r="AD28" s="631">
        <f>Paramètres!AV6</f>
        <v>0</v>
      </c>
      <c r="AE28" s="751">
        <v>180</v>
      </c>
      <c r="AF28" s="174">
        <f>VALUE_Healer[[#This Row],[Valeur]]*VALUE_Healer[[#This Row],[Rang]]</f>
        <v>0</v>
      </c>
      <c r="AG28" s="746">
        <v>1</v>
      </c>
      <c r="AH28" s="631">
        <f>Paramètres!AW6</f>
        <v>0</v>
      </c>
      <c r="AI28" s="751">
        <v>150</v>
      </c>
      <c r="AJ28" s="633">
        <f>VALUE_Dragon[[#This Row],[Valeur]]*VALUE_Dragon[[#This Row],[Rang]]</f>
        <v>0</v>
      </c>
      <c r="AK28" s="746">
        <v>1</v>
      </c>
      <c r="AL28" s="631">
        <f>Paramètres!AX6</f>
        <v>0</v>
      </c>
      <c r="AM28" s="751">
        <v>120</v>
      </c>
      <c r="AN28" s="633">
        <f>VALUE_PEKKA[[#This Row],[Valeur]]*VALUE_PEKKA[[#This Row],[Rang]]</f>
        <v>0</v>
      </c>
    </row>
    <row r="29" spans="1:40">
      <c r="A29" s="482">
        <v>2</v>
      </c>
      <c r="B29" s="630">
        <f>Paramètres!AO7</f>
        <v>0</v>
      </c>
      <c r="C29" s="750">
        <v>200</v>
      </c>
      <c r="D29" s="175">
        <f>VALUE_Barbarian[[#This Row],[Valeur]]*VALUE_Barbarian[[#This Row],[Rang]]</f>
        <v>0</v>
      </c>
      <c r="E29" s="482">
        <v>2</v>
      </c>
      <c r="F29" s="630">
        <f>Paramètres!AP7</f>
        <v>0</v>
      </c>
      <c r="G29" s="750">
        <v>300</v>
      </c>
      <c r="H29" s="175">
        <f>VALUE_Archer[[#This Row],[Valeur]]*VALUE_Archer[[#This Row],[Rang]]</f>
        <v>0</v>
      </c>
      <c r="I29" s="482">
        <v>2</v>
      </c>
      <c r="J29" s="630">
        <f>Paramètres!AQ7</f>
        <v>0</v>
      </c>
      <c r="K29" s="750">
        <v>100</v>
      </c>
      <c r="L29" s="175">
        <f>VALUE_Goblin[[#This Row],[Valeur]]*VALUE_Goblin[[#This Row],[Rang]]</f>
        <v>0</v>
      </c>
      <c r="M29" s="482">
        <v>2</v>
      </c>
      <c r="N29" s="630">
        <f>Paramètres!AR7</f>
        <v>0</v>
      </c>
      <c r="O29" s="750">
        <v>240</v>
      </c>
      <c r="P29" s="175">
        <f>VALUE_Giant[[#This Row],[Valeur]]*VALUE_Giant[[#This Row],[Rang]]</f>
        <v>0</v>
      </c>
      <c r="Q29" s="482">
        <v>2</v>
      </c>
      <c r="R29" s="630">
        <f>Paramètres!AS7</f>
        <v>0</v>
      </c>
      <c r="S29" s="750">
        <v>200</v>
      </c>
      <c r="T29" s="175">
        <f>VALUE_Wall_Breaker[[#This Row],[Valeur]]*VALUE_Wall_Breaker[[#This Row],[Rang]]</f>
        <v>0</v>
      </c>
      <c r="U29" s="482">
        <v>2</v>
      </c>
      <c r="V29" s="630">
        <f>Paramètres!AT7</f>
        <v>0</v>
      </c>
      <c r="W29" s="750">
        <v>240</v>
      </c>
      <c r="X29" s="175">
        <f>VALUE_Balloon[[#This Row],[Valeur]]*VALUE_Balloon[[#This Row],[Rang]]</f>
        <v>0</v>
      </c>
      <c r="Y29" s="482">
        <v>2</v>
      </c>
      <c r="Z29" s="630">
        <f>Paramètres!AU7</f>
        <v>0</v>
      </c>
      <c r="AA29" s="750">
        <v>300</v>
      </c>
      <c r="AB29" s="175">
        <f>VALUE_Wizard[[#This Row],[Valeur]]*VALUE_Wizard[[#This Row],[Rang]]</f>
        <v>0</v>
      </c>
      <c r="AC29" s="565">
        <v>2</v>
      </c>
      <c r="AD29" s="630">
        <f>Paramètres!AV7</f>
        <v>0</v>
      </c>
      <c r="AE29" s="750">
        <v>360</v>
      </c>
      <c r="AF29" s="175">
        <f>VALUE_Healer[[#This Row],[Valeur]]*VALUE_Healer[[#This Row],[Rang]]</f>
        <v>0</v>
      </c>
      <c r="AG29" s="565">
        <v>2</v>
      </c>
      <c r="AH29" s="630">
        <f>Paramètres!AW7</f>
        <v>0</v>
      </c>
      <c r="AI29" s="750">
        <v>300</v>
      </c>
      <c r="AJ29" s="169">
        <f>VALUE_Dragon[[#This Row],[Valeur]]*VALUE_Dragon[[#This Row],[Rang]]</f>
        <v>0</v>
      </c>
      <c r="AK29" s="565">
        <v>2</v>
      </c>
      <c r="AL29" s="630">
        <f>Paramètres!AX7</f>
        <v>0</v>
      </c>
      <c r="AM29" s="750">
        <v>240</v>
      </c>
      <c r="AN29" s="169">
        <f>VALUE_PEKKA[[#This Row],[Valeur]]*VALUE_PEKKA[[#This Row],[Rang]]</f>
        <v>0</v>
      </c>
    </row>
    <row r="30" spans="1:40">
      <c r="A30" s="482">
        <v>3</v>
      </c>
      <c r="B30" s="630">
        <f>Paramètres!AO8</f>
        <v>0</v>
      </c>
      <c r="C30" s="750">
        <v>300</v>
      </c>
      <c r="D30" s="175">
        <f>VALUE_Barbarian[[#This Row],[Valeur]]*VALUE_Barbarian[[#This Row],[Rang]]</f>
        <v>0</v>
      </c>
      <c r="E30" s="482">
        <v>3</v>
      </c>
      <c r="F30" s="630">
        <f>Paramètres!AP8</f>
        <v>0</v>
      </c>
      <c r="G30" s="750">
        <v>450</v>
      </c>
      <c r="H30" s="175">
        <f>VALUE_Archer[[#This Row],[Valeur]]*VALUE_Archer[[#This Row],[Rang]]</f>
        <v>0</v>
      </c>
      <c r="I30" s="482">
        <v>3</v>
      </c>
      <c r="J30" s="630">
        <f>Paramètres!AQ8</f>
        <v>0</v>
      </c>
      <c r="K30" s="750">
        <v>150</v>
      </c>
      <c r="L30" s="175">
        <f>VALUE_Goblin[[#This Row],[Valeur]]*VALUE_Goblin[[#This Row],[Rang]]</f>
        <v>0</v>
      </c>
      <c r="M30" s="482">
        <v>3</v>
      </c>
      <c r="N30" s="630">
        <f>Paramètres!AR8</f>
        <v>0</v>
      </c>
      <c r="O30" s="750">
        <v>360</v>
      </c>
      <c r="P30" s="175">
        <f>VALUE_Giant[[#This Row],[Valeur]]*VALUE_Giant[[#This Row],[Rang]]</f>
        <v>0</v>
      </c>
      <c r="Q30" s="482">
        <v>3</v>
      </c>
      <c r="R30" s="630">
        <f>Paramètres!AS8</f>
        <v>0</v>
      </c>
      <c r="S30" s="750">
        <v>300</v>
      </c>
      <c r="T30" s="175">
        <f>VALUE_Wall_Breaker[[#This Row],[Valeur]]*VALUE_Wall_Breaker[[#This Row],[Rang]]</f>
        <v>0</v>
      </c>
      <c r="U30" s="482">
        <v>3</v>
      </c>
      <c r="V30" s="630">
        <f>Paramètres!AT8</f>
        <v>0</v>
      </c>
      <c r="W30" s="750">
        <v>360</v>
      </c>
      <c r="X30" s="175">
        <f>VALUE_Balloon[[#This Row],[Valeur]]*VALUE_Balloon[[#This Row],[Rang]]</f>
        <v>0</v>
      </c>
      <c r="Y30" s="482">
        <v>3</v>
      </c>
      <c r="Z30" s="630">
        <f>Paramètres!AU8</f>
        <v>0</v>
      </c>
      <c r="AA30" s="750">
        <v>450</v>
      </c>
      <c r="AB30" s="175">
        <f>VALUE_Wizard[[#This Row],[Valeur]]*VALUE_Wizard[[#This Row],[Rang]]</f>
        <v>0</v>
      </c>
      <c r="AC30" s="565">
        <v>3</v>
      </c>
      <c r="AD30" s="630">
        <f>Paramètres!AV8</f>
        <v>0</v>
      </c>
      <c r="AE30" s="750">
        <v>540</v>
      </c>
      <c r="AF30" s="175">
        <f>VALUE_Healer[[#This Row],[Valeur]]*VALUE_Healer[[#This Row],[Rang]]</f>
        <v>0</v>
      </c>
      <c r="AG30" s="565">
        <v>3</v>
      </c>
      <c r="AH30" s="630">
        <f>Paramètres!AW8</f>
        <v>0</v>
      </c>
      <c r="AI30" s="750">
        <v>450</v>
      </c>
      <c r="AJ30" s="169">
        <f>VALUE_Dragon[[#This Row],[Valeur]]*VALUE_Dragon[[#This Row],[Rang]]</f>
        <v>0</v>
      </c>
      <c r="AK30" s="565">
        <v>3</v>
      </c>
      <c r="AL30" s="630">
        <f>Paramètres!AX8</f>
        <v>0</v>
      </c>
      <c r="AM30" s="750">
        <v>360</v>
      </c>
      <c r="AN30" s="169">
        <f>VALUE_PEKKA[[#This Row],[Valeur]]*VALUE_PEKKA[[#This Row],[Rang]]</f>
        <v>0</v>
      </c>
    </row>
    <row r="31" spans="1:40" ht="15.75" thickBot="1">
      <c r="A31" s="482">
        <v>4</v>
      </c>
      <c r="B31" s="630">
        <f>Paramètres!AO9</f>
        <v>0</v>
      </c>
      <c r="C31" s="750">
        <v>400</v>
      </c>
      <c r="D31" s="175">
        <f>VALUE_Barbarian[[#This Row],[Valeur]]*VALUE_Barbarian[[#This Row],[Rang]]</f>
        <v>0</v>
      </c>
      <c r="E31" s="482">
        <v>4</v>
      </c>
      <c r="F31" s="630">
        <f>Paramètres!AP9</f>
        <v>0</v>
      </c>
      <c r="G31" s="750">
        <v>600</v>
      </c>
      <c r="H31" s="175">
        <f>VALUE_Archer[[#This Row],[Valeur]]*VALUE_Archer[[#This Row],[Rang]]</f>
        <v>0</v>
      </c>
      <c r="I31" s="482">
        <v>4</v>
      </c>
      <c r="J31" s="630">
        <f>Paramètres!AQ9</f>
        <v>0</v>
      </c>
      <c r="K31" s="750">
        <v>200</v>
      </c>
      <c r="L31" s="175">
        <f>VALUE_Goblin[[#This Row],[Valeur]]*VALUE_Goblin[[#This Row],[Rang]]</f>
        <v>0</v>
      </c>
      <c r="M31" s="482">
        <v>4</v>
      </c>
      <c r="N31" s="630">
        <f>Paramètres!AR9</f>
        <v>0</v>
      </c>
      <c r="O31" s="750">
        <v>480</v>
      </c>
      <c r="P31" s="175">
        <f>VALUE_Giant[[#This Row],[Valeur]]*VALUE_Giant[[#This Row],[Rang]]</f>
        <v>0</v>
      </c>
      <c r="Q31" s="482">
        <v>4</v>
      </c>
      <c r="R31" s="630">
        <f>Paramètres!AS9</f>
        <v>0</v>
      </c>
      <c r="S31" s="750">
        <v>400</v>
      </c>
      <c r="T31" s="175">
        <f>VALUE_Wall_Breaker[[#This Row],[Valeur]]*VALUE_Wall_Breaker[[#This Row],[Rang]]</f>
        <v>0</v>
      </c>
      <c r="U31" s="482">
        <v>4</v>
      </c>
      <c r="V31" s="630">
        <f>Paramètres!AT9</f>
        <v>0</v>
      </c>
      <c r="W31" s="750">
        <v>480</v>
      </c>
      <c r="X31" s="175">
        <f>VALUE_Balloon[[#This Row],[Valeur]]*VALUE_Balloon[[#This Row],[Rang]]</f>
        <v>0</v>
      </c>
      <c r="Y31" s="482">
        <v>4</v>
      </c>
      <c r="Z31" s="630">
        <f>Paramètres!AU9</f>
        <v>0</v>
      </c>
      <c r="AA31" s="750">
        <v>600</v>
      </c>
      <c r="AB31" s="175">
        <f>VALUE_Wizard[[#This Row],[Valeur]]*VALUE_Wizard[[#This Row],[Rang]]</f>
        <v>0</v>
      </c>
      <c r="AC31" s="747">
        <v>4</v>
      </c>
      <c r="AD31" s="632">
        <f>Paramètres!AV9</f>
        <v>0</v>
      </c>
      <c r="AE31" s="752">
        <v>720</v>
      </c>
      <c r="AF31" s="460">
        <f>VALUE_Healer[[#This Row],[Valeur]]*VALUE_Healer[[#This Row],[Rang]]</f>
        <v>0</v>
      </c>
      <c r="AG31" s="565">
        <v>4</v>
      </c>
      <c r="AH31" s="630">
        <f>Paramètres!AW9</f>
        <v>0</v>
      </c>
      <c r="AI31" s="750">
        <v>600</v>
      </c>
      <c r="AJ31" s="169">
        <f>VALUE_Dragon[[#This Row],[Valeur]]*VALUE_Dragon[[#This Row],[Rang]]</f>
        <v>0</v>
      </c>
      <c r="AK31" s="565">
        <v>4</v>
      </c>
      <c r="AL31" s="630">
        <f>Paramètres!AX9</f>
        <v>0</v>
      </c>
      <c r="AM31" s="750">
        <v>480</v>
      </c>
      <c r="AN31" s="169">
        <f>VALUE_PEKKA[[#This Row],[Valeur]]*VALUE_PEKKA[[#This Row],[Rang]]</f>
        <v>0</v>
      </c>
    </row>
    <row r="32" spans="1:40" ht="15.75" thickBot="1">
      <c r="A32" s="482">
        <v>5</v>
      </c>
      <c r="B32" s="630">
        <f>Paramètres!AO10</f>
        <v>0</v>
      </c>
      <c r="C32" s="750">
        <v>500</v>
      </c>
      <c r="D32" s="175">
        <f>VALUE_Barbarian[[#This Row],[Valeur]]*VALUE_Barbarian[[#This Row],[Rang]]</f>
        <v>0</v>
      </c>
      <c r="E32" s="482">
        <v>5</v>
      </c>
      <c r="F32" s="630">
        <f>Paramètres!AP10</f>
        <v>0</v>
      </c>
      <c r="G32" s="750">
        <v>750</v>
      </c>
      <c r="H32" s="175">
        <f>VALUE_Archer[[#This Row],[Valeur]]*VALUE_Archer[[#This Row],[Rang]]</f>
        <v>0</v>
      </c>
      <c r="I32" s="482">
        <v>5</v>
      </c>
      <c r="J32" s="630">
        <f>Paramètres!AQ10</f>
        <v>0</v>
      </c>
      <c r="K32" s="750">
        <v>250</v>
      </c>
      <c r="L32" s="175">
        <f>VALUE_Goblin[[#This Row],[Valeur]]*VALUE_Goblin[[#This Row],[Rang]]</f>
        <v>0</v>
      </c>
      <c r="M32" s="482">
        <v>5</v>
      </c>
      <c r="N32" s="630">
        <f>Paramètres!AR10</f>
        <v>0</v>
      </c>
      <c r="O32" s="750">
        <v>600</v>
      </c>
      <c r="P32" s="175">
        <f>VALUE_Giant[[#This Row],[Valeur]]*VALUE_Giant[[#This Row],[Rang]]</f>
        <v>0</v>
      </c>
      <c r="Q32" s="482">
        <v>5</v>
      </c>
      <c r="R32" s="630">
        <f>Paramètres!AS10</f>
        <v>0</v>
      </c>
      <c r="S32" s="750">
        <v>500</v>
      </c>
      <c r="T32" s="175">
        <f>VALUE_Wall_Breaker[[#This Row],[Valeur]]*VALUE_Wall_Breaker[[#This Row],[Rang]]</f>
        <v>0</v>
      </c>
      <c r="U32" s="482">
        <v>5</v>
      </c>
      <c r="V32" s="630">
        <f>Paramètres!AT10</f>
        <v>0</v>
      </c>
      <c r="W32" s="750">
        <v>600</v>
      </c>
      <c r="X32" s="175">
        <f>VALUE_Balloon[[#This Row],[Valeur]]*VALUE_Balloon[[#This Row],[Rang]]</f>
        <v>0</v>
      </c>
      <c r="Y32" s="482">
        <v>5</v>
      </c>
      <c r="Z32" s="630">
        <f>Paramètres!AU10</f>
        <v>0</v>
      </c>
      <c r="AA32" s="750">
        <v>750</v>
      </c>
      <c r="AB32" s="175">
        <f>VALUE_Wizard[[#This Row],[Valeur]]*VALUE_Wizard[[#This Row],[Rang]]</f>
        <v>0</v>
      </c>
      <c r="AC32" s="156"/>
      <c r="AD32" s="156"/>
      <c r="AE32" s="156"/>
      <c r="AF32" s="156"/>
      <c r="AG32" s="566">
        <v>5</v>
      </c>
      <c r="AH32" s="874">
        <f>Paramètres!AW10</f>
        <v>0</v>
      </c>
      <c r="AI32" s="875">
        <v>750</v>
      </c>
      <c r="AJ32" s="171">
        <f>VALUE_Dragon[[#This Row],[Valeur]]*VALUE_Dragon[[#This Row],[Rang]]</f>
        <v>0</v>
      </c>
      <c r="AK32" s="747">
        <v>5</v>
      </c>
      <c r="AL32" s="632">
        <f>Paramètres!AX10</f>
        <v>0</v>
      </c>
      <c r="AM32" s="752">
        <v>600</v>
      </c>
      <c r="AN32" s="634">
        <f>VALUE_PEKKA[[#This Row],[Valeur]]*VALUE_PEKKA[[#This Row],[Rang]]</f>
        <v>0</v>
      </c>
    </row>
    <row r="33" spans="1:40" ht="15.75" thickBot="1">
      <c r="A33" s="482">
        <v>6</v>
      </c>
      <c r="B33" s="630">
        <f>Paramètres!AO11</f>
        <v>0</v>
      </c>
      <c r="C33" s="750">
        <v>600</v>
      </c>
      <c r="D33" s="175">
        <f>VALUE_Barbarian[[#This Row],[Valeur]]*VALUE_Barbarian[[#This Row],[Rang]]</f>
        <v>0</v>
      </c>
      <c r="E33" s="482">
        <v>6</v>
      </c>
      <c r="F33" s="630">
        <f>Paramètres!AP11</f>
        <v>0</v>
      </c>
      <c r="G33" s="750">
        <v>900</v>
      </c>
      <c r="H33" s="175">
        <f>VALUE_Archer[[#This Row],[Valeur]]*VALUE_Archer[[#This Row],[Rang]]</f>
        <v>0</v>
      </c>
      <c r="I33" s="489">
        <v>6</v>
      </c>
      <c r="J33" s="632">
        <f>Paramètres!AQ11</f>
        <v>0</v>
      </c>
      <c r="K33" s="752">
        <v>300</v>
      </c>
      <c r="L33" s="460">
        <f>VALUE_Goblin[[#This Row],[Valeur]]*VALUE_Goblin[[#This Row],[Rang]]</f>
        <v>0</v>
      </c>
      <c r="M33" s="482">
        <v>6</v>
      </c>
      <c r="N33" s="630">
        <f>Paramètres!AR11</f>
        <v>0</v>
      </c>
      <c r="O33" s="750">
        <v>720</v>
      </c>
      <c r="P33" s="175">
        <f>VALUE_Giant[[#This Row],[Valeur]]*VALUE_Giant[[#This Row],[Rang]]</f>
        <v>0</v>
      </c>
      <c r="Q33" s="489">
        <v>6</v>
      </c>
      <c r="R33" s="632">
        <f>Paramètres!AS11</f>
        <v>0</v>
      </c>
      <c r="S33" s="752">
        <v>600</v>
      </c>
      <c r="T33" s="460">
        <f>VALUE_Wall_Breaker[[#This Row],[Valeur]]*VALUE_Wall_Breaker[[#This Row],[Rang]]</f>
        <v>0</v>
      </c>
      <c r="U33" s="489">
        <v>6</v>
      </c>
      <c r="V33" s="632">
        <f>Paramètres!AT11</f>
        <v>0</v>
      </c>
      <c r="W33" s="752">
        <v>720</v>
      </c>
      <c r="X33" s="460">
        <f>VALUE_Balloon[[#This Row],[Valeur]]*VALUE_Balloon[[#This Row],[Rang]]</f>
        <v>0</v>
      </c>
      <c r="Y33" s="489">
        <v>6</v>
      </c>
      <c r="Z33" s="632">
        <f>Paramètres!AU11</f>
        <v>0</v>
      </c>
      <c r="AA33" s="752">
        <v>900</v>
      </c>
      <c r="AB33" s="460">
        <f>VALUE_Wizard[[#This Row],[Valeur]]*VALUE_Wizard[[#This Row],[Rang]]</f>
        <v>0</v>
      </c>
      <c r="AC33" s="156"/>
      <c r="AD33" s="156"/>
      <c r="AE33" s="156"/>
      <c r="AF33" s="156"/>
      <c r="AG33" s="156"/>
      <c r="AH33" s="156"/>
      <c r="AI33" s="156"/>
      <c r="AJ33" s="156"/>
      <c r="AK33" s="156"/>
      <c r="AL33" s="156"/>
      <c r="AM33" s="156"/>
      <c r="AN33" s="156"/>
    </row>
    <row r="34" spans="1:40" ht="15.75" thickBot="1">
      <c r="A34" s="489">
        <v>7</v>
      </c>
      <c r="B34" s="632">
        <f>Paramètres!AO12</f>
        <v>0</v>
      </c>
      <c r="C34" s="752">
        <v>700</v>
      </c>
      <c r="D34" s="460">
        <f>VALUE_Barbarian[[#This Row],[Valeur]]*VALUE_Barbarian[[#This Row],[Rang]]</f>
        <v>0</v>
      </c>
      <c r="E34" s="489">
        <v>7</v>
      </c>
      <c r="F34" s="632">
        <f>Paramètres!AP12</f>
        <v>0</v>
      </c>
      <c r="G34" s="752">
        <v>1050</v>
      </c>
      <c r="H34" s="460">
        <f>VALUE_Archer[[#This Row],[Valeur]]*VALUE_Archer[[#This Row],[Rang]]</f>
        <v>0</v>
      </c>
      <c r="I34" s="156"/>
      <c r="J34" s="156"/>
      <c r="K34" s="156"/>
      <c r="L34" s="156"/>
      <c r="M34" s="489">
        <v>7</v>
      </c>
      <c r="N34" s="632">
        <f>Paramètres!AR12</f>
        <v>0</v>
      </c>
      <c r="O34" s="752">
        <v>840</v>
      </c>
      <c r="P34" s="460">
        <f>VALUE_Giant[[#This Row],[Valeur]]*VALUE_Giant[[#This Row],[Rang]]</f>
        <v>0</v>
      </c>
      <c r="Q34" s="156"/>
      <c r="R34" s="156"/>
      <c r="S34" s="156"/>
      <c r="T34" s="156"/>
      <c r="U34" s="156"/>
      <c r="V34" s="156"/>
      <c r="W34" s="156"/>
      <c r="X34" s="156"/>
      <c r="Y34" s="156"/>
      <c r="Z34" s="156"/>
      <c r="AA34" s="156"/>
      <c r="AB34" s="156"/>
      <c r="AC34" s="156"/>
      <c r="AD34" s="156"/>
      <c r="AE34" s="156"/>
      <c r="AF34" s="156"/>
      <c r="AG34" s="156"/>
      <c r="AH34" s="156"/>
      <c r="AI34" s="156"/>
      <c r="AJ34" s="156"/>
      <c r="AK34" s="156"/>
      <c r="AL34" s="156"/>
      <c r="AM34" s="156"/>
      <c r="AN34" s="156"/>
    </row>
    <row r="35" spans="1:40">
      <c r="A35" s="156"/>
      <c r="B35" s="156"/>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6"/>
      <c r="AG35" s="156"/>
      <c r="AH35" s="156"/>
      <c r="AI35" s="156"/>
      <c r="AJ35" s="156"/>
      <c r="AK35" s="156"/>
      <c r="AL35" s="156"/>
      <c r="AM35" s="156"/>
      <c r="AN35" s="156"/>
    </row>
    <row r="36" spans="1:40" ht="15.75" thickBot="1">
      <c r="A36" s="156"/>
      <c r="B36" s="156"/>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6"/>
      <c r="AG36" s="156"/>
      <c r="AH36" s="156"/>
      <c r="AI36" s="156"/>
      <c r="AJ36" s="156"/>
      <c r="AK36" s="156"/>
      <c r="AL36" s="156"/>
      <c r="AM36" s="156"/>
      <c r="AN36" s="156"/>
    </row>
    <row r="37" spans="1:40" ht="19.5" customHeight="1" thickBot="1">
      <c r="A37" s="1272" t="s">
        <v>693</v>
      </c>
      <c r="B37" s="1273"/>
      <c r="C37" s="1273"/>
      <c r="D37" s="1273"/>
      <c r="E37" s="1273"/>
      <c r="F37" s="1273"/>
      <c r="G37" s="1273"/>
      <c r="H37" s="1273"/>
      <c r="I37" s="1273"/>
      <c r="J37" s="1273"/>
      <c r="K37" s="1273"/>
      <c r="L37" s="1273"/>
      <c r="M37" s="1273"/>
      <c r="N37" s="1273"/>
      <c r="O37" s="1273"/>
      <c r="P37" s="1273"/>
      <c r="Q37" s="1310"/>
      <c r="R37" s="1310"/>
      <c r="S37" s="1310"/>
      <c r="T37" s="1310"/>
      <c r="U37" s="1310"/>
      <c r="V37" s="1310"/>
      <c r="W37" s="1310"/>
      <c r="X37" s="1311"/>
      <c r="Y37" s="156"/>
      <c r="Z37" s="156"/>
      <c r="AA37" s="156"/>
      <c r="AB37" s="156"/>
      <c r="AC37" s="156"/>
      <c r="AD37" s="156"/>
      <c r="AE37" s="156"/>
      <c r="AF37" s="156"/>
      <c r="AG37" s="156"/>
      <c r="AH37" s="156"/>
      <c r="AI37" s="156"/>
      <c r="AJ37" s="156"/>
      <c r="AK37" s="156"/>
      <c r="AL37" s="749"/>
      <c r="AM37" s="749"/>
      <c r="AN37" s="749"/>
    </row>
    <row r="38" spans="1:40" ht="15.75" thickBot="1">
      <c r="A38" s="1291" t="s">
        <v>183</v>
      </c>
      <c r="B38" s="1292"/>
      <c r="C38" s="1292"/>
      <c r="D38" s="1293"/>
      <c r="E38" s="1291" t="s">
        <v>245</v>
      </c>
      <c r="F38" s="1292"/>
      <c r="G38" s="1292"/>
      <c r="H38" s="1293"/>
      <c r="I38" s="1291" t="s">
        <v>66</v>
      </c>
      <c r="J38" s="1292"/>
      <c r="K38" s="1292"/>
      <c r="L38" s="1293"/>
      <c r="M38" s="1291" t="s">
        <v>67</v>
      </c>
      <c r="N38" s="1292"/>
      <c r="O38" s="1292"/>
      <c r="P38" s="1293"/>
      <c r="Q38" s="1291" t="s">
        <v>536</v>
      </c>
      <c r="R38" s="1292"/>
      <c r="S38" s="1292"/>
      <c r="T38" s="1293"/>
      <c r="U38" s="1291" t="s">
        <v>573</v>
      </c>
      <c r="V38" s="1292"/>
      <c r="W38" s="1292"/>
      <c r="X38" s="1293"/>
      <c r="Y38" s="156"/>
      <c r="Z38" s="156"/>
      <c r="AA38" s="156"/>
      <c r="AB38" s="156"/>
      <c r="AC38" s="156"/>
      <c r="AD38" s="156"/>
      <c r="AE38" s="156"/>
      <c r="AF38" s="156"/>
      <c r="AG38" s="156"/>
      <c r="AH38" s="156"/>
      <c r="AI38" s="156"/>
      <c r="AJ38" s="156"/>
      <c r="AK38" s="156"/>
      <c r="AL38" s="749"/>
      <c r="AM38" s="749"/>
      <c r="AN38" s="749"/>
    </row>
    <row r="39" spans="1:40" ht="15.75" thickBot="1">
      <c r="A39" s="161" t="s">
        <v>17</v>
      </c>
      <c r="B39" s="162" t="s">
        <v>697</v>
      </c>
      <c r="C39" s="255" t="s">
        <v>678</v>
      </c>
      <c r="D39" s="163" t="s">
        <v>31</v>
      </c>
      <c r="E39" s="161" t="s">
        <v>17</v>
      </c>
      <c r="F39" s="162" t="s">
        <v>697</v>
      </c>
      <c r="G39" s="255" t="s">
        <v>678</v>
      </c>
      <c r="H39" s="163" t="s">
        <v>31</v>
      </c>
      <c r="I39" s="161" t="s">
        <v>17</v>
      </c>
      <c r="J39" s="162" t="s">
        <v>697</v>
      </c>
      <c r="K39" s="255" t="s">
        <v>678</v>
      </c>
      <c r="L39" s="163" t="s">
        <v>31</v>
      </c>
      <c r="M39" s="161" t="s">
        <v>17</v>
      </c>
      <c r="N39" s="162" t="s">
        <v>697</v>
      </c>
      <c r="O39" s="255" t="s">
        <v>678</v>
      </c>
      <c r="P39" s="163" t="s">
        <v>31</v>
      </c>
      <c r="Q39" s="161" t="s">
        <v>17</v>
      </c>
      <c r="R39" s="162" t="s">
        <v>697</v>
      </c>
      <c r="S39" s="255" t="s">
        <v>678</v>
      </c>
      <c r="T39" s="163" t="s">
        <v>31</v>
      </c>
      <c r="U39" s="161" t="s">
        <v>17</v>
      </c>
      <c r="V39" s="162" t="s">
        <v>697</v>
      </c>
      <c r="W39" s="255" t="s">
        <v>678</v>
      </c>
      <c r="X39" s="163" t="s">
        <v>31</v>
      </c>
      <c r="Y39" s="156"/>
      <c r="Z39" s="156"/>
      <c r="AA39" s="156"/>
      <c r="AB39" s="156"/>
      <c r="AC39" s="156"/>
      <c r="AD39" s="156"/>
      <c r="AE39" s="156"/>
      <c r="AF39" s="156"/>
      <c r="AG39" s="156"/>
      <c r="AH39" s="156"/>
      <c r="AI39" s="156"/>
      <c r="AJ39" s="156"/>
      <c r="AK39" s="156"/>
      <c r="AL39" s="749"/>
      <c r="AM39" s="749"/>
      <c r="AN39" s="749"/>
    </row>
    <row r="40" spans="1:40">
      <c r="A40" s="741">
        <v>1</v>
      </c>
      <c r="B40" s="631">
        <f>Paramètres!AY6</f>
        <v>0</v>
      </c>
      <c r="C40" s="751">
        <v>120</v>
      </c>
      <c r="D40" s="174">
        <f>VALUE_Minion[[#This Row],[Valeur]]*VALUE_Minion[[#This Row],[Rang]]</f>
        <v>0</v>
      </c>
      <c r="E40" s="746">
        <v>1</v>
      </c>
      <c r="F40" s="631">
        <f>Paramètres!AZ6</f>
        <v>0</v>
      </c>
      <c r="G40" s="751">
        <v>120</v>
      </c>
      <c r="H40" s="174">
        <f>VALUE_Hog_Rider[[#This Row],[Valeur]]*VALUE_Hog_Rider[[#This Row],[Rang]]</f>
        <v>0</v>
      </c>
      <c r="I40" s="746">
        <v>1</v>
      </c>
      <c r="J40" s="631">
        <f>Paramètres!BA6</f>
        <v>0</v>
      </c>
      <c r="K40" s="751">
        <v>100</v>
      </c>
      <c r="L40" s="174">
        <f>VALUE_Valkyrie[[#This Row],[Valeur]]*VALUE_Valkyrie[[#This Row],[Rang]]</f>
        <v>0</v>
      </c>
      <c r="M40" s="741">
        <v>1</v>
      </c>
      <c r="N40" s="631">
        <f>Paramètres!BB6</f>
        <v>0</v>
      </c>
      <c r="O40" s="751">
        <v>120</v>
      </c>
      <c r="P40" s="174">
        <f>VALUE_Golem[[#This Row],[Valeur]]*VALUE_Golem[[#This Row],[Rang]]</f>
        <v>0</v>
      </c>
      <c r="Q40" s="746">
        <v>1</v>
      </c>
      <c r="R40" s="631">
        <f>Paramètres!BC6</f>
        <v>0</v>
      </c>
      <c r="S40" s="751">
        <v>900</v>
      </c>
      <c r="T40" s="174">
        <f>VALUE_Witch[[#This Row],[Valeur]]*VALUE_Witch[[#This Row],[Rang]]</f>
        <v>0</v>
      </c>
      <c r="U40" s="741">
        <v>1</v>
      </c>
      <c r="V40" s="631">
        <f>Paramètres!BD6</f>
        <v>0</v>
      </c>
      <c r="W40" s="751">
        <v>120</v>
      </c>
      <c r="X40" s="174">
        <f>VALUE_Lava_Hound[[#This Row],[Valeur]]*VALUE_Lava_Hound[[#This Row],[Rang]]</f>
        <v>0</v>
      </c>
      <c r="Y40" s="156"/>
      <c r="Z40" s="156"/>
      <c r="AA40" s="156"/>
      <c r="AB40" s="156"/>
      <c r="AC40" s="156"/>
      <c r="AD40" s="156"/>
      <c r="AE40" s="156"/>
      <c r="AF40" s="156"/>
      <c r="AG40" s="156"/>
      <c r="AH40" s="156"/>
      <c r="AI40" s="156"/>
      <c r="AJ40" s="156"/>
      <c r="AK40" s="156"/>
      <c r="AL40" s="749"/>
      <c r="AM40" s="749"/>
      <c r="AN40" s="749"/>
    </row>
    <row r="41" spans="1:40" ht="15.75" thickBot="1">
      <c r="A41" s="482">
        <v>2</v>
      </c>
      <c r="B41" s="630">
        <f>Paramètres!AY7</f>
        <v>0</v>
      </c>
      <c r="C41" s="750">
        <v>240</v>
      </c>
      <c r="D41" s="175">
        <f>VALUE_Minion[[#This Row],[Valeur]]*VALUE_Minion[[#This Row],[Rang]]</f>
        <v>0</v>
      </c>
      <c r="E41" s="565">
        <v>2</v>
      </c>
      <c r="F41" s="630">
        <f>Paramètres!AZ7</f>
        <v>0</v>
      </c>
      <c r="G41" s="750">
        <v>240</v>
      </c>
      <c r="H41" s="175">
        <f>VALUE_Hog_Rider[[#This Row],[Valeur]]*VALUE_Hog_Rider[[#This Row],[Rang]]</f>
        <v>0</v>
      </c>
      <c r="I41" s="565">
        <v>2</v>
      </c>
      <c r="J41" s="630">
        <f>Paramètres!BA7</f>
        <v>0</v>
      </c>
      <c r="K41" s="750">
        <v>200</v>
      </c>
      <c r="L41" s="175">
        <f>VALUE_Valkyrie[[#This Row],[Valeur]]*VALUE_Valkyrie[[#This Row],[Rang]]</f>
        <v>0</v>
      </c>
      <c r="M41" s="482">
        <v>2</v>
      </c>
      <c r="N41" s="630">
        <f>Paramètres!BB7</f>
        <v>0</v>
      </c>
      <c r="O41" s="750">
        <v>240</v>
      </c>
      <c r="P41" s="175">
        <f>VALUE_Golem[[#This Row],[Valeur]]*VALUE_Golem[[#This Row],[Rang]]</f>
        <v>0</v>
      </c>
      <c r="Q41" s="747">
        <v>2</v>
      </c>
      <c r="R41" s="632">
        <f>Paramètres!BC7</f>
        <v>0</v>
      </c>
      <c r="S41" s="752">
        <v>2100</v>
      </c>
      <c r="T41" s="460">
        <f>VALUE_Witch[[#This Row],[Valeur]]*VALUE_Witch[[#This Row],[Rang]]</f>
        <v>0</v>
      </c>
      <c r="U41" s="482">
        <v>2</v>
      </c>
      <c r="V41" s="630">
        <f>Paramètres!BD7</f>
        <v>0</v>
      </c>
      <c r="W41" s="750">
        <v>240</v>
      </c>
      <c r="X41" s="175">
        <f>VALUE_Lava_Hound[[#This Row],[Valeur]]*VALUE_Lava_Hound[[#This Row],[Rang]]</f>
        <v>0</v>
      </c>
      <c r="Y41" s="156"/>
      <c r="Z41" s="156"/>
      <c r="AA41" s="156"/>
      <c r="AB41" s="156"/>
      <c r="AC41" s="156"/>
      <c r="AD41" s="156"/>
      <c r="AE41" s="156"/>
      <c r="AF41" s="156"/>
      <c r="AG41" s="156"/>
      <c r="AH41" s="156"/>
      <c r="AI41" s="156"/>
      <c r="AJ41" s="156"/>
      <c r="AK41" s="156"/>
      <c r="AL41" s="749"/>
      <c r="AM41" s="749"/>
      <c r="AN41" s="749"/>
    </row>
    <row r="42" spans="1:40" ht="15.75" thickBot="1">
      <c r="A42" s="482">
        <v>3</v>
      </c>
      <c r="B42" s="630">
        <f>Paramètres!AY8</f>
        <v>0</v>
      </c>
      <c r="C42" s="750">
        <v>360</v>
      </c>
      <c r="D42" s="175">
        <f>VALUE_Minion[[#This Row],[Valeur]]*VALUE_Minion[[#This Row],[Rang]]</f>
        <v>0</v>
      </c>
      <c r="E42" s="565">
        <v>3</v>
      </c>
      <c r="F42" s="630">
        <f>Paramètres!AZ8</f>
        <v>0</v>
      </c>
      <c r="G42" s="750">
        <v>360</v>
      </c>
      <c r="H42" s="175">
        <f>VALUE_Hog_Rider[[#This Row],[Valeur]]*VALUE_Hog_Rider[[#This Row],[Rang]]</f>
        <v>0</v>
      </c>
      <c r="I42" s="565">
        <v>3</v>
      </c>
      <c r="J42" s="630">
        <f>Paramètres!BA8</f>
        <v>0</v>
      </c>
      <c r="K42" s="750">
        <v>300</v>
      </c>
      <c r="L42" s="175">
        <f>VALUE_Valkyrie[[#This Row],[Valeur]]*VALUE_Valkyrie[[#This Row],[Rang]]</f>
        <v>0</v>
      </c>
      <c r="M42" s="482">
        <v>3</v>
      </c>
      <c r="N42" s="630">
        <f>Paramètres!BB8</f>
        <v>0</v>
      </c>
      <c r="O42" s="750">
        <v>360</v>
      </c>
      <c r="P42" s="175">
        <f>VALUE_Golem[[#This Row],[Valeur]]*VALUE_Golem[[#This Row],[Rang]]</f>
        <v>0</v>
      </c>
      <c r="Q42" s="156"/>
      <c r="R42" s="156"/>
      <c r="S42" s="156"/>
      <c r="T42" s="156"/>
      <c r="U42" s="489">
        <v>3</v>
      </c>
      <c r="V42" s="632">
        <f>Paramètres!BD8</f>
        <v>0</v>
      </c>
      <c r="W42" s="752">
        <v>360</v>
      </c>
      <c r="X42" s="460">
        <f>VALUE_Lava_Hound[[#This Row],[Valeur]]*VALUE_Lava_Hound[[#This Row],[Rang]]</f>
        <v>0</v>
      </c>
      <c r="Y42" s="156"/>
      <c r="Z42" s="156"/>
      <c r="AA42" s="156"/>
      <c r="AB42" s="156"/>
      <c r="AC42" s="156"/>
      <c r="AD42" s="156"/>
      <c r="AE42" s="156"/>
      <c r="AF42" s="156"/>
      <c r="AG42" s="156"/>
      <c r="AH42" s="156"/>
      <c r="AI42" s="156"/>
      <c r="AJ42" s="156"/>
      <c r="AK42" s="156"/>
      <c r="AL42" s="749"/>
      <c r="AM42" s="749"/>
      <c r="AN42" s="749"/>
    </row>
    <row r="43" spans="1:40" ht="15.75" thickBot="1">
      <c r="A43" s="482">
        <v>4</v>
      </c>
      <c r="B43" s="630">
        <f>Paramètres!AY9</f>
        <v>0</v>
      </c>
      <c r="C43" s="750">
        <v>480</v>
      </c>
      <c r="D43" s="175">
        <f>VALUE_Minion[[#This Row],[Valeur]]*VALUE_Minion[[#This Row],[Rang]]</f>
        <v>0</v>
      </c>
      <c r="E43" s="565">
        <v>4</v>
      </c>
      <c r="F43" s="630">
        <f>Paramètres!AZ9</f>
        <v>0</v>
      </c>
      <c r="G43" s="750">
        <v>480</v>
      </c>
      <c r="H43" s="175">
        <f>VALUE_Hog_Rider[[#This Row],[Valeur]]*VALUE_Hog_Rider[[#This Row],[Rang]]</f>
        <v>0</v>
      </c>
      <c r="I43" s="747">
        <v>4</v>
      </c>
      <c r="J43" s="632">
        <f>Paramètres!BA9</f>
        <v>0</v>
      </c>
      <c r="K43" s="752">
        <v>400</v>
      </c>
      <c r="L43" s="460">
        <f>VALUE_Valkyrie[[#This Row],[Valeur]]*VALUE_Valkyrie[[#This Row],[Rang]]</f>
        <v>0</v>
      </c>
      <c r="M43" s="482">
        <v>4</v>
      </c>
      <c r="N43" s="630">
        <f>Paramètres!BB9</f>
        <v>0</v>
      </c>
      <c r="O43" s="750">
        <v>480</v>
      </c>
      <c r="P43" s="175">
        <f>VALUE_Golem[[#This Row],[Valeur]]*VALUE_Golem[[#This Row],[Rang]]</f>
        <v>0</v>
      </c>
      <c r="Q43" s="156"/>
      <c r="R43" s="156"/>
      <c r="S43" s="156"/>
      <c r="T43" s="156"/>
      <c r="U43" s="156"/>
      <c r="V43" s="156"/>
      <c r="W43" s="156"/>
      <c r="X43" s="156"/>
      <c r="Y43" s="156"/>
      <c r="Z43" s="156"/>
      <c r="AA43" s="156"/>
      <c r="AB43" s="156"/>
      <c r="AC43" s="156"/>
      <c r="AD43" s="156"/>
      <c r="AE43" s="156"/>
      <c r="AF43" s="156"/>
      <c r="AG43" s="156"/>
      <c r="AH43" s="156"/>
      <c r="AI43" s="156"/>
      <c r="AJ43" s="156"/>
      <c r="AK43" s="156"/>
      <c r="AL43" s="749"/>
      <c r="AM43" s="749"/>
      <c r="AN43" s="749"/>
    </row>
    <row r="44" spans="1:40" ht="15.75" thickBot="1">
      <c r="A44" s="482">
        <v>5</v>
      </c>
      <c r="B44" s="630">
        <f>Paramètres!AY10</f>
        <v>0</v>
      </c>
      <c r="C44" s="750">
        <v>600</v>
      </c>
      <c r="D44" s="175">
        <f>VALUE_Minion[[#This Row],[Valeur]]*VALUE_Minion[[#This Row],[Rang]]</f>
        <v>0</v>
      </c>
      <c r="E44" s="747">
        <v>5</v>
      </c>
      <c r="F44" s="632">
        <f>Paramètres!AZ10</f>
        <v>0</v>
      </c>
      <c r="G44" s="752">
        <v>600</v>
      </c>
      <c r="H44" s="460">
        <f>VALUE_Hog_Rider[[#This Row],[Valeur]]*VALUE_Hog_Rider[[#This Row],[Rang]]</f>
        <v>0</v>
      </c>
      <c r="I44" s="156"/>
      <c r="J44" s="156"/>
      <c r="K44" s="156"/>
      <c r="L44" s="156"/>
      <c r="M44" s="489">
        <v>5</v>
      </c>
      <c r="N44" s="632">
        <f>Paramètres!BB10</f>
        <v>0</v>
      </c>
      <c r="O44" s="752">
        <v>600</v>
      </c>
      <c r="P44" s="460">
        <f>VALUE_Golem[[#This Row],[Valeur]]*VALUE_Golem[[#This Row],[Rang]]</f>
        <v>0</v>
      </c>
      <c r="Q44" s="156"/>
      <c r="R44" s="156"/>
      <c r="S44" s="156"/>
      <c r="T44" s="156"/>
      <c r="U44" s="156"/>
      <c r="V44" s="156"/>
      <c r="W44" s="156"/>
      <c r="X44" s="156"/>
      <c r="Y44" s="156"/>
      <c r="Z44" s="156"/>
      <c r="AA44" s="156"/>
      <c r="AB44" s="156"/>
      <c r="AC44" s="156"/>
      <c r="AD44" s="156"/>
      <c r="AE44" s="156"/>
      <c r="AF44" s="156"/>
      <c r="AG44" s="156"/>
      <c r="AH44" s="156"/>
      <c r="AI44" s="156"/>
      <c r="AJ44" s="156"/>
      <c r="AK44" s="156"/>
      <c r="AL44" s="749"/>
      <c r="AM44" s="749"/>
      <c r="AN44" s="749"/>
    </row>
    <row r="45" spans="1:40" ht="15.75" thickBot="1">
      <c r="A45" s="489">
        <v>6</v>
      </c>
      <c r="B45" s="632">
        <f>Paramètres!AY11</f>
        <v>0</v>
      </c>
      <c r="C45" s="752">
        <v>720</v>
      </c>
      <c r="D45" s="460">
        <f>VALUE_Minion[[#This Row],[Valeur]]*VALUE_Minion[[#This Row],[Rang]]</f>
        <v>0</v>
      </c>
      <c r="E45" s="156"/>
      <c r="F45" s="156"/>
      <c r="G45" s="156"/>
      <c r="H45" s="156"/>
      <c r="I45" s="156"/>
      <c r="J45" s="156"/>
      <c r="K45" s="156"/>
      <c r="L45" s="156"/>
      <c r="M45" s="156"/>
      <c r="N45" s="156"/>
      <c r="O45" s="156"/>
      <c r="P45" s="156"/>
      <c r="Q45" s="156"/>
      <c r="R45" s="156"/>
      <c r="S45" s="156"/>
      <c r="T45" s="156"/>
      <c r="U45" s="156"/>
      <c r="V45" s="156"/>
      <c r="W45" s="156"/>
      <c r="X45" s="156"/>
      <c r="Y45" s="156"/>
      <c r="Z45" s="156"/>
      <c r="AA45" s="156"/>
      <c r="AB45" s="156"/>
      <c r="AC45" s="156"/>
      <c r="AD45" s="156"/>
      <c r="AE45" s="156"/>
      <c r="AF45" s="156"/>
      <c r="AG45" s="156"/>
      <c r="AH45" s="156"/>
      <c r="AI45" s="156"/>
      <c r="AJ45" s="156"/>
      <c r="AK45" s="156"/>
      <c r="AL45" s="749"/>
      <c r="AM45" s="749"/>
      <c r="AN45" s="749"/>
    </row>
    <row r="46" spans="1:40">
      <c r="A46" s="156"/>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156"/>
      <c r="AG46" s="156"/>
      <c r="AH46" s="156"/>
      <c r="AI46" s="156"/>
      <c r="AJ46" s="156"/>
      <c r="AK46" s="156"/>
      <c r="AL46" s="749"/>
      <c r="AM46" s="749"/>
      <c r="AN46" s="749"/>
    </row>
    <row r="47" spans="1:40" ht="15.75" thickBot="1">
      <c r="A47" s="156"/>
      <c r="B47" s="156"/>
      <c r="C47" s="156"/>
      <c r="D47" s="156"/>
      <c r="E47" s="156"/>
      <c r="F47" s="156"/>
      <c r="G47" s="156"/>
      <c r="H47" s="156"/>
      <c r="I47" s="156"/>
      <c r="J47" s="156"/>
      <c r="K47" s="156"/>
      <c r="L47" s="156"/>
      <c r="M47" s="156"/>
      <c r="N47" s="156"/>
      <c r="O47" s="156"/>
      <c r="P47" s="156"/>
      <c r="Q47" s="156"/>
      <c r="R47" s="156"/>
      <c r="S47" s="156"/>
      <c r="T47" s="156"/>
      <c r="U47" s="156"/>
      <c r="V47" s="156"/>
      <c r="W47" s="156"/>
      <c r="X47" s="156"/>
      <c r="Y47" s="156"/>
      <c r="Z47" s="156"/>
      <c r="AA47" s="156"/>
      <c r="AB47" s="156"/>
      <c r="AC47" s="156"/>
      <c r="AD47" s="156"/>
      <c r="AE47" s="156"/>
      <c r="AF47" s="156"/>
      <c r="AG47" s="156"/>
      <c r="AH47" s="156"/>
      <c r="AI47" s="156"/>
      <c r="AJ47" s="156"/>
      <c r="AK47" s="156"/>
      <c r="AL47" s="749"/>
      <c r="AM47" s="749"/>
      <c r="AN47" s="749"/>
    </row>
    <row r="48" spans="1:40" ht="19.5" customHeight="1" thickBot="1">
      <c r="A48" s="1024" t="s">
        <v>681</v>
      </c>
      <c r="B48" s="1025"/>
      <c r="C48" s="1025"/>
      <c r="D48" s="1025"/>
      <c r="E48" s="1025"/>
      <c r="F48" s="1025"/>
      <c r="G48" s="1025"/>
      <c r="H48" s="1025"/>
      <c r="I48" s="1025"/>
      <c r="J48" s="1025"/>
      <c r="K48" s="1025"/>
      <c r="L48" s="1025"/>
      <c r="M48" s="1025"/>
      <c r="N48" s="1025"/>
      <c r="O48" s="1025"/>
      <c r="P48" s="1025"/>
      <c r="Q48" s="1025"/>
      <c r="R48" s="1025"/>
      <c r="S48" s="1025"/>
      <c r="T48" s="1025"/>
      <c r="U48" s="1025"/>
      <c r="V48" s="1025"/>
      <c r="W48" s="1025"/>
      <c r="X48" s="1025"/>
      <c r="Y48" s="1025"/>
      <c r="Z48" s="1025"/>
      <c r="AA48" s="1025"/>
      <c r="AB48" s="1025"/>
      <c r="AC48" s="1025"/>
      <c r="AD48" s="1025"/>
      <c r="AE48" s="1025"/>
      <c r="AF48" s="1025"/>
      <c r="AG48" s="1025"/>
      <c r="AH48" s="1025"/>
      <c r="AI48" s="1025"/>
      <c r="AJ48" s="1025"/>
      <c r="AK48" s="1025"/>
      <c r="AL48" s="1025"/>
      <c r="AM48" s="1025"/>
      <c r="AN48" s="1026"/>
    </row>
    <row r="49" spans="1:40" ht="15.75" customHeight="1" thickBot="1">
      <c r="A49" s="1282" t="s">
        <v>206</v>
      </c>
      <c r="B49" s="1283"/>
      <c r="C49" s="1283"/>
      <c r="D49" s="1284"/>
      <c r="E49" s="1282" t="s">
        <v>205</v>
      </c>
      <c r="F49" s="1283"/>
      <c r="G49" s="1283"/>
      <c r="H49" s="1284"/>
      <c r="I49" s="1282" t="s">
        <v>204</v>
      </c>
      <c r="J49" s="1283"/>
      <c r="K49" s="1283"/>
      <c r="L49" s="1284"/>
      <c r="M49" s="1282" t="s">
        <v>203</v>
      </c>
      <c r="N49" s="1283"/>
      <c r="O49" s="1283"/>
      <c r="P49" s="1284"/>
      <c r="Q49" s="1282" t="s">
        <v>202</v>
      </c>
      <c r="R49" s="1283"/>
      <c r="S49" s="1283"/>
      <c r="T49" s="1284"/>
      <c r="U49" s="1282" t="s">
        <v>454</v>
      </c>
      <c r="V49" s="1283"/>
      <c r="W49" s="1283"/>
      <c r="X49" s="1284"/>
      <c r="Y49" s="1282" t="s">
        <v>643</v>
      </c>
      <c r="Z49" s="1283"/>
      <c r="AA49" s="1283"/>
      <c r="AB49" s="1284"/>
      <c r="AC49" s="1282" t="s">
        <v>201</v>
      </c>
      <c r="AD49" s="1283"/>
      <c r="AE49" s="1283"/>
      <c r="AF49" s="1284"/>
      <c r="AG49" s="1282" t="s">
        <v>200</v>
      </c>
      <c r="AH49" s="1283"/>
      <c r="AI49" s="1283"/>
      <c r="AJ49" s="1284"/>
      <c r="AK49" s="1282" t="s">
        <v>199</v>
      </c>
      <c r="AL49" s="1283"/>
      <c r="AM49" s="1283"/>
      <c r="AN49" s="1284"/>
    </row>
    <row r="50" spans="1:40" ht="15.75" thickBot="1">
      <c r="A50" s="182" t="s">
        <v>17</v>
      </c>
      <c r="B50" s="415" t="s">
        <v>697</v>
      </c>
      <c r="C50" s="165" t="s">
        <v>678</v>
      </c>
      <c r="D50" s="183" t="s">
        <v>31</v>
      </c>
      <c r="E50" s="748" t="s">
        <v>17</v>
      </c>
      <c r="F50" s="756" t="s">
        <v>697</v>
      </c>
      <c r="G50" s="165" t="s">
        <v>678</v>
      </c>
      <c r="H50" s="183" t="s">
        <v>31</v>
      </c>
      <c r="I50" s="182" t="s">
        <v>17</v>
      </c>
      <c r="J50" s="415" t="s">
        <v>697</v>
      </c>
      <c r="K50" s="165" t="s">
        <v>678</v>
      </c>
      <c r="L50" s="183" t="s">
        <v>31</v>
      </c>
      <c r="M50" s="164" t="s">
        <v>17</v>
      </c>
      <c r="N50" s="415" t="s">
        <v>697</v>
      </c>
      <c r="O50" s="165" t="s">
        <v>678</v>
      </c>
      <c r="P50" s="166" t="s">
        <v>31</v>
      </c>
      <c r="Q50" s="164" t="s">
        <v>17</v>
      </c>
      <c r="R50" s="415" t="s">
        <v>697</v>
      </c>
      <c r="S50" s="165" t="s">
        <v>678</v>
      </c>
      <c r="T50" s="183" t="s">
        <v>31</v>
      </c>
      <c r="U50" s="164" t="s">
        <v>17</v>
      </c>
      <c r="V50" s="415" t="s">
        <v>697</v>
      </c>
      <c r="W50" s="165" t="s">
        <v>678</v>
      </c>
      <c r="X50" s="166" t="s">
        <v>31</v>
      </c>
      <c r="Y50" s="182" t="s">
        <v>17</v>
      </c>
      <c r="Z50" s="415" t="s">
        <v>697</v>
      </c>
      <c r="AA50" s="165" t="s">
        <v>678</v>
      </c>
      <c r="AB50" s="183" t="s">
        <v>31</v>
      </c>
      <c r="AC50" s="182" t="s">
        <v>17</v>
      </c>
      <c r="AD50" s="415" t="s">
        <v>697</v>
      </c>
      <c r="AE50" s="165" t="s">
        <v>678</v>
      </c>
      <c r="AF50" s="183" t="s">
        <v>31</v>
      </c>
      <c r="AG50" s="182" t="s">
        <v>17</v>
      </c>
      <c r="AH50" s="415" t="s">
        <v>697</v>
      </c>
      <c r="AI50" s="165" t="s">
        <v>678</v>
      </c>
      <c r="AJ50" s="183" t="s">
        <v>31</v>
      </c>
      <c r="AK50" s="182" t="s">
        <v>17</v>
      </c>
      <c r="AL50" s="415" t="s">
        <v>697</v>
      </c>
      <c r="AM50" s="165" t="s">
        <v>678</v>
      </c>
      <c r="AN50" s="166" t="s">
        <v>31</v>
      </c>
    </row>
    <row r="51" spans="1:40">
      <c r="A51" s="743">
        <v>1</v>
      </c>
      <c r="B51" s="753">
        <f>Paramètres!N6</f>
        <v>0</v>
      </c>
      <c r="C51" s="751">
        <v>4.2</v>
      </c>
      <c r="D51" s="174">
        <f>VALUE_Wall[[#This Row],[Valeur]]*VALUE_Wall[[#This Row],[Rang]]</f>
        <v>0</v>
      </c>
      <c r="E51" s="743">
        <v>1</v>
      </c>
      <c r="F51" s="753">
        <f>Paramètres!O6</f>
        <v>0</v>
      </c>
      <c r="G51" s="771">
        <v>100</v>
      </c>
      <c r="H51" s="774">
        <f>VALUE_Cannon[[#This Row],[Valeur]]*VALUE_Cannon[[#This Row],[Rang]]</f>
        <v>0</v>
      </c>
      <c r="I51" s="744">
        <v>1</v>
      </c>
      <c r="J51" s="753">
        <f>Paramètres!P6</f>
        <v>0</v>
      </c>
      <c r="K51" s="751">
        <v>100</v>
      </c>
      <c r="L51" s="174">
        <f>VALUE_Archer_Tower[[#This Row],[Valeur]]*VALUE_Archer_Tower[[#This Row],[Rang]]</f>
        <v>0</v>
      </c>
      <c r="M51" s="743">
        <v>1</v>
      </c>
      <c r="N51" s="753">
        <f>Paramètres!Q6</f>
        <v>0</v>
      </c>
      <c r="O51" s="751">
        <v>500</v>
      </c>
      <c r="P51" s="174">
        <f>VALUE_Mortar[[#This Row],[Valeur]]*VALUE_Mortar[[#This Row],[Rang]]</f>
        <v>0</v>
      </c>
      <c r="Q51" s="743">
        <v>1</v>
      </c>
      <c r="R51" s="753">
        <f>Paramètres!R6</f>
        <v>0</v>
      </c>
      <c r="S51" s="751">
        <v>40</v>
      </c>
      <c r="T51" s="174">
        <f>VALUE_Air_Defense[[#This Row],[Valeur]]*VALUE_Air_Defense[[#This Row],[Rang]]</f>
        <v>0</v>
      </c>
      <c r="U51" s="743">
        <v>1</v>
      </c>
      <c r="V51" s="753">
        <f>Paramètres!S6</f>
        <v>0</v>
      </c>
      <c r="W51" s="751">
        <v>500</v>
      </c>
      <c r="X51" s="174">
        <f>VALUE_Wizard_Tower[[#This Row],[Valeur]]*VALUE_Wizard_Tower[[#This Row],[Rang]]</f>
        <v>0</v>
      </c>
      <c r="Y51" s="743">
        <v>1</v>
      </c>
      <c r="Z51" s="753">
        <f>Paramètres!T6</f>
        <v>0</v>
      </c>
      <c r="AA51" s="751">
        <v>10</v>
      </c>
      <c r="AB51" s="174">
        <f>VALUE_Air_Sweeper[[#This Row],[Valeur]]*VALUE_Air_Sweeper[[#This Row],[Rang]]</f>
        <v>0</v>
      </c>
      <c r="AC51" s="743">
        <v>1</v>
      </c>
      <c r="AD51" s="753">
        <f>Paramètres!U6</f>
        <v>0</v>
      </c>
      <c r="AE51" s="751">
        <v>100</v>
      </c>
      <c r="AF51" s="174">
        <f>VALUE_Hidden_Tesla[[#This Row],[Valeur]]*VALUE_Hidden_Tesla[[#This Row],[Rang]]</f>
        <v>0</v>
      </c>
      <c r="AG51" s="743">
        <v>1</v>
      </c>
      <c r="AH51" s="753">
        <f>Paramètres!V6</f>
        <v>0</v>
      </c>
      <c r="AI51" s="751">
        <v>400</v>
      </c>
      <c r="AJ51" s="174">
        <f>VALUE_XBow[[#This Row],[Valeur]]*VALUE_XBow[[#This Row],[Rang]]</f>
        <v>0</v>
      </c>
      <c r="AK51" s="743">
        <v>1</v>
      </c>
      <c r="AL51" s="753">
        <f>Paramètres!X6</f>
        <v>0</v>
      </c>
      <c r="AM51" s="751">
        <v>1000</v>
      </c>
      <c r="AN51" s="174">
        <f>VALUE_Inferno_Tower[[#This Row],[Valeur]]*VALUE_Inferno_Tower[[#This Row],[Rang]]</f>
        <v>0</v>
      </c>
    </row>
    <row r="52" spans="1:40">
      <c r="A52" s="482">
        <v>2</v>
      </c>
      <c r="B52" s="754">
        <f>Paramètres!N7</f>
        <v>0</v>
      </c>
      <c r="C52" s="750">
        <v>8.4</v>
      </c>
      <c r="D52" s="175">
        <f>VALUE_Wall[[#This Row],[Valeur]]*VALUE_Wall[[#This Row],[Rang]]</f>
        <v>0</v>
      </c>
      <c r="E52" s="482">
        <v>2</v>
      </c>
      <c r="F52" s="754">
        <f>Paramètres!O7</f>
        <v>0</v>
      </c>
      <c r="G52" s="772">
        <v>199</v>
      </c>
      <c r="H52" s="775">
        <f>VALUE_Cannon[[#This Row],[Valeur]]*VALUE_Cannon[[#This Row],[Rang]]</f>
        <v>0</v>
      </c>
      <c r="I52" s="776">
        <v>2</v>
      </c>
      <c r="J52" s="754">
        <f>Paramètres!P7</f>
        <v>0</v>
      </c>
      <c r="K52" s="750">
        <v>199</v>
      </c>
      <c r="L52" s="175">
        <f>VALUE_Archer_Tower[[#This Row],[Valeur]]*VALUE_Archer_Tower[[#This Row],[Rang]]</f>
        <v>0</v>
      </c>
      <c r="M52" s="482">
        <v>2</v>
      </c>
      <c r="N52" s="754">
        <f>Paramètres!Q7</f>
        <v>0</v>
      </c>
      <c r="O52" s="750">
        <v>990</v>
      </c>
      <c r="P52" s="175">
        <f>VALUE_Mortar[[#This Row],[Valeur]]*VALUE_Mortar[[#This Row],[Rang]]</f>
        <v>0</v>
      </c>
      <c r="Q52" s="482">
        <v>2</v>
      </c>
      <c r="R52" s="754">
        <f>Paramètres!R7</f>
        <v>0</v>
      </c>
      <c r="S52" s="750">
        <v>80</v>
      </c>
      <c r="T52" s="175">
        <f>VALUE_Air_Defense[[#This Row],[Valeur]]*VALUE_Air_Defense[[#This Row],[Rang]]</f>
        <v>0</v>
      </c>
      <c r="U52" s="482">
        <v>2</v>
      </c>
      <c r="V52" s="754">
        <f>Paramètres!S7</f>
        <v>0</v>
      </c>
      <c r="W52" s="750">
        <v>970</v>
      </c>
      <c r="X52" s="175">
        <f>VALUE_Wizard_Tower[[#This Row],[Valeur]]*VALUE_Wizard_Tower[[#This Row],[Rang]]</f>
        <v>0</v>
      </c>
      <c r="Y52" s="482">
        <v>2</v>
      </c>
      <c r="Z52" s="754">
        <f>Paramètres!T7</f>
        <v>0</v>
      </c>
      <c r="AA52" s="750">
        <v>20</v>
      </c>
      <c r="AB52" s="175">
        <f>VALUE_Air_Sweeper[[#This Row],[Valeur]]*VALUE_Air_Sweeper[[#This Row],[Rang]]</f>
        <v>0</v>
      </c>
      <c r="AC52" s="482">
        <v>2</v>
      </c>
      <c r="AD52" s="754">
        <f>Paramètres!U7</f>
        <v>0</v>
      </c>
      <c r="AE52" s="750">
        <v>200</v>
      </c>
      <c r="AF52" s="175">
        <f>VALUE_Hidden_Tesla[[#This Row],[Valeur]]*VALUE_Hidden_Tesla[[#This Row],[Rang]]</f>
        <v>0</v>
      </c>
      <c r="AG52" s="482">
        <v>2</v>
      </c>
      <c r="AH52" s="754">
        <f>Paramètres!V7</f>
        <v>0</v>
      </c>
      <c r="AI52" s="750">
        <v>800</v>
      </c>
      <c r="AJ52" s="175">
        <f>VALUE_XBow[[#This Row],[Valeur]]*VALUE_XBow[[#This Row],[Rang]]</f>
        <v>0</v>
      </c>
      <c r="AK52" s="482">
        <v>2</v>
      </c>
      <c r="AL52" s="754">
        <f>Paramètres!X7</f>
        <v>0</v>
      </c>
      <c r="AM52" s="750">
        <v>2000</v>
      </c>
      <c r="AN52" s="175">
        <f>VALUE_Inferno_Tower[[#This Row],[Valeur]]*VALUE_Inferno_Tower[[#This Row],[Rang]]</f>
        <v>0</v>
      </c>
    </row>
    <row r="53" spans="1:40" ht="15.75" thickBot="1">
      <c r="A53" s="482">
        <v>3</v>
      </c>
      <c r="B53" s="754">
        <f>Paramètres!N8</f>
        <v>0</v>
      </c>
      <c r="C53" s="750">
        <v>12.600000000000001</v>
      </c>
      <c r="D53" s="175">
        <f>VALUE_Wall[[#This Row],[Valeur]]*VALUE_Wall[[#This Row],[Rang]]</f>
        <v>0</v>
      </c>
      <c r="E53" s="482">
        <v>3</v>
      </c>
      <c r="F53" s="754">
        <f>Paramètres!O8</f>
        <v>0</v>
      </c>
      <c r="G53" s="772">
        <v>297</v>
      </c>
      <c r="H53" s="775">
        <f>VALUE_Cannon[[#This Row],[Valeur]]*VALUE_Cannon[[#This Row],[Rang]]</f>
        <v>0</v>
      </c>
      <c r="I53" s="776">
        <v>3</v>
      </c>
      <c r="J53" s="754">
        <f>Paramètres!P8</f>
        <v>0</v>
      </c>
      <c r="K53" s="750">
        <v>297</v>
      </c>
      <c r="L53" s="175">
        <f>VALUE_Archer_Tower[[#This Row],[Valeur]]*VALUE_Archer_Tower[[#This Row],[Rang]]</f>
        <v>0</v>
      </c>
      <c r="M53" s="482">
        <v>3</v>
      </c>
      <c r="N53" s="754">
        <f>Paramètres!Q8</f>
        <v>0</v>
      </c>
      <c r="O53" s="750">
        <v>1470</v>
      </c>
      <c r="P53" s="175">
        <f>VALUE_Mortar[[#This Row],[Valeur]]*VALUE_Mortar[[#This Row],[Rang]]</f>
        <v>0</v>
      </c>
      <c r="Q53" s="482">
        <v>3</v>
      </c>
      <c r="R53" s="754">
        <f>Paramètres!R8</f>
        <v>0</v>
      </c>
      <c r="S53" s="750">
        <v>120</v>
      </c>
      <c r="T53" s="175">
        <f>VALUE_Air_Defense[[#This Row],[Valeur]]*VALUE_Air_Defense[[#This Row],[Rang]]</f>
        <v>0</v>
      </c>
      <c r="U53" s="482">
        <v>3</v>
      </c>
      <c r="V53" s="754">
        <f>Paramètres!S8</f>
        <v>0</v>
      </c>
      <c r="W53" s="750">
        <v>1410</v>
      </c>
      <c r="X53" s="175">
        <f>VALUE_Wizard_Tower[[#This Row],[Valeur]]*VALUE_Wizard_Tower[[#This Row],[Rang]]</f>
        <v>0</v>
      </c>
      <c r="Y53" s="482">
        <v>3</v>
      </c>
      <c r="Z53" s="754">
        <f>Paramètres!T8</f>
        <v>0</v>
      </c>
      <c r="AA53" s="750">
        <v>30</v>
      </c>
      <c r="AB53" s="175">
        <f>VALUE_Air_Sweeper[[#This Row],[Valeur]]*VALUE_Air_Sweeper[[#This Row],[Rang]]</f>
        <v>0</v>
      </c>
      <c r="AC53" s="482">
        <v>3</v>
      </c>
      <c r="AD53" s="754">
        <f>Paramètres!U8</f>
        <v>0</v>
      </c>
      <c r="AE53" s="750">
        <v>300</v>
      </c>
      <c r="AF53" s="175">
        <f>VALUE_Hidden_Tesla[[#This Row],[Valeur]]*VALUE_Hidden_Tesla[[#This Row],[Rang]]</f>
        <v>0</v>
      </c>
      <c r="AG53" s="482">
        <v>3</v>
      </c>
      <c r="AH53" s="754">
        <f>Paramètres!V8</f>
        <v>0</v>
      </c>
      <c r="AI53" s="750">
        <v>1200</v>
      </c>
      <c r="AJ53" s="175">
        <f>VALUE_XBow[[#This Row],[Valeur]]*VALUE_XBow[[#This Row],[Rang]]</f>
        <v>0</v>
      </c>
      <c r="AK53" s="489">
        <v>3</v>
      </c>
      <c r="AL53" s="755">
        <f>Paramètres!X8</f>
        <v>0</v>
      </c>
      <c r="AM53" s="752">
        <v>3000</v>
      </c>
      <c r="AN53" s="460">
        <f>VALUE_Inferno_Tower[[#This Row],[Valeur]]*VALUE_Inferno_Tower[[#This Row],[Rang]]</f>
        <v>0</v>
      </c>
    </row>
    <row r="54" spans="1:40" ht="15.75" thickBot="1">
      <c r="A54" s="482">
        <v>4</v>
      </c>
      <c r="B54" s="754">
        <f>Paramètres!N9</f>
        <v>0</v>
      </c>
      <c r="C54" s="750">
        <v>16.8</v>
      </c>
      <c r="D54" s="175">
        <f>VALUE_Wall[[#This Row],[Valeur]]*VALUE_Wall[[#This Row],[Rang]]</f>
        <v>0</v>
      </c>
      <c r="E54" s="482">
        <v>4</v>
      </c>
      <c r="F54" s="754">
        <f>Paramètres!O9</f>
        <v>0</v>
      </c>
      <c r="G54" s="772">
        <v>394</v>
      </c>
      <c r="H54" s="775">
        <f>VALUE_Cannon[[#This Row],[Valeur]]*VALUE_Cannon[[#This Row],[Rang]]</f>
        <v>0</v>
      </c>
      <c r="I54" s="776">
        <v>4</v>
      </c>
      <c r="J54" s="754">
        <f>Paramètres!P9</f>
        <v>0</v>
      </c>
      <c r="K54" s="750">
        <v>394</v>
      </c>
      <c r="L54" s="175">
        <f>VALUE_Archer_Tower[[#This Row],[Valeur]]*VALUE_Archer_Tower[[#This Row],[Rang]]</f>
        <v>0</v>
      </c>
      <c r="M54" s="482">
        <v>4</v>
      </c>
      <c r="N54" s="754">
        <f>Paramètres!Q9</f>
        <v>0</v>
      </c>
      <c r="O54" s="750">
        <v>1940</v>
      </c>
      <c r="P54" s="175">
        <f>VALUE_Mortar[[#This Row],[Valeur]]*VALUE_Mortar[[#This Row],[Rang]]</f>
        <v>0</v>
      </c>
      <c r="Q54" s="482">
        <v>4</v>
      </c>
      <c r="R54" s="754">
        <f>Paramètres!R9</f>
        <v>0</v>
      </c>
      <c r="S54" s="750">
        <v>160</v>
      </c>
      <c r="T54" s="175">
        <f>VALUE_Air_Defense[[#This Row],[Valeur]]*VALUE_Air_Defense[[#This Row],[Rang]]</f>
        <v>0</v>
      </c>
      <c r="U54" s="482">
        <v>4</v>
      </c>
      <c r="V54" s="754">
        <f>Paramètres!S9</f>
        <v>0</v>
      </c>
      <c r="W54" s="750">
        <v>1820</v>
      </c>
      <c r="X54" s="175">
        <f>VALUE_Wizard_Tower[[#This Row],[Valeur]]*VALUE_Wizard_Tower[[#This Row],[Rang]]</f>
        <v>0</v>
      </c>
      <c r="Y54" s="482">
        <v>4</v>
      </c>
      <c r="Z54" s="754">
        <f>Paramètres!T9</f>
        <v>0</v>
      </c>
      <c r="AA54" s="750">
        <v>40</v>
      </c>
      <c r="AB54" s="175">
        <f>VALUE_Air_Sweeper[[#This Row],[Valeur]]*VALUE_Air_Sweeper[[#This Row],[Rang]]</f>
        <v>0</v>
      </c>
      <c r="AC54" s="482">
        <v>4</v>
      </c>
      <c r="AD54" s="754">
        <f>Paramètres!U9</f>
        <v>0</v>
      </c>
      <c r="AE54" s="750">
        <v>400</v>
      </c>
      <c r="AF54" s="175">
        <f>VALUE_Hidden_Tesla[[#This Row],[Valeur]]*VALUE_Hidden_Tesla[[#This Row],[Rang]]</f>
        <v>0</v>
      </c>
      <c r="AG54" s="489">
        <v>4</v>
      </c>
      <c r="AH54" s="755">
        <f>Paramètres!V9</f>
        <v>0</v>
      </c>
      <c r="AI54" s="752">
        <v>1600</v>
      </c>
      <c r="AJ54" s="460">
        <f>VALUE_XBow[[#This Row],[Valeur]]*VALUE_XBow[[#This Row],[Rang]]</f>
        <v>0</v>
      </c>
      <c r="AK54" s="141"/>
      <c r="AL54" s="141"/>
      <c r="AM54" s="141"/>
      <c r="AN54" s="749"/>
    </row>
    <row r="55" spans="1:40">
      <c r="A55" s="482">
        <v>5</v>
      </c>
      <c r="B55" s="754">
        <f>Paramètres!N10</f>
        <v>0</v>
      </c>
      <c r="C55" s="750">
        <v>21</v>
      </c>
      <c r="D55" s="175">
        <f>VALUE_Wall[[#This Row],[Valeur]]*VALUE_Wall[[#This Row],[Rang]]</f>
        <v>0</v>
      </c>
      <c r="E55" s="482">
        <v>5</v>
      </c>
      <c r="F55" s="754">
        <f>Paramètres!O10</f>
        <v>0</v>
      </c>
      <c r="G55" s="772">
        <v>490</v>
      </c>
      <c r="H55" s="775">
        <f>VALUE_Cannon[[#This Row],[Valeur]]*VALUE_Cannon[[#This Row],[Rang]]</f>
        <v>0</v>
      </c>
      <c r="I55" s="776">
        <v>5</v>
      </c>
      <c r="J55" s="754">
        <f>Paramètres!P10</f>
        <v>0</v>
      </c>
      <c r="K55" s="750">
        <v>490</v>
      </c>
      <c r="L55" s="175">
        <f>VALUE_Archer_Tower[[#This Row],[Valeur]]*VALUE_Archer_Tower[[#This Row],[Rang]]</f>
        <v>0</v>
      </c>
      <c r="M55" s="482">
        <v>5</v>
      </c>
      <c r="N55" s="754">
        <f>Paramètres!Q10</f>
        <v>0</v>
      </c>
      <c r="O55" s="750">
        <v>2400</v>
      </c>
      <c r="P55" s="175">
        <f>VALUE_Mortar[[#This Row],[Valeur]]*VALUE_Mortar[[#This Row],[Rang]]</f>
        <v>0</v>
      </c>
      <c r="Q55" s="482">
        <v>5</v>
      </c>
      <c r="R55" s="754">
        <f>Paramètres!R10</f>
        <v>0</v>
      </c>
      <c r="S55" s="750">
        <v>200</v>
      </c>
      <c r="T55" s="175">
        <f>VALUE_Air_Defense[[#This Row],[Valeur]]*VALUE_Air_Defense[[#This Row],[Rang]]</f>
        <v>0</v>
      </c>
      <c r="U55" s="482">
        <v>5</v>
      </c>
      <c r="V55" s="754">
        <f>Paramètres!S10</f>
        <v>0</v>
      </c>
      <c r="W55" s="750">
        <v>2200</v>
      </c>
      <c r="X55" s="175">
        <f>VALUE_Wizard_Tower[[#This Row],[Valeur]]*VALUE_Wizard_Tower[[#This Row],[Rang]]</f>
        <v>0</v>
      </c>
      <c r="Y55" s="482">
        <v>5</v>
      </c>
      <c r="Z55" s="754">
        <f>Paramètres!T10</f>
        <v>0</v>
      </c>
      <c r="AA55" s="750">
        <v>50</v>
      </c>
      <c r="AB55" s="175">
        <f>VALUE_Air_Sweeper[[#This Row],[Valeur]]*VALUE_Air_Sweeper[[#This Row],[Rang]]</f>
        <v>0</v>
      </c>
      <c r="AC55" s="482">
        <v>5</v>
      </c>
      <c r="AD55" s="754">
        <f>Paramètres!U10</f>
        <v>0</v>
      </c>
      <c r="AE55" s="750">
        <v>500</v>
      </c>
      <c r="AF55" s="175">
        <f>VALUE_Hidden_Tesla[[#This Row],[Valeur]]*VALUE_Hidden_Tesla[[#This Row],[Rang]]</f>
        <v>0</v>
      </c>
      <c r="AG55" s="156"/>
      <c r="AH55" s="156"/>
      <c r="AI55" s="156"/>
      <c r="AJ55" s="156"/>
      <c r="AK55" s="156"/>
      <c r="AL55" s="156"/>
      <c r="AM55" s="749"/>
      <c r="AN55" s="749"/>
    </row>
    <row r="56" spans="1:40" ht="15.75" thickBot="1">
      <c r="A56" s="482">
        <v>6</v>
      </c>
      <c r="B56" s="754">
        <f>Paramètres!N11</f>
        <v>0</v>
      </c>
      <c r="C56" s="750">
        <v>25.2</v>
      </c>
      <c r="D56" s="175">
        <f>VALUE_Wall[[#This Row],[Valeur]]*VALUE_Wall[[#This Row],[Rang]]</f>
        <v>0</v>
      </c>
      <c r="E56" s="482">
        <v>6</v>
      </c>
      <c r="F56" s="754">
        <f>Paramètres!O11</f>
        <v>0</v>
      </c>
      <c r="G56" s="772">
        <v>585</v>
      </c>
      <c r="H56" s="775">
        <f>VALUE_Cannon[[#This Row],[Valeur]]*VALUE_Cannon[[#This Row],[Rang]]</f>
        <v>0</v>
      </c>
      <c r="I56" s="776">
        <v>6</v>
      </c>
      <c r="J56" s="754">
        <f>Paramètres!P11</f>
        <v>0</v>
      </c>
      <c r="K56" s="750">
        <v>585</v>
      </c>
      <c r="L56" s="175">
        <f>VALUE_Archer_Tower[[#This Row],[Valeur]]*VALUE_Archer_Tower[[#This Row],[Rang]]</f>
        <v>0</v>
      </c>
      <c r="M56" s="482">
        <v>6</v>
      </c>
      <c r="N56" s="754">
        <f>Paramètres!Q11</f>
        <v>0</v>
      </c>
      <c r="O56" s="750">
        <v>2850</v>
      </c>
      <c r="P56" s="175">
        <f>VALUE_Mortar[[#This Row],[Valeur]]*VALUE_Mortar[[#This Row],[Rang]]</f>
        <v>0</v>
      </c>
      <c r="Q56" s="482">
        <v>6</v>
      </c>
      <c r="R56" s="754">
        <f>Paramètres!R11</f>
        <v>0</v>
      </c>
      <c r="S56" s="750">
        <v>240</v>
      </c>
      <c r="T56" s="175">
        <f>VALUE_Air_Defense[[#This Row],[Valeur]]*VALUE_Air_Defense[[#This Row],[Rang]]</f>
        <v>0</v>
      </c>
      <c r="U56" s="482">
        <v>6</v>
      </c>
      <c r="V56" s="754">
        <f>Paramètres!S11</f>
        <v>0</v>
      </c>
      <c r="W56" s="750">
        <v>2550</v>
      </c>
      <c r="X56" s="175">
        <f>VALUE_Wizard_Tower[[#This Row],[Valeur]]*VALUE_Wizard_Tower[[#This Row],[Rang]]</f>
        <v>0</v>
      </c>
      <c r="Y56" s="489">
        <v>6</v>
      </c>
      <c r="Z56" s="755">
        <f>Paramètres!T11</f>
        <v>0</v>
      </c>
      <c r="AA56" s="752">
        <v>60</v>
      </c>
      <c r="AB56" s="460">
        <f>VALUE_Air_Sweeper[[#This Row],[Valeur]]*VALUE_Air_Sweeper[[#This Row],[Rang]]</f>
        <v>0</v>
      </c>
      <c r="AC56" s="482">
        <v>6</v>
      </c>
      <c r="AD56" s="754">
        <f>Paramètres!U11</f>
        <v>0</v>
      </c>
      <c r="AE56" s="750">
        <v>600</v>
      </c>
      <c r="AF56" s="175">
        <f>VALUE_Hidden_Tesla[[#This Row],[Valeur]]*VALUE_Hidden_Tesla[[#This Row],[Rang]]</f>
        <v>0</v>
      </c>
      <c r="AG56" s="156"/>
      <c r="AH56" s="156"/>
      <c r="AI56" s="156"/>
      <c r="AJ56" s="156"/>
      <c r="AK56" s="156"/>
      <c r="AL56" s="156"/>
      <c r="AM56" s="749"/>
      <c r="AN56" s="749"/>
    </row>
    <row r="57" spans="1:40">
      <c r="A57" s="482">
        <v>7</v>
      </c>
      <c r="B57" s="754">
        <f>Paramètres!N12</f>
        <v>0</v>
      </c>
      <c r="C57" s="750">
        <v>29.4</v>
      </c>
      <c r="D57" s="175">
        <f>VALUE_Wall[[#This Row],[Valeur]]*VALUE_Wall[[#This Row],[Rang]]</f>
        <v>0</v>
      </c>
      <c r="E57" s="482">
        <v>7</v>
      </c>
      <c r="F57" s="754">
        <f>Paramètres!O12</f>
        <v>0</v>
      </c>
      <c r="G57" s="772">
        <v>679</v>
      </c>
      <c r="H57" s="775">
        <f>VALUE_Cannon[[#This Row],[Valeur]]*VALUE_Cannon[[#This Row],[Rang]]</f>
        <v>0</v>
      </c>
      <c r="I57" s="776">
        <v>7</v>
      </c>
      <c r="J57" s="754">
        <f>Paramètres!P12</f>
        <v>0</v>
      </c>
      <c r="K57" s="750">
        <v>679</v>
      </c>
      <c r="L57" s="175">
        <f>VALUE_Archer_Tower[[#This Row],[Valeur]]*VALUE_Archer_Tower[[#This Row],[Rang]]</f>
        <v>0</v>
      </c>
      <c r="M57" s="482">
        <v>7</v>
      </c>
      <c r="N57" s="754">
        <f>Paramètres!Q12</f>
        <v>0</v>
      </c>
      <c r="O57" s="750">
        <v>3290</v>
      </c>
      <c r="P57" s="175">
        <f>VALUE_Mortar[[#This Row],[Valeur]]*VALUE_Mortar[[#This Row],[Rang]]</f>
        <v>0</v>
      </c>
      <c r="Q57" s="482">
        <v>7</v>
      </c>
      <c r="R57" s="754">
        <f>Paramètres!R12</f>
        <v>0</v>
      </c>
      <c r="S57" s="750">
        <v>280</v>
      </c>
      <c r="T57" s="175">
        <f>VALUE_Air_Defense[[#This Row],[Valeur]]*VALUE_Air_Defense[[#This Row],[Rang]]</f>
        <v>0</v>
      </c>
      <c r="U57" s="482">
        <v>7</v>
      </c>
      <c r="V57" s="754">
        <f>Paramètres!S12</f>
        <v>0</v>
      </c>
      <c r="W57" s="750">
        <v>2870</v>
      </c>
      <c r="X57" s="175">
        <f>VALUE_Wizard_Tower[[#This Row],[Valeur]]*VALUE_Wizard_Tower[[#This Row],[Rang]]</f>
        <v>0</v>
      </c>
      <c r="Y57" s="156"/>
      <c r="Z57" s="156"/>
      <c r="AA57" s="156"/>
      <c r="AB57" s="749"/>
      <c r="AC57" s="482">
        <v>7</v>
      </c>
      <c r="AD57" s="754">
        <f>Paramètres!U12</f>
        <v>0</v>
      </c>
      <c r="AE57" s="750">
        <v>700</v>
      </c>
      <c r="AF57" s="175">
        <f>VALUE_Hidden_Tesla[[#This Row],[Valeur]]*VALUE_Hidden_Tesla[[#This Row],[Rang]]</f>
        <v>0</v>
      </c>
      <c r="AG57" s="156"/>
      <c r="AH57" s="156"/>
      <c r="AI57" s="156"/>
      <c r="AJ57" s="156"/>
      <c r="AK57" s="156"/>
      <c r="AL57" s="156"/>
      <c r="AM57" s="749"/>
      <c r="AN57" s="749"/>
    </row>
    <row r="58" spans="1:40" ht="15.75" thickBot="1">
      <c r="A58" s="482">
        <v>8</v>
      </c>
      <c r="B58" s="754">
        <f>Paramètres!N13</f>
        <v>0</v>
      </c>
      <c r="C58" s="750">
        <v>33.6</v>
      </c>
      <c r="D58" s="175">
        <f>VALUE_Wall[[#This Row],[Valeur]]*VALUE_Wall[[#This Row],[Rang]]</f>
        <v>0</v>
      </c>
      <c r="E58" s="482">
        <v>8</v>
      </c>
      <c r="F58" s="754">
        <f>Paramètres!O13</f>
        <v>0</v>
      </c>
      <c r="G58" s="772">
        <v>772</v>
      </c>
      <c r="H58" s="775">
        <f>VALUE_Cannon[[#This Row],[Valeur]]*VALUE_Cannon[[#This Row],[Rang]]</f>
        <v>0</v>
      </c>
      <c r="I58" s="776">
        <v>8</v>
      </c>
      <c r="J58" s="754">
        <f>Paramètres!P13</f>
        <v>0</v>
      </c>
      <c r="K58" s="750">
        <v>772</v>
      </c>
      <c r="L58" s="175">
        <f>VALUE_Archer_Tower[[#This Row],[Valeur]]*VALUE_Archer_Tower[[#This Row],[Rang]]</f>
        <v>0</v>
      </c>
      <c r="M58" s="489">
        <v>8</v>
      </c>
      <c r="N58" s="755">
        <f>Paramètres!Q13</f>
        <v>0</v>
      </c>
      <c r="O58" s="750">
        <v>3720</v>
      </c>
      <c r="P58" s="460">
        <f>VALUE_Mortar[[#This Row],[Valeur]]*VALUE_Mortar[[#This Row],[Rang]]</f>
        <v>0</v>
      </c>
      <c r="Q58" s="489">
        <v>8</v>
      </c>
      <c r="R58" s="755">
        <f>Paramètres!R13</f>
        <v>0</v>
      </c>
      <c r="S58" s="752">
        <v>320</v>
      </c>
      <c r="T58" s="460">
        <f>VALUE_Air_Defense[[#This Row],[Valeur]]*VALUE_Air_Defense[[#This Row],[Rang]]</f>
        <v>0</v>
      </c>
      <c r="U58" s="489">
        <v>8</v>
      </c>
      <c r="V58" s="755">
        <f>Paramètres!S13</f>
        <v>0</v>
      </c>
      <c r="W58" s="750">
        <v>3160</v>
      </c>
      <c r="X58" s="460">
        <f>VALUE_Wizard_Tower[[#This Row],[Valeur]]*VALUE_Wizard_Tower[[#This Row],[Rang]]</f>
        <v>0</v>
      </c>
      <c r="Y58" s="156"/>
      <c r="Z58" s="156"/>
      <c r="AA58" s="156"/>
      <c r="AB58" s="749"/>
      <c r="AC58" s="489">
        <v>8</v>
      </c>
      <c r="AD58" s="755">
        <f>Paramètres!U13</f>
        <v>0</v>
      </c>
      <c r="AE58" s="752">
        <v>800</v>
      </c>
      <c r="AF58" s="460">
        <f>VALUE_Hidden_Tesla[[#This Row],[Valeur]]*VALUE_Hidden_Tesla[[#This Row],[Rang]]</f>
        <v>0</v>
      </c>
      <c r="AG58" s="156"/>
      <c r="AH58" s="156"/>
      <c r="AI58" s="156"/>
      <c r="AJ58" s="141"/>
      <c r="AK58" s="141"/>
      <c r="AL58" s="141"/>
      <c r="AM58" s="749"/>
      <c r="AN58" s="749"/>
    </row>
    <row r="59" spans="1:40">
      <c r="A59" s="482">
        <v>9</v>
      </c>
      <c r="B59" s="754">
        <f>Paramètres!N14</f>
        <v>0</v>
      </c>
      <c r="C59" s="750">
        <v>37.800000000000004</v>
      </c>
      <c r="D59" s="175">
        <f>VALUE_Wall[[#This Row],[Valeur]]*VALUE_Wall[[#This Row],[Rang]]</f>
        <v>0</v>
      </c>
      <c r="E59" s="482">
        <v>9</v>
      </c>
      <c r="F59" s="754">
        <f>Paramètres!O14</f>
        <v>0</v>
      </c>
      <c r="G59" s="772">
        <v>864</v>
      </c>
      <c r="H59" s="775">
        <f>VALUE_Cannon[[#This Row],[Valeur]]*VALUE_Cannon[[#This Row],[Rang]]</f>
        <v>0</v>
      </c>
      <c r="I59" s="776">
        <v>9</v>
      </c>
      <c r="J59" s="754">
        <f>Paramètres!P14</f>
        <v>0</v>
      </c>
      <c r="K59" s="750">
        <v>864</v>
      </c>
      <c r="L59" s="175">
        <f>VALUE_Archer_Tower[[#This Row],[Valeur]]*VALUE_Archer_Tower[[#This Row],[Rang]]</f>
        <v>0</v>
      </c>
      <c r="M59" s="156"/>
      <c r="N59" s="156"/>
      <c r="O59" s="156"/>
      <c r="P59" s="156"/>
      <c r="Q59" s="156"/>
      <c r="R59" s="156"/>
      <c r="S59" s="156"/>
      <c r="T59" s="156"/>
      <c r="U59" s="156"/>
      <c r="V59" s="156"/>
      <c r="W59" s="156"/>
      <c r="X59" s="156"/>
      <c r="Y59" s="156"/>
      <c r="Z59" s="156"/>
      <c r="AA59" s="156"/>
      <c r="AB59" s="156"/>
      <c r="AC59" s="156"/>
      <c r="AD59" s="156"/>
      <c r="AE59" s="156"/>
      <c r="AF59" s="156"/>
      <c r="AG59" s="156"/>
      <c r="AH59" s="749"/>
      <c r="AI59" s="749"/>
      <c r="AJ59" s="749"/>
      <c r="AK59" s="749"/>
      <c r="AL59" s="749"/>
      <c r="AM59" s="749"/>
      <c r="AN59" s="749"/>
    </row>
    <row r="60" spans="1:40">
      <c r="A60" s="482">
        <v>10</v>
      </c>
      <c r="B60" s="754">
        <f>Paramètres!N15</f>
        <v>0</v>
      </c>
      <c r="C60" s="750">
        <v>42.000000000000007</v>
      </c>
      <c r="D60" s="175">
        <f>VALUE_Wall[[#This Row],[Valeur]]*VALUE_Wall[[#This Row],[Rang]]</f>
        <v>0</v>
      </c>
      <c r="E60" s="482">
        <v>10</v>
      </c>
      <c r="F60" s="754">
        <f>Paramètres!O15</f>
        <v>0</v>
      </c>
      <c r="G60" s="772">
        <v>955</v>
      </c>
      <c r="H60" s="775">
        <f>VALUE_Cannon[[#This Row],[Valeur]]*VALUE_Cannon[[#This Row],[Rang]]</f>
        <v>0</v>
      </c>
      <c r="I60" s="776">
        <v>10</v>
      </c>
      <c r="J60" s="754">
        <f>Paramètres!P15</f>
        <v>0</v>
      </c>
      <c r="K60" s="750">
        <v>955</v>
      </c>
      <c r="L60" s="175">
        <f>VALUE_Archer_Tower[[#This Row],[Valeur]]*VALUE_Archer_Tower[[#This Row],[Rang]]</f>
        <v>0</v>
      </c>
      <c r="M60" s="156"/>
      <c r="N60" s="156"/>
      <c r="O60" s="518"/>
      <c r="P60" s="156"/>
      <c r="Q60" s="156"/>
      <c r="R60" s="156"/>
      <c r="S60" s="156"/>
      <c r="T60" s="156"/>
      <c r="U60" s="156"/>
      <c r="V60" s="156"/>
      <c r="W60" s="156"/>
      <c r="X60" s="156"/>
      <c r="Y60" s="156"/>
      <c r="Z60" s="156"/>
      <c r="AA60" s="156"/>
      <c r="AB60" s="156"/>
      <c r="AC60" s="156"/>
      <c r="AD60" s="156"/>
      <c r="AE60" s="156"/>
      <c r="AF60" s="156"/>
      <c r="AG60" s="156"/>
      <c r="AH60" s="749"/>
      <c r="AI60" s="749"/>
      <c r="AJ60" s="749"/>
      <c r="AK60" s="749"/>
      <c r="AL60" s="749"/>
      <c r="AM60" s="749"/>
      <c r="AN60" s="749"/>
    </row>
    <row r="61" spans="1:40" ht="15.75" thickBot="1">
      <c r="A61" s="489">
        <v>11</v>
      </c>
      <c r="B61" s="755">
        <f>Paramètres!N16</f>
        <v>0</v>
      </c>
      <c r="C61" s="752">
        <v>46.20000000000001</v>
      </c>
      <c r="D61" s="460">
        <f>VALUE_Wall[[#This Row],[Valeur]]*VALUE_Wall[[#This Row],[Rang]]</f>
        <v>0</v>
      </c>
      <c r="E61" s="482">
        <v>11</v>
      </c>
      <c r="F61" s="754">
        <f>Paramètres!O16</f>
        <v>0</v>
      </c>
      <c r="G61" s="772">
        <v>1045</v>
      </c>
      <c r="H61" s="775">
        <f>VALUE_Cannon[[#This Row],[Valeur]]*VALUE_Cannon[[#This Row],[Rang]]</f>
        <v>0</v>
      </c>
      <c r="I61" s="776">
        <v>11</v>
      </c>
      <c r="J61" s="754">
        <f>Paramètres!P16</f>
        <v>0</v>
      </c>
      <c r="K61" s="750">
        <v>1045</v>
      </c>
      <c r="L61" s="175">
        <f>VALUE_Archer_Tower[[#This Row],[Valeur]]*VALUE_Archer_Tower[[#This Row],[Rang]]</f>
        <v>0</v>
      </c>
      <c r="M61" s="156"/>
      <c r="N61" s="156"/>
      <c r="O61" s="518"/>
      <c r="P61" s="156"/>
      <c r="Q61" s="156"/>
      <c r="R61" s="156"/>
      <c r="S61" s="156"/>
      <c r="T61" s="156"/>
      <c r="U61" s="156"/>
      <c r="V61" s="156"/>
      <c r="W61" s="156"/>
      <c r="X61" s="156"/>
      <c r="Y61" s="156"/>
      <c r="Z61" s="156"/>
      <c r="AA61" s="156"/>
      <c r="AB61" s="156"/>
      <c r="AC61" s="749"/>
      <c r="AD61" s="749"/>
      <c r="AE61" s="749"/>
      <c r="AF61" s="749"/>
      <c r="AG61" s="749"/>
      <c r="AH61" s="749"/>
      <c r="AI61" s="749"/>
      <c r="AJ61" s="749"/>
      <c r="AK61" s="749"/>
      <c r="AL61" s="749"/>
      <c r="AM61" s="749"/>
      <c r="AN61" s="749"/>
    </row>
    <row r="62" spans="1:40">
      <c r="A62" s="156"/>
      <c r="B62" s="156"/>
      <c r="C62" s="156"/>
      <c r="D62" s="749"/>
      <c r="E62" s="482">
        <v>12</v>
      </c>
      <c r="F62" s="754">
        <f>Paramètres!O17</f>
        <v>0</v>
      </c>
      <c r="G62" s="772">
        <v>1134</v>
      </c>
      <c r="H62" s="775">
        <f>VALUE_Cannon[[#This Row],[Valeur]]*VALUE_Cannon[[#This Row],[Rang]]</f>
        <v>0</v>
      </c>
      <c r="I62" s="776">
        <v>12</v>
      </c>
      <c r="J62" s="754">
        <f>Paramètres!P17</f>
        <v>0</v>
      </c>
      <c r="K62" s="750">
        <v>1134</v>
      </c>
      <c r="L62" s="175">
        <f>VALUE_Archer_Tower[[#This Row],[Valeur]]*VALUE_Archer_Tower[[#This Row],[Rang]]</f>
        <v>0</v>
      </c>
      <c r="M62" s="156"/>
      <c r="N62" s="156"/>
      <c r="O62" s="156"/>
      <c r="P62" s="156"/>
      <c r="Q62" s="156"/>
      <c r="R62" s="156"/>
      <c r="S62" s="156"/>
      <c r="T62" s="156"/>
      <c r="U62" s="156"/>
      <c r="V62" s="156"/>
      <c r="W62" s="156"/>
      <c r="X62" s="156"/>
      <c r="Y62" s="156"/>
      <c r="Z62" s="156"/>
      <c r="AA62" s="156"/>
      <c r="AB62" s="156"/>
      <c r="AC62" s="156"/>
      <c r="AD62" s="156"/>
      <c r="AE62" s="156"/>
      <c r="AF62" s="156"/>
      <c r="AG62" s="156"/>
      <c r="AH62" s="749"/>
      <c r="AI62" s="749"/>
      <c r="AJ62" s="749"/>
      <c r="AK62" s="749"/>
      <c r="AL62" s="749"/>
      <c r="AM62" s="749"/>
      <c r="AN62" s="749"/>
    </row>
    <row r="63" spans="1:40" ht="15.75" thickBot="1">
      <c r="A63" s="156"/>
      <c r="B63" s="156"/>
      <c r="C63" s="156"/>
      <c r="D63" s="749"/>
      <c r="E63" s="489">
        <v>13</v>
      </c>
      <c r="F63" s="755">
        <f>Paramètres!O18</f>
        <v>0</v>
      </c>
      <c r="G63" s="773">
        <v>1222</v>
      </c>
      <c r="H63" s="777">
        <f>VALUE_Cannon[[#This Row],[Valeur]]*VALUE_Cannon[[#This Row],[Rang]]</f>
        <v>0</v>
      </c>
      <c r="I63" s="778">
        <v>13</v>
      </c>
      <c r="J63" s="755">
        <f>Paramètres!P18</f>
        <v>0</v>
      </c>
      <c r="K63" s="752">
        <v>1222</v>
      </c>
      <c r="L63" s="460">
        <f>VALUE_Archer_Tower[[#This Row],[Valeur]]*VALUE_Archer_Tower[[#This Row],[Rang]]</f>
        <v>0</v>
      </c>
      <c r="M63" s="156"/>
      <c r="N63" s="156"/>
      <c r="O63" s="156"/>
      <c r="P63" s="156"/>
      <c r="Q63" s="156"/>
      <c r="R63" s="156"/>
      <c r="S63" s="156"/>
      <c r="T63" s="156"/>
      <c r="U63" s="156"/>
      <c r="V63" s="156"/>
      <c r="W63" s="156"/>
      <c r="X63" s="156"/>
      <c r="Y63" s="156"/>
      <c r="Z63" s="156"/>
      <c r="AA63" s="156"/>
      <c r="AB63" s="156"/>
      <c r="AC63" s="156"/>
      <c r="AD63" s="156"/>
      <c r="AE63" s="156"/>
      <c r="AF63" s="156"/>
      <c r="AG63" s="156"/>
      <c r="AH63" s="156"/>
      <c r="AI63" s="156"/>
      <c r="AJ63" s="156"/>
      <c r="AK63" s="156"/>
      <c r="AL63" s="749"/>
      <c r="AM63" s="749"/>
      <c r="AN63" s="749"/>
    </row>
    <row r="64" spans="1:40">
      <c r="A64" s="156"/>
      <c r="B64" s="156"/>
      <c r="C64" s="156"/>
      <c r="D64" s="749"/>
      <c r="E64" s="749"/>
      <c r="F64" s="749"/>
      <c r="G64" s="749"/>
      <c r="H64" s="749"/>
      <c r="I64" s="749"/>
      <c r="J64" s="749"/>
      <c r="K64" s="749"/>
      <c r="L64" s="749"/>
      <c r="M64" s="749"/>
      <c r="N64" s="749"/>
      <c r="O64" s="749"/>
      <c r="P64" s="749"/>
      <c r="Q64" s="749"/>
      <c r="R64" s="749"/>
      <c r="S64" s="749"/>
      <c r="T64" s="749"/>
      <c r="U64" s="749"/>
      <c r="V64" s="749"/>
      <c r="W64" s="749"/>
      <c r="X64" s="749"/>
      <c r="Y64" s="749"/>
      <c r="Z64" s="749"/>
      <c r="AA64" s="749"/>
      <c r="AB64" s="749"/>
      <c r="AC64" s="156"/>
      <c r="AD64" s="156"/>
      <c r="AE64" s="156"/>
      <c r="AF64" s="156"/>
      <c r="AG64" s="156"/>
      <c r="AH64" s="156"/>
      <c r="AI64" s="156"/>
      <c r="AJ64" s="156"/>
      <c r="AK64" s="156"/>
      <c r="AL64" s="749"/>
      <c r="AM64" s="749"/>
      <c r="AN64" s="749"/>
    </row>
    <row r="65" spans="1:40" ht="15.75" thickBot="1">
      <c r="A65" s="156"/>
      <c r="B65" s="156"/>
      <c r="C65" s="156"/>
      <c r="D65" s="156"/>
      <c r="E65" s="156"/>
      <c r="F65" s="156"/>
      <c r="G65" s="156"/>
      <c r="H65" s="156"/>
      <c r="I65" s="156"/>
      <c r="J65" s="156"/>
      <c r="K65" s="156"/>
      <c r="L65" s="156"/>
      <c r="M65" s="156"/>
      <c r="N65" s="156"/>
      <c r="O65" s="156"/>
      <c r="P65" s="156"/>
      <c r="Q65" s="156"/>
      <c r="R65" s="156"/>
      <c r="S65" s="156"/>
      <c r="T65" s="156"/>
      <c r="U65" s="156"/>
      <c r="V65" s="156"/>
      <c r="W65" s="156"/>
      <c r="X65" s="156"/>
      <c r="Y65" s="749"/>
      <c r="Z65" s="749"/>
      <c r="AA65" s="749"/>
      <c r="AB65" s="749"/>
      <c r="AC65" s="156"/>
      <c r="AD65" s="156"/>
      <c r="AE65" s="156"/>
      <c r="AF65" s="156"/>
      <c r="AG65" s="156"/>
      <c r="AH65" s="156"/>
      <c r="AI65" s="156"/>
      <c r="AJ65" s="156"/>
      <c r="AK65" s="156"/>
      <c r="AL65" s="749"/>
      <c r="AM65" s="749"/>
      <c r="AN65" s="749"/>
    </row>
    <row r="66" spans="1:40" ht="19.5" customHeight="1" thickBot="1">
      <c r="A66" s="1315" t="s">
        <v>682</v>
      </c>
      <c r="B66" s="1315"/>
      <c r="C66" s="1315"/>
      <c r="D66" s="1315"/>
      <c r="E66" s="1315"/>
      <c r="F66" s="1315"/>
      <c r="G66" s="1315"/>
      <c r="H66" s="1315"/>
      <c r="I66" s="1315"/>
      <c r="J66" s="1315"/>
      <c r="K66" s="1315"/>
      <c r="L66" s="1315"/>
      <c r="M66" s="1315"/>
      <c r="N66" s="1315"/>
      <c r="O66" s="1315"/>
      <c r="P66" s="1315"/>
      <c r="Q66" s="1315"/>
      <c r="R66" s="1315"/>
      <c r="S66" s="1315"/>
      <c r="T66" s="1315"/>
      <c r="U66" s="1315"/>
      <c r="V66" s="1315"/>
      <c r="W66" s="1315"/>
      <c r="X66" s="1315"/>
      <c r="Y66" s="749"/>
      <c r="Z66" s="749"/>
      <c r="AA66" s="749"/>
      <c r="AB66" s="749"/>
      <c r="AC66" s="156"/>
      <c r="AD66" s="156"/>
      <c r="AE66" s="156"/>
      <c r="AF66" s="156"/>
      <c r="AG66" s="156"/>
      <c r="AH66" s="156"/>
      <c r="AI66" s="156"/>
      <c r="AJ66" s="156"/>
      <c r="AK66" s="156"/>
      <c r="AL66" s="749"/>
      <c r="AM66" s="749"/>
      <c r="AN66" s="749"/>
    </row>
    <row r="67" spans="1:40" ht="15.75" customHeight="1" thickBot="1">
      <c r="A67" s="1314" t="s">
        <v>561</v>
      </c>
      <c r="B67" s="1314"/>
      <c r="C67" s="1314"/>
      <c r="D67" s="1314"/>
      <c r="E67" s="1314" t="s">
        <v>559</v>
      </c>
      <c r="F67" s="1314"/>
      <c r="G67" s="1314"/>
      <c r="H67" s="1314"/>
      <c r="I67" s="1314" t="s">
        <v>558</v>
      </c>
      <c r="J67" s="1314"/>
      <c r="K67" s="1314"/>
      <c r="L67" s="1314"/>
      <c r="M67" s="1314" t="s">
        <v>560</v>
      </c>
      <c r="N67" s="1314"/>
      <c r="O67" s="1314"/>
      <c r="P67" s="1314"/>
      <c r="Q67" s="1314" t="s">
        <v>562</v>
      </c>
      <c r="R67" s="1314"/>
      <c r="S67" s="1314"/>
      <c r="T67" s="1314"/>
      <c r="U67" s="1314" t="s">
        <v>564</v>
      </c>
      <c r="V67" s="1314"/>
      <c r="W67" s="1314"/>
      <c r="X67" s="1314"/>
      <c r="Y67" s="749"/>
      <c r="Z67" s="749"/>
      <c r="AA67" s="749"/>
      <c r="AB67" s="749"/>
      <c r="AC67" s="156"/>
      <c r="AD67" s="156"/>
      <c r="AE67" s="156"/>
      <c r="AF67" s="156"/>
      <c r="AG67" s="156"/>
      <c r="AH67" s="156"/>
      <c r="AI67" s="156"/>
      <c r="AJ67" s="156"/>
      <c r="AK67" s="156"/>
      <c r="AL67" s="749"/>
      <c r="AM67" s="749"/>
      <c r="AN67" s="749"/>
    </row>
    <row r="68" spans="1:40" ht="15.75" thickBot="1">
      <c r="A68" s="614" t="s">
        <v>17</v>
      </c>
      <c r="B68" s="255" t="s">
        <v>697</v>
      </c>
      <c r="C68" s="255" t="s">
        <v>678</v>
      </c>
      <c r="D68" s="163" t="s">
        <v>31</v>
      </c>
      <c r="E68" s="614" t="s">
        <v>17</v>
      </c>
      <c r="F68" s="255" t="s">
        <v>697</v>
      </c>
      <c r="G68" s="255" t="s">
        <v>678</v>
      </c>
      <c r="H68" s="163" t="s">
        <v>31</v>
      </c>
      <c r="I68" s="614" t="s">
        <v>17</v>
      </c>
      <c r="J68" s="255" t="s">
        <v>697</v>
      </c>
      <c r="K68" s="255" t="s">
        <v>678</v>
      </c>
      <c r="L68" s="163" t="s">
        <v>31</v>
      </c>
      <c r="M68" s="614" t="s">
        <v>17</v>
      </c>
      <c r="N68" s="255" t="s">
        <v>697</v>
      </c>
      <c r="O68" s="255" t="s">
        <v>678</v>
      </c>
      <c r="P68" s="163" t="s">
        <v>31</v>
      </c>
      <c r="Q68" s="614" t="s">
        <v>17</v>
      </c>
      <c r="R68" s="255" t="s">
        <v>697</v>
      </c>
      <c r="S68" s="255" t="s">
        <v>678</v>
      </c>
      <c r="T68" s="163" t="s">
        <v>31</v>
      </c>
      <c r="U68" s="614" t="s">
        <v>17</v>
      </c>
      <c r="V68" s="255" t="s">
        <v>697</v>
      </c>
      <c r="W68" s="255" t="s">
        <v>678</v>
      </c>
      <c r="X68" s="163" t="s">
        <v>31</v>
      </c>
      <c r="Y68" s="749"/>
      <c r="Z68" s="749"/>
      <c r="AA68" s="749"/>
      <c r="AB68" s="749"/>
      <c r="AC68" s="156"/>
      <c r="AD68" s="156"/>
      <c r="AE68" s="156"/>
      <c r="AF68" s="156"/>
      <c r="AG68" s="156"/>
      <c r="AH68" s="156"/>
      <c r="AI68" s="156"/>
      <c r="AJ68" s="156"/>
      <c r="AK68" s="156"/>
      <c r="AL68" s="749"/>
      <c r="AM68" s="749"/>
      <c r="AN68" s="749"/>
    </row>
    <row r="69" spans="1:40" ht="15.75" thickBot="1">
      <c r="A69" s="743">
        <v>1</v>
      </c>
      <c r="B69" s="753">
        <f>Paramètres!Y6</f>
        <v>0</v>
      </c>
      <c r="C69" s="751">
        <v>100</v>
      </c>
      <c r="D69" s="174">
        <f>VALUE_Bomb[[#This Row],[Valeur]]*VALUE_Bomb[[#This Row],[Rang]]</f>
        <v>0</v>
      </c>
      <c r="E69" s="742">
        <v>1</v>
      </c>
      <c r="F69" s="782">
        <f>Paramètres!Z6</f>
        <v>0</v>
      </c>
      <c r="G69" s="783">
        <v>20</v>
      </c>
      <c r="H69" s="784">
        <f>[Valeur]*[Rang]</f>
        <v>0</v>
      </c>
      <c r="I69" s="743">
        <v>1</v>
      </c>
      <c r="J69" s="753">
        <f>Paramètres!AA6</f>
        <v>0</v>
      </c>
      <c r="K69" s="751">
        <v>100</v>
      </c>
      <c r="L69" s="174">
        <f>VALUE_Giant_Bomb[[#This Row],[Valeur]]*VALUE_Giant_Bomb[[#This Row],[Rang]]</f>
        <v>0</v>
      </c>
      <c r="M69" s="743">
        <v>1</v>
      </c>
      <c r="N69" s="753">
        <f>Paramètres!AB6</f>
        <v>0</v>
      </c>
      <c r="O69" s="751">
        <v>50</v>
      </c>
      <c r="P69" s="174">
        <f>VALUE_Air_Bomb[[#This Row],[Valeur]]*VALUE_Air_Bomb[[#This Row],[Rang]]</f>
        <v>0</v>
      </c>
      <c r="Q69" s="743">
        <v>1</v>
      </c>
      <c r="R69" s="753">
        <f>Paramètres!AC6</f>
        <v>0</v>
      </c>
      <c r="S69" s="751">
        <v>20</v>
      </c>
      <c r="T69" s="174">
        <f>VALUE_Seeking_Air_Mine[[#This Row],[Valeur]]*VALUE_Seeking_Air_Mine[[#This Row],[Rang]]</f>
        <v>0</v>
      </c>
      <c r="U69" s="743">
        <v>1</v>
      </c>
      <c r="V69" s="753">
        <f>Paramètres!AD6</f>
        <v>0</v>
      </c>
      <c r="W69" s="751">
        <v>50</v>
      </c>
      <c r="X69" s="174">
        <f>VALUE_Skeleton_Trap[[#This Row],[Valeur]]*VALUE_Skeleton_Trap[[#This Row],[Rang]]</f>
        <v>0</v>
      </c>
      <c r="Y69" s="749"/>
      <c r="Z69" s="749"/>
      <c r="AA69" s="749"/>
      <c r="AB69" s="749"/>
      <c r="AC69" s="156"/>
      <c r="AD69" s="156"/>
      <c r="AE69" s="156"/>
      <c r="AF69" s="156"/>
      <c r="AG69" s="156"/>
      <c r="AH69" s="156"/>
      <c r="AI69" s="156"/>
      <c r="AJ69" s="156"/>
      <c r="AK69" s="156"/>
      <c r="AL69" s="749"/>
      <c r="AM69" s="749"/>
      <c r="AN69" s="749"/>
    </row>
    <row r="70" spans="1:40">
      <c r="A70" s="482">
        <v>2</v>
      </c>
      <c r="B70" s="754">
        <f>Paramètres!Y7</f>
        <v>0</v>
      </c>
      <c r="C70" s="750">
        <v>200</v>
      </c>
      <c r="D70" s="175">
        <f>VALUE_Bomb[[#This Row],[Valeur]]*VALUE_Bomb[[#This Row],[Rang]]</f>
        <v>0</v>
      </c>
      <c r="E70" s="518"/>
      <c r="F70" s="518"/>
      <c r="G70" s="518"/>
      <c r="H70" s="779"/>
      <c r="I70" s="482">
        <v>2</v>
      </c>
      <c r="J70" s="754">
        <f>Paramètres!AA7</f>
        <v>0</v>
      </c>
      <c r="K70" s="750">
        <v>200</v>
      </c>
      <c r="L70" s="175">
        <f>VALUE_Giant_Bomb[[#This Row],[Valeur]]*VALUE_Giant_Bomb[[#This Row],[Rang]]</f>
        <v>0</v>
      </c>
      <c r="M70" s="482">
        <v>2</v>
      </c>
      <c r="N70" s="754">
        <f>Paramètres!AB7</f>
        <v>0</v>
      </c>
      <c r="O70" s="750">
        <v>100</v>
      </c>
      <c r="P70" s="175">
        <f>VALUE_Air_Bomb[[#This Row],[Valeur]]*VALUE_Air_Bomb[[#This Row],[Rang]]</f>
        <v>0</v>
      </c>
      <c r="Q70" s="482">
        <v>2</v>
      </c>
      <c r="R70" s="754">
        <f>Paramètres!AC7</f>
        <v>0</v>
      </c>
      <c r="S70" s="750">
        <v>40</v>
      </c>
      <c r="T70" s="175">
        <f>VALUE_Seeking_Air_Mine[[#This Row],[Valeur]]*VALUE_Seeking_Air_Mine[[#This Row],[Rang]]</f>
        <v>0</v>
      </c>
      <c r="U70" s="482">
        <v>2</v>
      </c>
      <c r="V70" s="754">
        <f>Paramètres!AD7</f>
        <v>0</v>
      </c>
      <c r="W70" s="750">
        <v>50</v>
      </c>
      <c r="X70" s="175">
        <f>VALUE_Skeleton_Trap[[#This Row],[Valeur]]*VALUE_Skeleton_Trap[[#This Row],[Rang]]</f>
        <v>0</v>
      </c>
      <c r="Y70" s="749"/>
      <c r="Z70" s="749"/>
      <c r="AA70" s="749"/>
      <c r="AB70" s="749"/>
      <c r="AC70" s="156"/>
      <c r="AD70" s="156"/>
      <c r="AE70" s="156"/>
      <c r="AF70" s="156"/>
      <c r="AG70" s="156"/>
      <c r="AH70" s="156"/>
      <c r="AI70" s="156"/>
      <c r="AJ70" s="156"/>
      <c r="AK70" s="156"/>
      <c r="AL70" s="749"/>
      <c r="AM70" s="749"/>
      <c r="AN70" s="749"/>
    </row>
    <row r="71" spans="1:40" ht="15.75" thickBot="1">
      <c r="A71" s="482">
        <v>3</v>
      </c>
      <c r="B71" s="754">
        <f>Paramètres!Y8</f>
        <v>0</v>
      </c>
      <c r="C71" s="750">
        <v>300</v>
      </c>
      <c r="D71" s="175">
        <f>VALUE_Bomb[[#This Row],[Valeur]]*VALUE_Bomb[[#This Row],[Rang]]</f>
        <v>0</v>
      </c>
      <c r="E71" s="518"/>
      <c r="F71" s="518"/>
      <c r="G71" s="518"/>
      <c r="H71" s="779"/>
      <c r="I71" s="482">
        <v>3</v>
      </c>
      <c r="J71" s="754">
        <f>Paramètres!AA8</f>
        <v>0</v>
      </c>
      <c r="K71" s="750">
        <v>300</v>
      </c>
      <c r="L71" s="175">
        <f>VALUE_Giant_Bomb[[#This Row],[Valeur]]*VALUE_Giant_Bomb[[#This Row],[Rang]]</f>
        <v>0</v>
      </c>
      <c r="M71" s="482">
        <v>3</v>
      </c>
      <c r="N71" s="754">
        <f>Paramètres!AB8</f>
        <v>0</v>
      </c>
      <c r="O71" s="750">
        <v>150</v>
      </c>
      <c r="P71" s="175">
        <f>VALUE_Air_Bomb[[#This Row],[Valeur]]*VALUE_Air_Bomb[[#This Row],[Rang]]</f>
        <v>0</v>
      </c>
      <c r="Q71" s="489">
        <v>3</v>
      </c>
      <c r="R71" s="755">
        <f>Paramètres!AC8</f>
        <v>0</v>
      </c>
      <c r="S71" s="752">
        <v>60</v>
      </c>
      <c r="T71" s="460">
        <f>VALUE_Seeking_Air_Mine[[#This Row],[Valeur]]*VALUE_Seeking_Air_Mine[[#This Row],[Rang]]</f>
        <v>0</v>
      </c>
      <c r="U71" s="489">
        <v>3</v>
      </c>
      <c r="V71" s="755">
        <f>Paramètres!AD8</f>
        <v>0</v>
      </c>
      <c r="W71" s="752">
        <v>50</v>
      </c>
      <c r="X71" s="460">
        <f>VALUE_Skeleton_Trap[[#This Row],[Valeur]]*VALUE_Skeleton_Trap[[#This Row],[Rang]]</f>
        <v>0</v>
      </c>
      <c r="Y71" s="749"/>
      <c r="Z71" s="749"/>
      <c r="AA71" s="749"/>
      <c r="AB71" s="749"/>
      <c r="AC71" s="156"/>
      <c r="AD71" s="156"/>
      <c r="AE71" s="156"/>
      <c r="AF71" s="156"/>
      <c r="AG71" s="156"/>
      <c r="AH71" s="156"/>
      <c r="AI71" s="156"/>
      <c r="AJ71" s="156"/>
      <c r="AK71" s="156"/>
      <c r="AL71" s="749"/>
      <c r="AM71" s="749"/>
      <c r="AN71" s="749"/>
    </row>
    <row r="72" spans="1:40" ht="15.75" thickBot="1">
      <c r="A72" s="482">
        <v>4</v>
      </c>
      <c r="B72" s="754">
        <f>Paramètres!Y9</f>
        <v>0</v>
      </c>
      <c r="C72" s="750">
        <v>400</v>
      </c>
      <c r="D72" s="175">
        <f>VALUE_Bomb[[#This Row],[Valeur]]*VALUE_Bomb[[#This Row],[Rang]]</f>
        <v>0</v>
      </c>
      <c r="E72" s="518"/>
      <c r="F72" s="518"/>
      <c r="G72" s="518"/>
      <c r="H72" s="779"/>
      <c r="I72" s="489">
        <v>4</v>
      </c>
      <c r="J72" s="755">
        <f>Paramètres!AA9</f>
        <v>0</v>
      </c>
      <c r="K72" s="752">
        <v>400</v>
      </c>
      <c r="L72" s="460">
        <f>VALUE_Giant_Bomb[[#This Row],[Valeur]]*VALUE_Giant_Bomb[[#This Row],[Rang]]</f>
        <v>0</v>
      </c>
      <c r="M72" s="489">
        <v>4</v>
      </c>
      <c r="N72" s="755">
        <f>Paramètres!AB9</f>
        <v>0</v>
      </c>
      <c r="O72" s="752">
        <v>200</v>
      </c>
      <c r="P72" s="460">
        <f>VALUE_Air_Bomb[[#This Row],[Valeur]]*VALUE_Air_Bomb[[#This Row],[Rang]]</f>
        <v>0</v>
      </c>
      <c r="Q72" s="518"/>
      <c r="R72" s="518"/>
      <c r="S72" s="518"/>
      <c r="T72" s="518"/>
      <c r="U72" s="518"/>
      <c r="V72" s="518"/>
      <c r="W72" s="518"/>
      <c r="X72" s="780"/>
      <c r="Y72" s="749"/>
      <c r="Z72" s="749"/>
      <c r="AA72" s="749"/>
      <c r="AB72" s="749"/>
      <c r="AC72" s="156"/>
      <c r="AD72" s="156"/>
      <c r="AE72" s="156"/>
      <c r="AF72" s="156"/>
      <c r="AG72" s="156"/>
      <c r="AH72" s="156"/>
      <c r="AI72" s="156"/>
      <c r="AJ72" s="156"/>
      <c r="AK72" s="156"/>
      <c r="AL72" s="749"/>
      <c r="AM72" s="749"/>
      <c r="AN72" s="749"/>
    </row>
    <row r="73" spans="1:40">
      <c r="A73" s="482">
        <v>5</v>
      </c>
      <c r="B73" s="754">
        <f>Paramètres!Y10</f>
        <v>0</v>
      </c>
      <c r="C73" s="750">
        <v>500</v>
      </c>
      <c r="D73" s="175">
        <f>VALUE_Bomb[[#This Row],[Valeur]]*VALUE_Bomb[[#This Row],[Rang]]</f>
        <v>0</v>
      </c>
      <c r="E73" s="518"/>
      <c r="F73" s="518"/>
      <c r="G73" s="518"/>
      <c r="H73" s="780"/>
      <c r="I73" s="779"/>
      <c r="J73" s="779"/>
      <c r="K73" s="779"/>
      <c r="L73" s="779"/>
      <c r="M73" s="779"/>
      <c r="N73" s="779"/>
      <c r="O73" s="779"/>
      <c r="P73" s="779"/>
      <c r="Q73" s="779"/>
      <c r="R73" s="779"/>
      <c r="S73" s="779"/>
      <c r="T73" s="779"/>
      <c r="U73" s="779"/>
      <c r="V73" s="779"/>
      <c r="W73" s="779"/>
      <c r="X73" s="779"/>
      <c r="Y73" s="749"/>
      <c r="Z73" s="749"/>
      <c r="AA73" s="749"/>
      <c r="AB73" s="749"/>
      <c r="AC73" s="156"/>
      <c r="AD73" s="156"/>
      <c r="AE73" s="156"/>
      <c r="AF73" s="156"/>
      <c r="AG73" s="156"/>
      <c r="AH73" s="156"/>
      <c r="AI73" s="156"/>
      <c r="AJ73" s="156"/>
      <c r="AK73" s="156"/>
      <c r="AL73" s="749"/>
      <c r="AM73" s="749"/>
      <c r="AN73" s="749"/>
    </row>
    <row r="74" spans="1:40" ht="15.75" thickBot="1">
      <c r="A74" s="489">
        <v>6</v>
      </c>
      <c r="B74" s="755">
        <f>Paramètres!Y11</f>
        <v>0</v>
      </c>
      <c r="C74" s="752">
        <v>600</v>
      </c>
      <c r="D74" s="460">
        <f>VALUE_Bomb[[#This Row],[Valeur]]*VALUE_Bomb[[#This Row],[Rang]]</f>
        <v>0</v>
      </c>
      <c r="E74" s="518"/>
      <c r="F74" s="518"/>
      <c r="G74" s="518"/>
      <c r="H74" s="518"/>
      <c r="I74" s="779"/>
      <c r="J74" s="779"/>
      <c r="K74" s="779"/>
      <c r="L74" s="779"/>
      <c r="M74" s="779"/>
      <c r="N74" s="779"/>
      <c r="O74" s="779"/>
      <c r="P74" s="779"/>
      <c r="Q74" s="779"/>
      <c r="R74" s="779"/>
      <c r="S74" s="779"/>
      <c r="T74" s="779"/>
      <c r="U74" s="779"/>
      <c r="V74" s="779"/>
      <c r="W74" s="779"/>
      <c r="X74" s="779"/>
      <c r="Y74" s="749"/>
      <c r="Z74" s="749"/>
      <c r="AA74" s="749"/>
      <c r="AB74" s="749"/>
      <c r="AC74" s="156"/>
      <c r="AD74" s="156"/>
      <c r="AE74" s="156"/>
      <c r="AF74" s="156"/>
      <c r="AG74" s="156"/>
      <c r="AH74" s="156"/>
      <c r="AI74" s="156"/>
      <c r="AJ74" s="156"/>
      <c r="AK74" s="156"/>
      <c r="AL74" s="749"/>
      <c r="AM74" s="749"/>
      <c r="AN74" s="749"/>
    </row>
    <row r="75" spans="1:40">
      <c r="A75" s="156"/>
      <c r="B75" s="156"/>
      <c r="C75" s="156"/>
      <c r="D75" s="156"/>
      <c r="E75" s="156"/>
      <c r="F75" s="156"/>
      <c r="G75" s="156"/>
      <c r="H75" s="156"/>
      <c r="I75" s="156"/>
      <c r="J75" s="156"/>
      <c r="K75" s="156"/>
      <c r="L75" s="156"/>
      <c r="M75" s="156"/>
      <c r="N75" s="156"/>
      <c r="O75" s="156"/>
      <c r="P75" s="156"/>
      <c r="Q75" s="156"/>
      <c r="R75" s="156"/>
      <c r="S75" s="156"/>
      <c r="T75" s="749"/>
      <c r="U75" s="749"/>
      <c r="V75" s="749"/>
      <c r="W75" s="749"/>
      <c r="X75" s="749"/>
      <c r="Y75" s="749"/>
      <c r="Z75" s="749"/>
      <c r="AA75" s="749"/>
      <c r="AB75" s="749"/>
      <c r="AC75" s="156"/>
      <c r="AD75" s="156"/>
      <c r="AE75" s="156"/>
      <c r="AF75" s="156"/>
      <c r="AG75" s="156"/>
      <c r="AH75" s="156"/>
      <c r="AI75" s="156"/>
      <c r="AJ75" s="156"/>
      <c r="AK75" s="156"/>
      <c r="AL75" s="749"/>
      <c r="AM75" s="749"/>
      <c r="AN75" s="749"/>
    </row>
    <row r="76" spans="1:40" ht="15.75" thickBot="1">
      <c r="A76" s="156"/>
      <c r="B76" s="156"/>
      <c r="C76" s="156"/>
      <c r="D76" s="156"/>
      <c r="E76" s="156"/>
      <c r="F76" s="156"/>
      <c r="G76" s="156"/>
      <c r="H76" s="156"/>
      <c r="I76" s="156"/>
      <c r="J76" s="156"/>
      <c r="K76" s="156"/>
      <c r="L76" s="156"/>
      <c r="M76" s="156"/>
      <c r="N76" s="156"/>
      <c r="O76" s="156"/>
      <c r="P76" s="156"/>
      <c r="Q76" s="156"/>
      <c r="R76" s="156"/>
      <c r="S76" s="156"/>
      <c r="T76" s="749"/>
      <c r="U76" s="749"/>
      <c r="V76" s="749"/>
      <c r="W76" s="749"/>
      <c r="X76" s="749"/>
      <c r="Y76" s="749"/>
      <c r="Z76" s="749"/>
      <c r="AA76" s="749"/>
      <c r="AB76" s="749"/>
      <c r="AC76" s="749"/>
      <c r="AD76" s="749"/>
      <c r="AE76" s="749"/>
      <c r="AF76" s="749"/>
      <c r="AG76" s="749"/>
      <c r="AH76" s="749"/>
      <c r="AI76" s="749"/>
      <c r="AJ76" s="749"/>
      <c r="AK76" s="749"/>
      <c r="AL76" s="749"/>
      <c r="AM76" s="749"/>
      <c r="AN76" s="749"/>
    </row>
    <row r="77" spans="1:40" ht="19.5" customHeight="1" thickBot="1">
      <c r="A77" s="1272" t="s">
        <v>684</v>
      </c>
      <c r="B77" s="1273"/>
      <c r="C77" s="1273"/>
      <c r="D77" s="1273"/>
      <c r="E77" s="1273"/>
      <c r="F77" s="1273"/>
      <c r="G77" s="1273"/>
      <c r="H77" s="1274"/>
      <c r="I77" s="156"/>
      <c r="J77" s="156"/>
      <c r="K77" s="749"/>
      <c r="L77" s="749"/>
      <c r="M77" s="1272" t="s">
        <v>679</v>
      </c>
      <c r="N77" s="1273"/>
      <c r="O77" s="1273"/>
      <c r="P77" s="1273"/>
      <c r="Q77" s="1273"/>
      <c r="R77" s="1273"/>
      <c r="S77" s="1273"/>
      <c r="T77" s="1273"/>
      <c r="U77" s="1273"/>
      <c r="V77" s="1273"/>
      <c r="W77" s="1273"/>
      <c r="X77" s="1273"/>
      <c r="Y77" s="1273"/>
      <c r="Z77" s="1273"/>
      <c r="AA77" s="1273"/>
      <c r="AB77" s="1273"/>
      <c r="AC77" s="1273"/>
      <c r="AD77" s="1273"/>
      <c r="AE77" s="1273"/>
      <c r="AF77" s="1273"/>
      <c r="AG77" s="1273"/>
      <c r="AH77" s="1273"/>
      <c r="AI77" s="1273"/>
      <c r="AJ77" s="1274"/>
      <c r="AK77" s="749"/>
      <c r="AL77" s="749"/>
      <c r="AM77" s="749"/>
      <c r="AN77" s="749"/>
    </row>
    <row r="78" spans="1:40" ht="15.75" customHeight="1" thickBot="1">
      <c r="A78" s="1294" t="s">
        <v>196</v>
      </c>
      <c r="B78" s="1295"/>
      <c r="C78" s="1295"/>
      <c r="D78" s="1295"/>
      <c r="E78" s="1288" t="s">
        <v>182</v>
      </c>
      <c r="F78" s="1289"/>
      <c r="G78" s="1289"/>
      <c r="H78" s="1290"/>
      <c r="I78" s="156"/>
      <c r="J78" s="156"/>
      <c r="K78" s="749"/>
      <c r="L78" s="749"/>
      <c r="M78" s="1291" t="s">
        <v>176</v>
      </c>
      <c r="N78" s="1292"/>
      <c r="O78" s="1292"/>
      <c r="P78" s="1293"/>
      <c r="Q78" s="1291" t="s">
        <v>211</v>
      </c>
      <c r="R78" s="1292"/>
      <c r="S78" s="1292"/>
      <c r="T78" s="1293"/>
      <c r="U78" s="1291" t="s">
        <v>212</v>
      </c>
      <c r="V78" s="1292"/>
      <c r="W78" s="1292"/>
      <c r="X78" s="1293"/>
      <c r="Y78" s="1294" t="s">
        <v>451</v>
      </c>
      <c r="Z78" s="1295"/>
      <c r="AA78" s="1295"/>
      <c r="AB78" s="1296"/>
      <c r="AC78" s="1291" t="s">
        <v>210</v>
      </c>
      <c r="AD78" s="1292"/>
      <c r="AE78" s="1292"/>
      <c r="AF78" s="1293"/>
      <c r="AG78" s="1291" t="s">
        <v>452</v>
      </c>
      <c r="AH78" s="1292"/>
      <c r="AI78" s="1292"/>
      <c r="AJ78" s="1292"/>
      <c r="AK78" s="749"/>
      <c r="AL78" s="749"/>
      <c r="AM78" s="749"/>
      <c r="AN78" s="749"/>
    </row>
    <row r="79" spans="1:40" ht="15.75" thickBot="1">
      <c r="A79" s="614" t="s">
        <v>17</v>
      </c>
      <c r="B79" s="255" t="s">
        <v>697</v>
      </c>
      <c r="C79" s="255" t="s">
        <v>678</v>
      </c>
      <c r="D79" s="787" t="s">
        <v>31</v>
      </c>
      <c r="E79" s="614" t="s">
        <v>17</v>
      </c>
      <c r="F79" s="255" t="s">
        <v>697</v>
      </c>
      <c r="G79" s="255" t="s">
        <v>678</v>
      </c>
      <c r="H79" s="163" t="s">
        <v>31</v>
      </c>
      <c r="I79" s="156"/>
      <c r="J79" s="156"/>
      <c r="K79" s="749"/>
      <c r="L79" s="749"/>
      <c r="M79" s="161" t="s">
        <v>17</v>
      </c>
      <c r="N79" s="745" t="s">
        <v>697</v>
      </c>
      <c r="O79" s="614" t="s">
        <v>678</v>
      </c>
      <c r="P79" s="163" t="s">
        <v>31</v>
      </c>
      <c r="Q79" s="161" t="s">
        <v>17</v>
      </c>
      <c r="R79" s="745" t="s">
        <v>697</v>
      </c>
      <c r="S79" s="614" t="s">
        <v>678</v>
      </c>
      <c r="T79" s="163" t="s">
        <v>31</v>
      </c>
      <c r="U79" s="161" t="s">
        <v>17</v>
      </c>
      <c r="V79" s="745" t="s">
        <v>697</v>
      </c>
      <c r="W79" s="614" t="s">
        <v>678</v>
      </c>
      <c r="X79" s="163" t="s">
        <v>31</v>
      </c>
      <c r="Y79" s="161" t="s">
        <v>17</v>
      </c>
      <c r="Z79" s="745" t="s">
        <v>697</v>
      </c>
      <c r="AA79" s="614" t="s">
        <v>678</v>
      </c>
      <c r="AB79" s="163" t="s">
        <v>31</v>
      </c>
      <c r="AC79" s="161" t="s">
        <v>17</v>
      </c>
      <c r="AD79" s="745" t="s">
        <v>697</v>
      </c>
      <c r="AE79" s="614" t="s">
        <v>678</v>
      </c>
      <c r="AF79" s="163" t="s">
        <v>31</v>
      </c>
      <c r="AG79" s="161" t="s">
        <v>17</v>
      </c>
      <c r="AH79" s="745" t="s">
        <v>697</v>
      </c>
      <c r="AI79" s="614" t="s">
        <v>678</v>
      </c>
      <c r="AJ79" s="163" t="s">
        <v>31</v>
      </c>
      <c r="AK79" s="749"/>
      <c r="AL79" s="749"/>
      <c r="AM79" s="749"/>
      <c r="AN79" s="749"/>
    </row>
    <row r="80" spans="1:40">
      <c r="A80" s="486">
        <v>1</v>
      </c>
      <c r="B80" s="785">
        <f>Paramètres!BE6</f>
        <v>0</v>
      </c>
      <c r="C80" s="786">
        <v>15</v>
      </c>
      <c r="D80" s="167">
        <f>VALUE_Barbarian_King[[#This Row],[Valeur]]*VALUE_Barbarian_King[[#This Row],[Rang]]</f>
        <v>0</v>
      </c>
      <c r="E80" s="486">
        <v>1</v>
      </c>
      <c r="F80" s="785">
        <f>Paramètres!BG6</f>
        <v>0</v>
      </c>
      <c r="G80" s="786">
        <v>26</v>
      </c>
      <c r="H80" s="548">
        <f>VALUE_Archer_Queen[[#This Row],[Valeur]]*VALUE_Archer_Queen[[#This Row],[Rang]]</f>
        <v>0</v>
      </c>
      <c r="I80" s="156"/>
      <c r="J80" s="189"/>
      <c r="K80" s="749"/>
      <c r="L80" s="749"/>
      <c r="M80" s="741">
        <v>1</v>
      </c>
      <c r="N80" s="753">
        <f>Paramètres!B6</f>
        <v>0</v>
      </c>
      <c r="O80" s="751">
        <v>0</v>
      </c>
      <c r="P80" s="174">
        <f>VALUE_Gold_Mine[[#This Row],[Valeur]]*VALUE_Gold_Mine[[#This Row],[Rang]]</f>
        <v>0</v>
      </c>
      <c r="Q80" s="741">
        <v>1</v>
      </c>
      <c r="R80" s="753">
        <f>Paramètres!D6</f>
        <v>0</v>
      </c>
      <c r="S80" s="751">
        <v>0</v>
      </c>
      <c r="T80" s="174">
        <f>VALUE_Dark_Elixir_Drill[[#This Row],[Valeur]]*VALUE_Dark_Elixir_Drill[[#This Row],[Rang]]</f>
        <v>0</v>
      </c>
      <c r="U80" s="741">
        <v>1</v>
      </c>
      <c r="V80" s="753">
        <f>Paramètres!E6</f>
        <v>0</v>
      </c>
      <c r="W80" s="751">
        <v>0</v>
      </c>
      <c r="X80" s="174">
        <f>VALUE_Gold_Storage[[#This Row],[Valeur]]*VALUE_Gold_Storage[[#This Row],[Rang]]</f>
        <v>0</v>
      </c>
      <c r="Y80" s="741">
        <v>1</v>
      </c>
      <c r="Z80" s="753">
        <f>Paramètres!G6</f>
        <v>0</v>
      </c>
      <c r="AA80" s="751">
        <v>0</v>
      </c>
      <c r="AB80" s="174">
        <f>VALUE_Dark_Elixir_Storage[[#This Row],[Valeur]]*VALUE_Dark_Elixir_Storage[[#This Row],[Rang]]</f>
        <v>0</v>
      </c>
      <c r="AC80" s="741">
        <v>1</v>
      </c>
      <c r="AD80" s="753">
        <f>Paramètres!C6</f>
        <v>0</v>
      </c>
      <c r="AE80" s="751">
        <v>0</v>
      </c>
      <c r="AF80" s="174">
        <f>VALUE_Elixir_Collector[[#This Row],[Valeur]]*VALUE_Elixir_Collector[[#This Row],[Rang]]</f>
        <v>0</v>
      </c>
      <c r="AG80" s="741">
        <v>1</v>
      </c>
      <c r="AH80" s="753">
        <f>Paramètres!F6</f>
        <v>0</v>
      </c>
      <c r="AI80" s="751">
        <v>0</v>
      </c>
      <c r="AJ80" s="174">
        <f>VALUE_Elixir_Storage[[#This Row],[Valeur]]*VALUE_Elixir_Storage[[#This Row],[Rang]]</f>
        <v>0</v>
      </c>
      <c r="AK80" s="749"/>
      <c r="AL80" s="749"/>
      <c r="AM80" s="749"/>
      <c r="AN80" s="749"/>
    </row>
    <row r="81" spans="1:40" ht="19.5" customHeight="1">
      <c r="A81" s="482">
        <v>2</v>
      </c>
      <c r="B81" s="754">
        <f>Paramètres!BE7</f>
        <v>0</v>
      </c>
      <c r="C81" s="750">
        <f>15+C80</f>
        <v>30</v>
      </c>
      <c r="D81" s="169">
        <f>VALUE_Barbarian_King[[#This Row],[Valeur]]*VALUE_Barbarian_King[[#This Row],[Rang]]</f>
        <v>0</v>
      </c>
      <c r="E81" s="482">
        <v>2</v>
      </c>
      <c r="F81" s="754">
        <f>Paramètres!BG7</f>
        <v>0</v>
      </c>
      <c r="G81" s="750">
        <f>G80+26</f>
        <v>52</v>
      </c>
      <c r="H81" s="175">
        <f>VALUE_Archer_Queen[[#This Row],[Valeur]]*VALUE_Archer_Queen[[#This Row],[Rang]]</f>
        <v>0</v>
      </c>
      <c r="I81" s="156"/>
      <c r="J81" s="189"/>
      <c r="K81" s="749"/>
      <c r="L81" s="749"/>
      <c r="M81" s="482">
        <v>2</v>
      </c>
      <c r="N81" s="754">
        <f>Paramètres!B7</f>
        <v>0</v>
      </c>
      <c r="O81" s="750">
        <v>0</v>
      </c>
      <c r="P81" s="175">
        <f>VALUE_Gold_Mine[[#This Row],[Valeur]]*VALUE_Gold_Mine[[#This Row],[Rang]]</f>
        <v>0</v>
      </c>
      <c r="Q81" s="482">
        <v>2</v>
      </c>
      <c r="R81" s="754">
        <f>Paramètres!D7</f>
        <v>0</v>
      </c>
      <c r="S81" s="750">
        <v>0</v>
      </c>
      <c r="T81" s="175">
        <f>VALUE_Dark_Elixir_Drill[[#This Row],[Valeur]]*VALUE_Dark_Elixir_Drill[[#This Row],[Rang]]</f>
        <v>0</v>
      </c>
      <c r="U81" s="482">
        <v>2</v>
      </c>
      <c r="V81" s="754">
        <f>Paramètres!E7</f>
        <v>0</v>
      </c>
      <c r="W81" s="750">
        <v>0</v>
      </c>
      <c r="X81" s="175">
        <f>VALUE_Gold_Storage[[#This Row],[Valeur]]*VALUE_Gold_Storage[[#This Row],[Rang]]</f>
        <v>0</v>
      </c>
      <c r="Y81" s="482">
        <v>2</v>
      </c>
      <c r="Z81" s="754">
        <f>Paramètres!G7</f>
        <v>0</v>
      </c>
      <c r="AA81" s="750">
        <v>0</v>
      </c>
      <c r="AB81" s="175">
        <f>VALUE_Dark_Elixir_Storage[[#This Row],[Valeur]]*VALUE_Dark_Elixir_Storage[[#This Row],[Rang]]</f>
        <v>0</v>
      </c>
      <c r="AC81" s="482">
        <v>2</v>
      </c>
      <c r="AD81" s="754">
        <f>Paramètres!C7</f>
        <v>0</v>
      </c>
      <c r="AE81" s="750">
        <v>0</v>
      </c>
      <c r="AF81" s="175">
        <f>VALUE_Elixir_Collector[[#This Row],[Valeur]]*VALUE_Elixir_Collector[[#This Row],[Rang]]</f>
        <v>0</v>
      </c>
      <c r="AG81" s="482">
        <v>2</v>
      </c>
      <c r="AH81" s="754">
        <f>Paramètres!F7</f>
        <v>0</v>
      </c>
      <c r="AI81" s="750">
        <v>0</v>
      </c>
      <c r="AJ81" s="175">
        <f>VALUE_Elixir_Storage[[#This Row],[Valeur]]*VALUE_Elixir_Storage[[#This Row],[Rang]]</f>
        <v>0</v>
      </c>
      <c r="AK81" s="749"/>
      <c r="AL81" s="749"/>
      <c r="AM81" s="749"/>
      <c r="AN81" s="749"/>
    </row>
    <row r="82" spans="1:40" ht="15.75" customHeight="1">
      <c r="A82" s="482">
        <v>3</v>
      </c>
      <c r="B82" s="754">
        <f>Paramètres!BE8</f>
        <v>0</v>
      </c>
      <c r="C82" s="750">
        <f t="shared" ref="C82:C83" si="0">15+C81</f>
        <v>45</v>
      </c>
      <c r="D82" s="169">
        <f>VALUE_Barbarian_King[[#This Row],[Valeur]]*VALUE_Barbarian_King[[#This Row],[Rang]]</f>
        <v>0</v>
      </c>
      <c r="E82" s="482">
        <v>3</v>
      </c>
      <c r="F82" s="754">
        <f>Paramètres!BG8</f>
        <v>0</v>
      </c>
      <c r="G82" s="750">
        <f t="shared" ref="G82:G83" si="1">G81+26</f>
        <v>78</v>
      </c>
      <c r="H82" s="175">
        <f>VALUE_Archer_Queen[[#This Row],[Valeur]]*VALUE_Archer_Queen[[#This Row],[Rang]]</f>
        <v>0</v>
      </c>
      <c r="I82" s="156"/>
      <c r="J82" s="189"/>
      <c r="K82" s="749"/>
      <c r="L82" s="749"/>
      <c r="M82" s="482">
        <v>3</v>
      </c>
      <c r="N82" s="754">
        <f>Paramètres!B8</f>
        <v>0</v>
      </c>
      <c r="O82" s="750">
        <v>0</v>
      </c>
      <c r="P82" s="175">
        <f>VALUE_Gold_Mine[[#This Row],[Valeur]]*VALUE_Gold_Mine[[#This Row],[Rang]]</f>
        <v>0</v>
      </c>
      <c r="Q82" s="482">
        <v>3</v>
      </c>
      <c r="R82" s="754">
        <f>Paramètres!D8</f>
        <v>0</v>
      </c>
      <c r="S82" s="750">
        <v>0</v>
      </c>
      <c r="T82" s="175">
        <f>VALUE_Dark_Elixir_Drill[[#This Row],[Valeur]]*VALUE_Dark_Elixir_Drill[[#This Row],[Rang]]</f>
        <v>0</v>
      </c>
      <c r="U82" s="482">
        <v>3</v>
      </c>
      <c r="V82" s="754">
        <f>Paramètres!E8</f>
        <v>0</v>
      </c>
      <c r="W82" s="750">
        <v>0</v>
      </c>
      <c r="X82" s="175">
        <f>VALUE_Gold_Storage[[#This Row],[Valeur]]*VALUE_Gold_Storage[[#This Row],[Rang]]</f>
        <v>0</v>
      </c>
      <c r="Y82" s="482">
        <v>3</v>
      </c>
      <c r="Z82" s="754">
        <f>Paramètres!G8</f>
        <v>0</v>
      </c>
      <c r="AA82" s="750">
        <v>0</v>
      </c>
      <c r="AB82" s="175">
        <f>VALUE_Dark_Elixir_Storage[[#This Row],[Valeur]]*VALUE_Dark_Elixir_Storage[[#This Row],[Rang]]</f>
        <v>0</v>
      </c>
      <c r="AC82" s="482">
        <v>3</v>
      </c>
      <c r="AD82" s="754">
        <f>Paramètres!C8</f>
        <v>0</v>
      </c>
      <c r="AE82" s="750">
        <v>0</v>
      </c>
      <c r="AF82" s="175">
        <f>VALUE_Elixir_Collector[[#This Row],[Valeur]]*VALUE_Elixir_Collector[[#This Row],[Rang]]</f>
        <v>0</v>
      </c>
      <c r="AG82" s="482">
        <v>3</v>
      </c>
      <c r="AH82" s="754">
        <f>Paramètres!F8</f>
        <v>0</v>
      </c>
      <c r="AI82" s="750">
        <v>0</v>
      </c>
      <c r="AJ82" s="175">
        <f>VALUE_Elixir_Storage[[#This Row],[Valeur]]*VALUE_Elixir_Storage[[#This Row],[Rang]]</f>
        <v>0</v>
      </c>
      <c r="AK82" s="749"/>
      <c r="AL82" s="749"/>
      <c r="AM82" s="749"/>
      <c r="AN82" s="749"/>
    </row>
    <row r="83" spans="1:40">
      <c r="A83" s="482">
        <v>4</v>
      </c>
      <c r="B83" s="754">
        <f>Paramètres!BE9</f>
        <v>0</v>
      </c>
      <c r="C83" s="750">
        <f t="shared" si="0"/>
        <v>60</v>
      </c>
      <c r="D83" s="169">
        <f>VALUE_Barbarian_King[[#This Row],[Valeur]]*VALUE_Barbarian_King[[#This Row],[Rang]]</f>
        <v>0</v>
      </c>
      <c r="E83" s="482">
        <v>4</v>
      </c>
      <c r="F83" s="754">
        <f>Paramètres!BG9</f>
        <v>0</v>
      </c>
      <c r="G83" s="750">
        <f t="shared" si="1"/>
        <v>104</v>
      </c>
      <c r="H83" s="175">
        <f>VALUE_Archer_Queen[[#This Row],[Valeur]]*VALUE_Archer_Queen[[#This Row],[Rang]]</f>
        <v>0</v>
      </c>
      <c r="I83" s="156"/>
      <c r="J83" s="189"/>
      <c r="K83" s="749"/>
      <c r="L83" s="749"/>
      <c r="M83" s="482">
        <v>4</v>
      </c>
      <c r="N83" s="754">
        <f>Paramètres!B9</f>
        <v>0</v>
      </c>
      <c r="O83" s="750">
        <v>0</v>
      </c>
      <c r="P83" s="175">
        <f>VALUE_Gold_Mine[[#This Row],[Valeur]]*VALUE_Gold_Mine[[#This Row],[Rang]]</f>
        <v>0</v>
      </c>
      <c r="Q83" s="482">
        <v>4</v>
      </c>
      <c r="R83" s="754">
        <f>Paramètres!D9</f>
        <v>0</v>
      </c>
      <c r="S83" s="750">
        <v>0</v>
      </c>
      <c r="T83" s="175">
        <f>VALUE_Dark_Elixir_Drill[[#This Row],[Valeur]]*VALUE_Dark_Elixir_Drill[[#This Row],[Rang]]</f>
        <v>0</v>
      </c>
      <c r="U83" s="482">
        <v>4</v>
      </c>
      <c r="V83" s="754">
        <f>Paramètres!E9</f>
        <v>0</v>
      </c>
      <c r="W83" s="750">
        <v>0</v>
      </c>
      <c r="X83" s="175">
        <f>VALUE_Gold_Storage[[#This Row],[Valeur]]*VALUE_Gold_Storage[[#This Row],[Rang]]</f>
        <v>0</v>
      </c>
      <c r="Y83" s="482">
        <v>4</v>
      </c>
      <c r="Z83" s="754">
        <f>Paramètres!G9</f>
        <v>0</v>
      </c>
      <c r="AA83" s="750">
        <v>0</v>
      </c>
      <c r="AB83" s="175">
        <f>VALUE_Dark_Elixir_Storage[[#This Row],[Valeur]]*VALUE_Dark_Elixir_Storage[[#This Row],[Rang]]</f>
        <v>0</v>
      </c>
      <c r="AC83" s="482">
        <v>4</v>
      </c>
      <c r="AD83" s="754">
        <f>Paramètres!C9</f>
        <v>0</v>
      </c>
      <c r="AE83" s="750">
        <v>0</v>
      </c>
      <c r="AF83" s="175">
        <f>VALUE_Elixir_Collector[[#This Row],[Valeur]]*VALUE_Elixir_Collector[[#This Row],[Rang]]</f>
        <v>0</v>
      </c>
      <c r="AG83" s="482">
        <v>4</v>
      </c>
      <c r="AH83" s="754">
        <f>Paramètres!F9</f>
        <v>0</v>
      </c>
      <c r="AI83" s="750">
        <v>0</v>
      </c>
      <c r="AJ83" s="175">
        <f>VALUE_Elixir_Storage[[#This Row],[Valeur]]*VALUE_Elixir_Storage[[#This Row],[Rang]]</f>
        <v>0</v>
      </c>
      <c r="AK83" s="749"/>
      <c r="AL83" s="749"/>
      <c r="AM83" s="749"/>
      <c r="AN83" s="749"/>
    </row>
    <row r="84" spans="1:40">
      <c r="A84" s="482">
        <v>5</v>
      </c>
      <c r="B84" s="754">
        <f>Paramètres!BE10</f>
        <v>0</v>
      </c>
      <c r="C84" s="750">
        <f>16+C83</f>
        <v>76</v>
      </c>
      <c r="D84" s="169">
        <f>VALUE_Barbarian_King[[#This Row],[Valeur]]*VALUE_Barbarian_King[[#This Row],[Rang]]</f>
        <v>0</v>
      </c>
      <c r="E84" s="482">
        <v>5</v>
      </c>
      <c r="F84" s="754">
        <f>Paramètres!BG10</f>
        <v>0</v>
      </c>
      <c r="G84" s="750">
        <f>G83+27</f>
        <v>131</v>
      </c>
      <c r="H84" s="175">
        <f>VALUE_Archer_Queen[[#This Row],[Valeur]]*VALUE_Archer_Queen[[#This Row],[Rang]]</f>
        <v>0</v>
      </c>
      <c r="I84" s="156"/>
      <c r="J84" s="189"/>
      <c r="K84" s="749"/>
      <c r="L84" s="749"/>
      <c r="M84" s="482">
        <v>5</v>
      </c>
      <c r="N84" s="754">
        <f>Paramètres!B10</f>
        <v>0</v>
      </c>
      <c r="O84" s="750">
        <v>0</v>
      </c>
      <c r="P84" s="175">
        <f>VALUE_Gold_Mine[[#This Row],[Valeur]]*VALUE_Gold_Mine[[#This Row],[Rang]]</f>
        <v>0</v>
      </c>
      <c r="Q84" s="482">
        <v>5</v>
      </c>
      <c r="R84" s="754">
        <f>Paramètres!D10</f>
        <v>0</v>
      </c>
      <c r="S84" s="750">
        <v>0</v>
      </c>
      <c r="T84" s="175">
        <f>VALUE_Dark_Elixir_Drill[[#This Row],[Valeur]]*VALUE_Dark_Elixir_Drill[[#This Row],[Rang]]</f>
        <v>0</v>
      </c>
      <c r="U84" s="482">
        <v>5</v>
      </c>
      <c r="V84" s="754">
        <f>Paramètres!E10</f>
        <v>0</v>
      </c>
      <c r="W84" s="750">
        <v>0</v>
      </c>
      <c r="X84" s="175">
        <f>VALUE_Gold_Storage[[#This Row],[Valeur]]*VALUE_Gold_Storage[[#This Row],[Rang]]</f>
        <v>0</v>
      </c>
      <c r="Y84" s="482">
        <v>5</v>
      </c>
      <c r="Z84" s="754">
        <f>Paramètres!G10</f>
        <v>0</v>
      </c>
      <c r="AA84" s="750">
        <v>0</v>
      </c>
      <c r="AB84" s="175">
        <f>VALUE_Dark_Elixir_Storage[[#This Row],[Valeur]]*VALUE_Dark_Elixir_Storage[[#This Row],[Rang]]</f>
        <v>0</v>
      </c>
      <c r="AC84" s="482">
        <v>5</v>
      </c>
      <c r="AD84" s="754">
        <f>Paramètres!C10</f>
        <v>0</v>
      </c>
      <c r="AE84" s="750">
        <v>0</v>
      </c>
      <c r="AF84" s="175">
        <f>VALUE_Elixir_Collector[[#This Row],[Valeur]]*VALUE_Elixir_Collector[[#This Row],[Rang]]</f>
        <v>0</v>
      </c>
      <c r="AG84" s="482">
        <v>5</v>
      </c>
      <c r="AH84" s="754">
        <f>Paramètres!F10</f>
        <v>0</v>
      </c>
      <c r="AI84" s="750">
        <v>0</v>
      </c>
      <c r="AJ84" s="175">
        <f>VALUE_Elixir_Storage[[#This Row],[Valeur]]*VALUE_Elixir_Storage[[#This Row],[Rang]]</f>
        <v>0</v>
      </c>
      <c r="AK84" s="749"/>
      <c r="AL84" s="749"/>
      <c r="AM84" s="749"/>
      <c r="AN84" s="749"/>
    </row>
    <row r="85" spans="1:40" ht="15.75" thickBot="1">
      <c r="A85" s="482">
        <v>6</v>
      </c>
      <c r="B85" s="754">
        <f>Paramètres!BE11</f>
        <v>0</v>
      </c>
      <c r="C85" s="750">
        <f t="shared" ref="C85:C88" si="2">16+C84</f>
        <v>92</v>
      </c>
      <c r="D85" s="169">
        <f>VALUE_Barbarian_King[[#This Row],[Valeur]]*VALUE_Barbarian_King[[#This Row],[Rang]]</f>
        <v>0</v>
      </c>
      <c r="E85" s="482">
        <v>6</v>
      </c>
      <c r="F85" s="754">
        <f>Paramètres!BG11</f>
        <v>0</v>
      </c>
      <c r="G85" s="750">
        <f t="shared" ref="G85:G88" si="3">G84+27</f>
        <v>158</v>
      </c>
      <c r="H85" s="175">
        <f>VALUE_Archer_Queen[[#This Row],[Valeur]]*VALUE_Archer_Queen[[#This Row],[Rang]]</f>
        <v>0</v>
      </c>
      <c r="I85" s="156"/>
      <c r="J85" s="189"/>
      <c r="K85" s="749"/>
      <c r="L85" s="749"/>
      <c r="M85" s="482">
        <v>6</v>
      </c>
      <c r="N85" s="754">
        <f>Paramètres!B11</f>
        <v>0</v>
      </c>
      <c r="O85" s="750">
        <v>0</v>
      </c>
      <c r="P85" s="175">
        <f>VALUE_Gold_Mine[[#This Row],[Valeur]]*VALUE_Gold_Mine[[#This Row],[Rang]]</f>
        <v>0</v>
      </c>
      <c r="Q85" s="489">
        <v>6</v>
      </c>
      <c r="R85" s="755">
        <f>Paramètres!D11</f>
        <v>0</v>
      </c>
      <c r="S85" s="752">
        <v>0</v>
      </c>
      <c r="T85" s="460">
        <f>VALUE_Dark_Elixir_Drill[[#This Row],[Valeur]]*VALUE_Dark_Elixir_Drill[[#This Row],[Rang]]</f>
        <v>0</v>
      </c>
      <c r="U85" s="482">
        <v>6</v>
      </c>
      <c r="V85" s="754">
        <f>Paramètres!E11</f>
        <v>0</v>
      </c>
      <c r="W85" s="750">
        <v>0</v>
      </c>
      <c r="X85" s="175">
        <f>VALUE_Gold_Storage[[#This Row],[Valeur]]*VALUE_Gold_Storage[[#This Row],[Rang]]</f>
        <v>0</v>
      </c>
      <c r="Y85" s="489">
        <v>6</v>
      </c>
      <c r="Z85" s="755">
        <f>Paramètres!G11</f>
        <v>0</v>
      </c>
      <c r="AA85" s="752">
        <v>0</v>
      </c>
      <c r="AB85" s="460">
        <f>VALUE_Dark_Elixir_Storage[[#This Row],[Valeur]]*VALUE_Dark_Elixir_Storage[[#This Row],[Rang]]</f>
        <v>0</v>
      </c>
      <c r="AC85" s="482">
        <v>6</v>
      </c>
      <c r="AD85" s="754">
        <f>Paramètres!C11</f>
        <v>0</v>
      </c>
      <c r="AE85" s="750">
        <v>0</v>
      </c>
      <c r="AF85" s="175">
        <f>VALUE_Elixir_Collector[[#This Row],[Valeur]]*VALUE_Elixir_Collector[[#This Row],[Rang]]</f>
        <v>0</v>
      </c>
      <c r="AG85" s="482">
        <v>6</v>
      </c>
      <c r="AH85" s="754">
        <f>Paramètres!F11</f>
        <v>0</v>
      </c>
      <c r="AI85" s="750">
        <v>0</v>
      </c>
      <c r="AJ85" s="175">
        <f>VALUE_Elixir_Storage[[#This Row],[Valeur]]*VALUE_Elixir_Storage[[#This Row],[Rang]]</f>
        <v>0</v>
      </c>
      <c r="AK85" s="749"/>
      <c r="AL85" s="749"/>
      <c r="AM85" s="749"/>
      <c r="AN85" s="749"/>
    </row>
    <row r="86" spans="1:40">
      <c r="A86" s="482">
        <v>7</v>
      </c>
      <c r="B86" s="754">
        <f>Paramètres!BE12</f>
        <v>0</v>
      </c>
      <c r="C86" s="750">
        <f t="shared" si="2"/>
        <v>108</v>
      </c>
      <c r="D86" s="169">
        <f>VALUE_Barbarian_King[[#This Row],[Valeur]]*VALUE_Barbarian_King[[#This Row],[Rang]]</f>
        <v>0</v>
      </c>
      <c r="E86" s="482">
        <v>7</v>
      </c>
      <c r="F86" s="754">
        <f>Paramètres!BG12</f>
        <v>0</v>
      </c>
      <c r="G86" s="750">
        <f t="shared" si="3"/>
        <v>185</v>
      </c>
      <c r="H86" s="175">
        <f>VALUE_Archer_Queen[[#This Row],[Valeur]]*VALUE_Archer_Queen[[#This Row],[Rang]]</f>
        <v>0</v>
      </c>
      <c r="I86" s="156"/>
      <c r="J86" s="189"/>
      <c r="K86" s="749"/>
      <c r="L86" s="749"/>
      <c r="M86" s="482">
        <v>7</v>
      </c>
      <c r="N86" s="754">
        <f>Paramètres!B12</f>
        <v>0</v>
      </c>
      <c r="O86" s="750">
        <v>0</v>
      </c>
      <c r="P86" s="175">
        <f>VALUE_Gold_Mine[[#This Row],[Valeur]]*VALUE_Gold_Mine[[#This Row],[Rang]]</f>
        <v>0</v>
      </c>
      <c r="Q86" s="156"/>
      <c r="R86" s="156"/>
      <c r="S86" s="156"/>
      <c r="T86" s="749"/>
      <c r="U86" s="482">
        <v>7</v>
      </c>
      <c r="V86" s="754">
        <f>Paramètres!E12</f>
        <v>0</v>
      </c>
      <c r="W86" s="750">
        <v>0</v>
      </c>
      <c r="X86" s="175">
        <f>VALUE_Gold_Storage[[#This Row],[Valeur]]*VALUE_Gold_Storage[[#This Row],[Rang]]</f>
        <v>0</v>
      </c>
      <c r="Y86" s="156"/>
      <c r="Z86" s="156"/>
      <c r="AA86" s="156"/>
      <c r="AB86" s="749"/>
      <c r="AC86" s="482">
        <v>7</v>
      </c>
      <c r="AD86" s="754">
        <f>Paramètres!C12</f>
        <v>0</v>
      </c>
      <c r="AE86" s="750">
        <v>0</v>
      </c>
      <c r="AF86" s="175">
        <f>VALUE_Elixir_Collector[[#This Row],[Valeur]]*VALUE_Elixir_Collector[[#This Row],[Rang]]</f>
        <v>0</v>
      </c>
      <c r="AG86" s="482">
        <v>7</v>
      </c>
      <c r="AH86" s="754">
        <f>Paramètres!F12</f>
        <v>0</v>
      </c>
      <c r="AI86" s="750">
        <v>0</v>
      </c>
      <c r="AJ86" s="175">
        <f>VALUE_Elixir_Storage[[#This Row],[Valeur]]*VALUE_Elixir_Storage[[#This Row],[Rang]]</f>
        <v>0</v>
      </c>
      <c r="AK86" s="749"/>
      <c r="AL86" s="749"/>
      <c r="AM86" s="749"/>
      <c r="AN86" s="749"/>
    </row>
    <row r="87" spans="1:40">
      <c r="A87" s="482">
        <v>8</v>
      </c>
      <c r="B87" s="754">
        <f>Paramètres!BE13</f>
        <v>0</v>
      </c>
      <c r="C87" s="750">
        <f t="shared" si="2"/>
        <v>124</v>
      </c>
      <c r="D87" s="169">
        <f>VALUE_Barbarian_King[[#This Row],[Valeur]]*VALUE_Barbarian_King[[#This Row],[Rang]]</f>
        <v>0</v>
      </c>
      <c r="E87" s="482">
        <v>8</v>
      </c>
      <c r="F87" s="754">
        <f>Paramètres!BG13</f>
        <v>0</v>
      </c>
      <c r="G87" s="750">
        <f t="shared" si="3"/>
        <v>212</v>
      </c>
      <c r="H87" s="175">
        <f>VALUE_Archer_Queen[[#This Row],[Valeur]]*VALUE_Archer_Queen[[#This Row],[Rang]]</f>
        <v>0</v>
      </c>
      <c r="I87" s="156"/>
      <c r="J87" s="189"/>
      <c r="K87" s="749"/>
      <c r="L87" s="749"/>
      <c r="M87" s="482">
        <v>8</v>
      </c>
      <c r="N87" s="754">
        <f>Paramètres!B13</f>
        <v>0</v>
      </c>
      <c r="O87" s="750">
        <v>0</v>
      </c>
      <c r="P87" s="175">
        <f>VALUE_Gold_Mine[[#This Row],[Valeur]]*VALUE_Gold_Mine[[#This Row],[Rang]]</f>
        <v>0</v>
      </c>
      <c r="Q87" s="156"/>
      <c r="R87" s="156"/>
      <c r="S87" s="156"/>
      <c r="T87" s="749"/>
      <c r="U87" s="482">
        <v>8</v>
      </c>
      <c r="V87" s="754">
        <f>Paramètres!E13</f>
        <v>0</v>
      </c>
      <c r="W87" s="750">
        <v>0</v>
      </c>
      <c r="X87" s="175">
        <f>VALUE_Gold_Storage[[#This Row],[Valeur]]*VALUE_Gold_Storage[[#This Row],[Rang]]</f>
        <v>0</v>
      </c>
      <c r="Y87" s="156"/>
      <c r="Z87" s="156"/>
      <c r="AA87" s="156"/>
      <c r="AB87" s="749"/>
      <c r="AC87" s="482">
        <v>8</v>
      </c>
      <c r="AD87" s="754">
        <f>Paramètres!C13</f>
        <v>0</v>
      </c>
      <c r="AE87" s="750">
        <v>0</v>
      </c>
      <c r="AF87" s="175">
        <f>VALUE_Elixir_Collector[[#This Row],[Valeur]]*VALUE_Elixir_Collector[[#This Row],[Rang]]</f>
        <v>0</v>
      </c>
      <c r="AG87" s="482">
        <v>8</v>
      </c>
      <c r="AH87" s="754">
        <f>Paramètres!F13</f>
        <v>0</v>
      </c>
      <c r="AI87" s="750">
        <v>0</v>
      </c>
      <c r="AJ87" s="175">
        <f>VALUE_Elixir_Storage[[#This Row],[Valeur]]*VALUE_Elixir_Storage[[#This Row],[Rang]]</f>
        <v>0</v>
      </c>
      <c r="AK87" s="749"/>
      <c r="AL87" s="749"/>
      <c r="AM87" s="749"/>
      <c r="AN87" s="749"/>
    </row>
    <row r="88" spans="1:40">
      <c r="A88" s="482">
        <v>9</v>
      </c>
      <c r="B88" s="754">
        <f>Paramètres!BE14</f>
        <v>0</v>
      </c>
      <c r="C88" s="750">
        <f t="shared" si="2"/>
        <v>140</v>
      </c>
      <c r="D88" s="169">
        <f>VALUE_Barbarian_King[[#This Row],[Valeur]]*VALUE_Barbarian_King[[#This Row],[Rang]]</f>
        <v>0</v>
      </c>
      <c r="E88" s="482">
        <v>9</v>
      </c>
      <c r="F88" s="754">
        <f>Paramètres!BG14</f>
        <v>0</v>
      </c>
      <c r="G88" s="750">
        <f t="shared" si="3"/>
        <v>239</v>
      </c>
      <c r="H88" s="175">
        <f>VALUE_Archer_Queen[[#This Row],[Valeur]]*VALUE_Archer_Queen[[#This Row],[Rang]]</f>
        <v>0</v>
      </c>
      <c r="I88" s="156"/>
      <c r="J88" s="189"/>
      <c r="K88" s="749"/>
      <c r="L88" s="749"/>
      <c r="M88" s="482">
        <v>9</v>
      </c>
      <c r="N88" s="754">
        <f>Paramètres!B14</f>
        <v>0</v>
      </c>
      <c r="O88" s="750">
        <v>0</v>
      </c>
      <c r="P88" s="175">
        <f>VALUE_Gold_Mine[[#This Row],[Valeur]]*VALUE_Gold_Mine[[#This Row],[Rang]]</f>
        <v>0</v>
      </c>
      <c r="Q88" s="156"/>
      <c r="R88" s="156"/>
      <c r="S88" s="156"/>
      <c r="T88" s="749"/>
      <c r="U88" s="482">
        <v>9</v>
      </c>
      <c r="V88" s="754">
        <f>Paramètres!E14</f>
        <v>0</v>
      </c>
      <c r="W88" s="750">
        <v>0</v>
      </c>
      <c r="X88" s="175">
        <f>VALUE_Gold_Storage[[#This Row],[Valeur]]*VALUE_Gold_Storage[[#This Row],[Rang]]</f>
        <v>0</v>
      </c>
      <c r="Y88" s="156"/>
      <c r="Z88" s="156"/>
      <c r="AA88" s="156"/>
      <c r="AB88" s="749"/>
      <c r="AC88" s="482">
        <v>9</v>
      </c>
      <c r="AD88" s="754">
        <f>Paramètres!C14</f>
        <v>0</v>
      </c>
      <c r="AE88" s="750">
        <v>0</v>
      </c>
      <c r="AF88" s="175">
        <f>VALUE_Elixir_Collector[[#This Row],[Valeur]]*VALUE_Elixir_Collector[[#This Row],[Rang]]</f>
        <v>0</v>
      </c>
      <c r="AG88" s="482">
        <v>9</v>
      </c>
      <c r="AH88" s="754">
        <f>Paramètres!F14</f>
        <v>0</v>
      </c>
      <c r="AI88" s="750">
        <v>0</v>
      </c>
      <c r="AJ88" s="175">
        <f>VALUE_Elixir_Storage[[#This Row],[Valeur]]*VALUE_Elixir_Storage[[#This Row],[Rang]]</f>
        <v>0</v>
      </c>
      <c r="AK88" s="749"/>
      <c r="AL88" s="749"/>
      <c r="AM88" s="749"/>
      <c r="AN88" s="749"/>
    </row>
    <row r="89" spans="1:40">
      <c r="A89" s="482">
        <v>10</v>
      </c>
      <c r="B89" s="754">
        <f>Paramètres!BE15</f>
        <v>0</v>
      </c>
      <c r="C89" s="750">
        <f>17+C88</f>
        <v>157</v>
      </c>
      <c r="D89" s="169">
        <f>VALUE_Barbarian_King[[#This Row],[Valeur]]*VALUE_Barbarian_King[[#This Row],[Rang]]</f>
        <v>0</v>
      </c>
      <c r="E89" s="482">
        <v>10</v>
      </c>
      <c r="F89" s="754">
        <f>Paramètres!BG15</f>
        <v>0</v>
      </c>
      <c r="G89" s="750">
        <f>G88+28</f>
        <v>267</v>
      </c>
      <c r="H89" s="175">
        <f>VALUE_Archer_Queen[[#This Row],[Valeur]]*VALUE_Archer_Queen[[#This Row],[Rang]]</f>
        <v>0</v>
      </c>
      <c r="I89" s="156"/>
      <c r="J89" s="189"/>
      <c r="K89" s="749"/>
      <c r="L89" s="749"/>
      <c r="M89" s="482">
        <v>10</v>
      </c>
      <c r="N89" s="754">
        <f>Paramètres!B15</f>
        <v>0</v>
      </c>
      <c r="O89" s="750">
        <v>0</v>
      </c>
      <c r="P89" s="175">
        <f>VALUE_Gold_Mine[[#This Row],[Valeur]]*VALUE_Gold_Mine[[#This Row],[Rang]]</f>
        <v>0</v>
      </c>
      <c r="Q89" s="156"/>
      <c r="R89" s="156"/>
      <c r="S89" s="156"/>
      <c r="T89" s="749"/>
      <c r="U89" s="482">
        <v>10</v>
      </c>
      <c r="V89" s="754">
        <f>Paramètres!E15</f>
        <v>0</v>
      </c>
      <c r="W89" s="750">
        <v>0</v>
      </c>
      <c r="X89" s="175">
        <f>VALUE_Gold_Storage[[#This Row],[Valeur]]*VALUE_Gold_Storage[[#This Row],[Rang]]</f>
        <v>0</v>
      </c>
      <c r="Y89" s="156"/>
      <c r="Z89" s="156"/>
      <c r="AA89" s="156"/>
      <c r="AB89" s="749"/>
      <c r="AC89" s="482">
        <v>10</v>
      </c>
      <c r="AD89" s="754">
        <f>Paramètres!C15</f>
        <v>0</v>
      </c>
      <c r="AE89" s="750">
        <v>0</v>
      </c>
      <c r="AF89" s="175">
        <f>VALUE_Elixir_Collector[[#This Row],[Valeur]]*VALUE_Elixir_Collector[[#This Row],[Rang]]</f>
        <v>0</v>
      </c>
      <c r="AG89" s="482">
        <v>10</v>
      </c>
      <c r="AH89" s="754">
        <f>Paramètres!F15</f>
        <v>0</v>
      </c>
      <c r="AI89" s="750">
        <v>0</v>
      </c>
      <c r="AJ89" s="175">
        <f>VALUE_Elixir_Storage[[#This Row],[Valeur]]*VALUE_Elixir_Storage[[#This Row],[Rang]]</f>
        <v>0</v>
      </c>
      <c r="AK89" s="749"/>
      <c r="AL89" s="749"/>
      <c r="AM89" s="749"/>
      <c r="AN89" s="749"/>
    </row>
    <row r="90" spans="1:40" ht="15.75" thickBot="1">
      <c r="A90" s="482">
        <v>11</v>
      </c>
      <c r="B90" s="754">
        <f>Paramètres!BE16</f>
        <v>0</v>
      </c>
      <c r="C90" s="750">
        <f t="shared" ref="C90:C93" si="4">17+C89</f>
        <v>174</v>
      </c>
      <c r="D90" s="169">
        <f>VALUE_Barbarian_King[[#This Row],[Valeur]]*VALUE_Barbarian_King[[#This Row],[Rang]]</f>
        <v>0</v>
      </c>
      <c r="E90" s="482">
        <v>11</v>
      </c>
      <c r="F90" s="754">
        <f>Paramètres!BG16</f>
        <v>0</v>
      </c>
      <c r="G90" s="750">
        <f t="shared" ref="G90:G93" si="5">G89+28</f>
        <v>295</v>
      </c>
      <c r="H90" s="175">
        <f>VALUE_Archer_Queen[[#This Row],[Valeur]]*VALUE_Archer_Queen[[#This Row],[Rang]]</f>
        <v>0</v>
      </c>
      <c r="I90" s="156"/>
      <c r="J90" s="189"/>
      <c r="K90" s="156"/>
      <c r="L90" s="156"/>
      <c r="M90" s="482">
        <v>11</v>
      </c>
      <c r="N90" s="754">
        <f>Paramètres!B16</f>
        <v>0</v>
      </c>
      <c r="O90" s="750">
        <v>0</v>
      </c>
      <c r="P90" s="175">
        <f>VALUE_Gold_Mine[[#This Row],[Valeur]]*VALUE_Gold_Mine[[#This Row],[Rang]]</f>
        <v>0</v>
      </c>
      <c r="Q90" s="156"/>
      <c r="R90" s="156"/>
      <c r="S90" s="156"/>
      <c r="T90" s="749"/>
      <c r="U90" s="489">
        <v>11</v>
      </c>
      <c r="V90" s="755">
        <f>Paramètres!E16</f>
        <v>0</v>
      </c>
      <c r="W90" s="752">
        <v>0</v>
      </c>
      <c r="X90" s="460">
        <f>VALUE_Gold_Storage[[#This Row],[Valeur]]*VALUE_Gold_Storage[[#This Row],[Rang]]</f>
        <v>0</v>
      </c>
      <c r="Y90" s="156"/>
      <c r="Z90" s="156"/>
      <c r="AA90" s="156"/>
      <c r="AB90" s="749"/>
      <c r="AC90" s="482">
        <v>11</v>
      </c>
      <c r="AD90" s="754">
        <f>Paramètres!C16</f>
        <v>0</v>
      </c>
      <c r="AE90" s="750">
        <v>0</v>
      </c>
      <c r="AF90" s="175">
        <f>VALUE_Elixir_Collector[[#This Row],[Valeur]]*VALUE_Elixir_Collector[[#This Row],[Rang]]</f>
        <v>0</v>
      </c>
      <c r="AG90" s="489">
        <v>11</v>
      </c>
      <c r="AH90" s="755">
        <f>Paramètres!F16</f>
        <v>0</v>
      </c>
      <c r="AI90" s="752">
        <v>0</v>
      </c>
      <c r="AJ90" s="460">
        <f>VALUE_Elixir_Storage[[#This Row],[Valeur]]*VALUE_Elixir_Storage[[#This Row],[Rang]]</f>
        <v>0</v>
      </c>
      <c r="AK90" s="749"/>
      <c r="AL90" s="749"/>
      <c r="AM90" s="749"/>
      <c r="AN90" s="749"/>
    </row>
    <row r="91" spans="1:40" ht="15.75" thickBot="1">
      <c r="A91" s="482">
        <v>12</v>
      </c>
      <c r="B91" s="754">
        <f>Paramètres!BE17</f>
        <v>0</v>
      </c>
      <c r="C91" s="750">
        <f t="shared" si="4"/>
        <v>191</v>
      </c>
      <c r="D91" s="169">
        <f>VALUE_Barbarian_King[[#This Row],[Valeur]]*VALUE_Barbarian_King[[#This Row],[Rang]]</f>
        <v>0</v>
      </c>
      <c r="E91" s="482">
        <v>12</v>
      </c>
      <c r="F91" s="754">
        <f>Paramètres!BG17</f>
        <v>0</v>
      </c>
      <c r="G91" s="750">
        <f t="shared" si="5"/>
        <v>323</v>
      </c>
      <c r="H91" s="175">
        <f>VALUE_Archer_Queen[[#This Row],[Valeur]]*VALUE_Archer_Queen[[#This Row],[Rang]]</f>
        <v>0</v>
      </c>
      <c r="I91" s="156"/>
      <c r="J91" s="189"/>
      <c r="K91" s="156"/>
      <c r="L91" s="156"/>
      <c r="M91" s="489">
        <v>12</v>
      </c>
      <c r="N91" s="755">
        <f>Paramètres!B17</f>
        <v>0</v>
      </c>
      <c r="O91" s="752">
        <v>0</v>
      </c>
      <c r="P91" s="460">
        <f>VALUE_Gold_Mine[[#This Row],[Valeur]]*VALUE_Gold_Mine[[#This Row],[Rang]]</f>
        <v>0</v>
      </c>
      <c r="Q91" s="156"/>
      <c r="R91" s="156"/>
      <c r="S91" s="156"/>
      <c r="T91" s="156"/>
      <c r="U91" s="156"/>
      <c r="V91" s="141"/>
      <c r="W91" s="141"/>
      <c r="X91" s="141"/>
      <c r="Y91" s="156"/>
      <c r="AA91" s="749"/>
      <c r="AB91" s="749"/>
      <c r="AC91" s="489">
        <v>12</v>
      </c>
      <c r="AD91" s="755">
        <f>Paramètres!C17</f>
        <v>0</v>
      </c>
      <c r="AE91" s="752">
        <v>0</v>
      </c>
      <c r="AF91" s="460">
        <f>VALUE_Elixir_Collector[[#This Row],[Valeur]]*VALUE_Elixir_Collector[[#This Row],[Rang]]</f>
        <v>0</v>
      </c>
      <c r="AG91" s="156"/>
      <c r="AH91" s="156"/>
      <c r="AI91" s="156"/>
      <c r="AJ91" s="156"/>
      <c r="AK91" s="749"/>
      <c r="AL91" s="749"/>
      <c r="AM91" s="749"/>
      <c r="AN91" s="749"/>
    </row>
    <row r="92" spans="1:40">
      <c r="A92" s="482">
        <v>13</v>
      </c>
      <c r="B92" s="754">
        <f>Paramètres!BE18</f>
        <v>0</v>
      </c>
      <c r="C92" s="750">
        <f t="shared" si="4"/>
        <v>208</v>
      </c>
      <c r="D92" s="169">
        <f>VALUE_Barbarian_King[[#This Row],[Valeur]]*VALUE_Barbarian_King[[#This Row],[Rang]]</f>
        <v>0</v>
      </c>
      <c r="E92" s="482">
        <v>13</v>
      </c>
      <c r="F92" s="754">
        <f>Paramètres!BG18</f>
        <v>0</v>
      </c>
      <c r="G92" s="750">
        <f t="shared" si="5"/>
        <v>351</v>
      </c>
      <c r="H92" s="175">
        <f>VALUE_Archer_Queen[[#This Row],[Valeur]]*VALUE_Archer_Queen[[#This Row],[Rang]]</f>
        <v>0</v>
      </c>
      <c r="I92" s="156"/>
      <c r="J92" s="189"/>
      <c r="K92" s="156"/>
      <c r="L92" s="156"/>
      <c r="M92" s="141"/>
      <c r="N92" s="141"/>
      <c r="O92" s="141"/>
      <c r="P92" s="156"/>
      <c r="Q92" s="156"/>
      <c r="R92" s="156"/>
      <c r="S92" s="156"/>
      <c r="T92" s="156"/>
      <c r="U92" s="141"/>
      <c r="V92" s="141"/>
      <c r="W92" s="141"/>
      <c r="X92" s="156"/>
      <c r="Y92" s="156"/>
      <c r="Z92" s="156"/>
      <c r="AA92" s="156"/>
      <c r="AB92" s="156"/>
      <c r="AC92" s="156"/>
      <c r="AD92" s="156"/>
      <c r="AE92" s="156"/>
      <c r="AF92" s="156"/>
      <c r="AG92" s="156"/>
      <c r="AH92" s="156"/>
      <c r="AI92" s="156"/>
      <c r="AJ92" s="156"/>
      <c r="AK92" s="156"/>
      <c r="AL92" s="156"/>
      <c r="AM92" s="156"/>
      <c r="AN92" s="156"/>
    </row>
    <row r="93" spans="1:40" ht="15.75" thickBot="1">
      <c r="A93" s="482">
        <v>14</v>
      </c>
      <c r="B93" s="754">
        <f>Paramètres!BE19</f>
        <v>0</v>
      </c>
      <c r="C93" s="750">
        <f t="shared" si="4"/>
        <v>225</v>
      </c>
      <c r="D93" s="169">
        <f>VALUE_Barbarian_King[[#This Row],[Valeur]]*VALUE_Barbarian_King[[#This Row],[Rang]]</f>
        <v>0</v>
      </c>
      <c r="E93" s="482">
        <v>14</v>
      </c>
      <c r="F93" s="754">
        <f>Paramètres!BG19</f>
        <v>0</v>
      </c>
      <c r="G93" s="750">
        <f t="shared" si="5"/>
        <v>379</v>
      </c>
      <c r="H93" s="175">
        <f>VALUE_Archer_Queen[[#This Row],[Valeur]]*VALUE_Archer_Queen[[#This Row],[Rang]]</f>
        <v>0</v>
      </c>
      <c r="I93" s="156"/>
      <c r="J93" s="189"/>
      <c r="K93" s="156"/>
      <c r="L93" s="156"/>
      <c r="M93" s="141"/>
      <c r="N93" s="141"/>
      <c r="O93" s="141"/>
      <c r="P93" s="156"/>
      <c r="Q93" s="156"/>
      <c r="R93" s="156"/>
      <c r="S93" s="156"/>
      <c r="T93" s="156"/>
      <c r="U93" s="141"/>
      <c r="V93" s="141"/>
      <c r="W93" s="141"/>
      <c r="X93" s="156"/>
      <c r="Y93" s="156"/>
      <c r="Z93" s="156"/>
      <c r="AA93" s="156"/>
      <c r="AB93" s="156"/>
      <c r="AC93" s="156"/>
      <c r="AD93" s="156"/>
      <c r="AE93" s="156"/>
      <c r="AF93" s="156"/>
      <c r="AG93" s="156"/>
      <c r="AH93" s="156"/>
      <c r="AI93" s="156"/>
      <c r="AJ93" s="156"/>
      <c r="AK93" s="749"/>
      <c r="AL93" s="749"/>
      <c r="AM93" s="749"/>
      <c r="AN93" s="749"/>
    </row>
    <row r="94" spans="1:40" ht="19.5" thickBot="1">
      <c r="A94" s="482">
        <v>15</v>
      </c>
      <c r="B94" s="754">
        <f>Paramètres!BE20</f>
        <v>0</v>
      </c>
      <c r="C94" s="750">
        <f>18+C93</f>
        <v>243</v>
      </c>
      <c r="D94" s="169">
        <f>VALUE_Barbarian_King[[#This Row],[Valeur]]*VALUE_Barbarian_King[[#This Row],[Rang]]</f>
        <v>0</v>
      </c>
      <c r="E94" s="482">
        <v>15</v>
      </c>
      <c r="F94" s="754">
        <f>Paramètres!BG20</f>
        <v>0</v>
      </c>
      <c r="G94" s="750">
        <f>G93+29</f>
        <v>408</v>
      </c>
      <c r="H94" s="175">
        <f>VALUE_Archer_Queen[[#This Row],[Valeur]]*VALUE_Archer_Queen[[#This Row],[Rang]]</f>
        <v>0</v>
      </c>
      <c r="I94" s="156"/>
      <c r="J94" s="189"/>
      <c r="K94" s="156"/>
      <c r="L94" s="156"/>
      <c r="M94" s="1272" t="s">
        <v>680</v>
      </c>
      <c r="N94" s="1273"/>
      <c r="O94" s="1273"/>
      <c r="P94" s="1273"/>
      <c r="Q94" s="1273"/>
      <c r="R94" s="1273"/>
      <c r="S94" s="1273"/>
      <c r="T94" s="1273"/>
      <c r="U94" s="1273"/>
      <c r="V94" s="1273"/>
      <c r="W94" s="1273"/>
      <c r="X94" s="1273"/>
      <c r="Y94" s="1273"/>
      <c r="Z94" s="1273"/>
      <c r="AA94" s="1273"/>
      <c r="AB94" s="1273"/>
      <c r="AC94" s="1273"/>
      <c r="AD94" s="1273"/>
      <c r="AE94" s="1273"/>
      <c r="AF94" s="1273"/>
      <c r="AG94" s="1273"/>
      <c r="AH94" s="1273"/>
      <c r="AI94" s="1273"/>
      <c r="AJ94" s="1274"/>
      <c r="AK94" s="749"/>
      <c r="AL94" s="749"/>
      <c r="AM94" s="749"/>
      <c r="AN94" s="749"/>
    </row>
    <row r="95" spans="1:40" ht="15.75" thickBot="1">
      <c r="A95" s="482">
        <v>16</v>
      </c>
      <c r="B95" s="754">
        <f>Paramètres!BE21</f>
        <v>0</v>
      </c>
      <c r="C95" s="750">
        <f t="shared" ref="C95:C98" si="6">18+C94</f>
        <v>261</v>
      </c>
      <c r="D95" s="169">
        <f>VALUE_Barbarian_King[[#This Row],[Valeur]]*VALUE_Barbarian_King[[#This Row],[Rang]]</f>
        <v>0</v>
      </c>
      <c r="E95" s="482">
        <v>16</v>
      </c>
      <c r="F95" s="754">
        <f>Paramètres!BG21</f>
        <v>0</v>
      </c>
      <c r="G95" s="750">
        <f t="shared" ref="G95:G98" si="7">G94+29</f>
        <v>437</v>
      </c>
      <c r="H95" s="175">
        <f>VALUE_Archer_Queen[[#This Row],[Valeur]]*VALUE_Archer_Queen[[#This Row],[Rang]]</f>
        <v>0</v>
      </c>
      <c r="I95" s="156"/>
      <c r="J95" s="189"/>
      <c r="K95" s="156"/>
      <c r="L95" s="156"/>
      <c r="M95" s="1291" t="s">
        <v>343</v>
      </c>
      <c r="N95" s="1292"/>
      <c r="O95" s="1292"/>
      <c r="P95" s="1293"/>
      <c r="Q95" s="1291" t="s">
        <v>207</v>
      </c>
      <c r="R95" s="1292"/>
      <c r="S95" s="1292"/>
      <c r="T95" s="1293"/>
      <c r="U95" s="1291" t="s">
        <v>338</v>
      </c>
      <c r="V95" s="1292"/>
      <c r="W95" s="1292"/>
      <c r="X95" s="1293"/>
      <c r="Y95" s="1291" t="s">
        <v>208</v>
      </c>
      <c r="Z95" s="1292"/>
      <c r="AA95" s="1292"/>
      <c r="AB95" s="1293"/>
      <c r="AC95" s="1291" t="s">
        <v>209</v>
      </c>
      <c r="AD95" s="1292"/>
      <c r="AE95" s="1292"/>
      <c r="AF95" s="1293"/>
      <c r="AG95" s="1291" t="s">
        <v>702</v>
      </c>
      <c r="AH95" s="1292"/>
      <c r="AI95" s="1292"/>
      <c r="AJ95" s="1293"/>
      <c r="AK95" s="749"/>
      <c r="AL95" s="749"/>
      <c r="AM95" s="749"/>
      <c r="AN95" s="749"/>
    </row>
    <row r="96" spans="1:40" ht="15.75" thickBot="1">
      <c r="A96" s="482">
        <v>17</v>
      </c>
      <c r="B96" s="754">
        <f>Paramètres!BE22</f>
        <v>0</v>
      </c>
      <c r="C96" s="750">
        <f t="shared" si="6"/>
        <v>279</v>
      </c>
      <c r="D96" s="169">
        <f>VALUE_Barbarian_King[[#This Row],[Valeur]]*VALUE_Barbarian_King[[#This Row],[Rang]]</f>
        <v>0</v>
      </c>
      <c r="E96" s="482">
        <v>17</v>
      </c>
      <c r="F96" s="754">
        <f>Paramètres!BG22</f>
        <v>0</v>
      </c>
      <c r="G96" s="750">
        <f t="shared" si="7"/>
        <v>466</v>
      </c>
      <c r="H96" s="175">
        <f>VALUE_Archer_Queen[[#This Row],[Valeur]]*VALUE_Archer_Queen[[#This Row],[Rang]]</f>
        <v>0</v>
      </c>
      <c r="I96" s="156"/>
      <c r="J96" s="189"/>
      <c r="K96" s="156"/>
      <c r="L96" s="156"/>
      <c r="M96" s="161" t="s">
        <v>17</v>
      </c>
      <c r="N96" s="745" t="s">
        <v>697</v>
      </c>
      <c r="O96" s="614" t="s">
        <v>678</v>
      </c>
      <c r="P96" s="163" t="s">
        <v>31</v>
      </c>
      <c r="Q96" s="161" t="s">
        <v>17</v>
      </c>
      <c r="R96" s="745" t="s">
        <v>697</v>
      </c>
      <c r="S96" s="614" t="s">
        <v>678</v>
      </c>
      <c r="T96" s="163" t="s">
        <v>31</v>
      </c>
      <c r="U96" s="161" t="s">
        <v>17</v>
      </c>
      <c r="V96" s="745" t="s">
        <v>697</v>
      </c>
      <c r="W96" s="614" t="s">
        <v>678</v>
      </c>
      <c r="X96" s="163" t="s">
        <v>31</v>
      </c>
      <c r="Y96" s="161" t="s">
        <v>17</v>
      </c>
      <c r="Z96" s="745" t="s">
        <v>697</v>
      </c>
      <c r="AA96" s="614" t="s">
        <v>678</v>
      </c>
      <c r="AB96" s="163" t="s">
        <v>31</v>
      </c>
      <c r="AC96" s="161" t="s">
        <v>17</v>
      </c>
      <c r="AD96" s="745" t="s">
        <v>697</v>
      </c>
      <c r="AE96" s="614" t="s">
        <v>678</v>
      </c>
      <c r="AF96" s="163" t="s">
        <v>31</v>
      </c>
      <c r="AG96" s="161" t="s">
        <v>17</v>
      </c>
      <c r="AH96" s="745" t="s">
        <v>697</v>
      </c>
      <c r="AI96" s="614" t="s">
        <v>678</v>
      </c>
      <c r="AJ96" s="163" t="s">
        <v>31</v>
      </c>
      <c r="AK96" s="749"/>
      <c r="AL96" s="749"/>
      <c r="AM96" s="749"/>
      <c r="AN96" s="749"/>
    </row>
    <row r="97" spans="1:40">
      <c r="A97" s="482">
        <v>18</v>
      </c>
      <c r="B97" s="754">
        <f>Paramètres!BE23</f>
        <v>0</v>
      </c>
      <c r="C97" s="750">
        <f t="shared" si="6"/>
        <v>297</v>
      </c>
      <c r="D97" s="169">
        <f>VALUE_Barbarian_King[[#This Row],[Valeur]]*VALUE_Barbarian_King[[#This Row],[Rang]]</f>
        <v>0</v>
      </c>
      <c r="E97" s="482">
        <v>18</v>
      </c>
      <c r="F97" s="754">
        <f>Paramètres!BG23</f>
        <v>0</v>
      </c>
      <c r="G97" s="750">
        <f t="shared" si="7"/>
        <v>495</v>
      </c>
      <c r="H97" s="175">
        <f>VALUE_Archer_Queen[[#This Row],[Valeur]]*VALUE_Archer_Queen[[#This Row],[Rang]]</f>
        <v>0</v>
      </c>
      <c r="I97" s="156"/>
      <c r="J97" s="189"/>
      <c r="K97" s="156"/>
      <c r="L97" s="156"/>
      <c r="M97" s="741">
        <v>1</v>
      </c>
      <c r="N97" s="753">
        <f>Paramètres!I6</f>
        <v>0</v>
      </c>
      <c r="O97" s="751">
        <v>0</v>
      </c>
      <c r="P97" s="174">
        <f>VALUE_Dark_Barrack[[#This Row],[Valeur]]*VALUE_Dark_Barrack[[#This Row],[Rang]]</f>
        <v>0</v>
      </c>
      <c r="Q97" s="741">
        <v>1</v>
      </c>
      <c r="R97" s="753">
        <f>Paramètres!H6</f>
        <v>0</v>
      </c>
      <c r="S97" s="751">
        <v>0</v>
      </c>
      <c r="T97" s="174">
        <f>VALUE_Barrack[[#This Row],[Valeur]]*VALUE_Barrack[[#This Row],[Rang]]</f>
        <v>0</v>
      </c>
      <c r="U97" s="741">
        <v>1</v>
      </c>
      <c r="V97" s="753">
        <f>Paramètres!J6</f>
        <v>0</v>
      </c>
      <c r="W97" s="751">
        <v>0</v>
      </c>
      <c r="X97" s="174">
        <f>VALUE_Army_Camp[[#This Row],[Valeur]]*VALUE_Army_Camp[[#This Row],[Rang]]</f>
        <v>0</v>
      </c>
      <c r="Y97" s="741">
        <v>1</v>
      </c>
      <c r="Z97" s="753">
        <f>Paramètres!K6</f>
        <v>0</v>
      </c>
      <c r="AA97" s="751">
        <v>0</v>
      </c>
      <c r="AB97" s="174">
        <f>VALUE_Laboratory[[#This Row],[Valeur]]*VALUE_Laboratory[[#This Row],[Rang]]</f>
        <v>0</v>
      </c>
      <c r="AC97" s="741">
        <v>1</v>
      </c>
      <c r="AD97" s="753">
        <f>Paramètres!L6</f>
        <v>0</v>
      </c>
      <c r="AE97" s="751">
        <v>0</v>
      </c>
      <c r="AF97" s="174">
        <f>VALUE_Spell_Factory[[#This Row],[Valeur]]*VALUE_Spell_Factory[[#This Row],[Rang]]</f>
        <v>0</v>
      </c>
      <c r="AG97" s="840">
        <v>1</v>
      </c>
      <c r="AH97" s="753">
        <f>Paramètres!M6</f>
        <v>0</v>
      </c>
      <c r="AI97" s="751">
        <v>0</v>
      </c>
      <c r="AJ97" s="174">
        <f>VALUE_Dark_Spell_Factory[[#This Row],[Valeur]]*VALUE_Dark_Spell_Factory[[#This Row],[Rang]]</f>
        <v>0</v>
      </c>
      <c r="AK97" s="749"/>
      <c r="AL97" s="749"/>
      <c r="AM97" s="749"/>
      <c r="AN97" s="749"/>
    </row>
    <row r="98" spans="1:40">
      <c r="A98" s="482">
        <v>19</v>
      </c>
      <c r="B98" s="754">
        <f>Paramètres!BE24</f>
        <v>0</v>
      </c>
      <c r="C98" s="750">
        <f t="shared" si="6"/>
        <v>315</v>
      </c>
      <c r="D98" s="169">
        <f>VALUE_Barbarian_King[[#This Row],[Valeur]]*VALUE_Barbarian_King[[#This Row],[Rang]]</f>
        <v>0</v>
      </c>
      <c r="E98" s="482">
        <v>19</v>
      </c>
      <c r="F98" s="754">
        <f>Paramètres!BG24</f>
        <v>0</v>
      </c>
      <c r="G98" s="750">
        <f t="shared" si="7"/>
        <v>524</v>
      </c>
      <c r="H98" s="175">
        <f>VALUE_Archer_Queen[[#This Row],[Valeur]]*VALUE_Archer_Queen[[#This Row],[Rang]]</f>
        <v>0</v>
      </c>
      <c r="I98" s="156"/>
      <c r="J98" s="189"/>
      <c r="K98" s="156"/>
      <c r="L98" s="156"/>
      <c r="M98" s="482">
        <v>2</v>
      </c>
      <c r="N98" s="754">
        <f>Paramètres!I7</f>
        <v>0</v>
      </c>
      <c r="O98" s="750">
        <v>0</v>
      </c>
      <c r="P98" s="175">
        <f>VALUE_Dark_Barrack[[#This Row],[Valeur]]*VALUE_Dark_Barrack[[#This Row],[Rang]]</f>
        <v>0</v>
      </c>
      <c r="Q98" s="482">
        <v>2</v>
      </c>
      <c r="R98" s="754">
        <f>Paramètres!H7</f>
        <v>0</v>
      </c>
      <c r="S98" s="750">
        <v>0</v>
      </c>
      <c r="T98" s="175">
        <f>VALUE_Barrack[[#This Row],[Valeur]]*VALUE_Barrack[[#This Row],[Rang]]</f>
        <v>0</v>
      </c>
      <c r="U98" s="482">
        <v>2</v>
      </c>
      <c r="V98" s="754">
        <f>Paramètres!J7</f>
        <v>0</v>
      </c>
      <c r="W98" s="750">
        <v>0</v>
      </c>
      <c r="X98" s="175">
        <f>VALUE_Army_Camp[[#This Row],[Valeur]]*VALUE_Army_Camp[[#This Row],[Rang]]</f>
        <v>0</v>
      </c>
      <c r="Y98" s="482">
        <v>2</v>
      </c>
      <c r="Z98" s="754">
        <f>Paramètres!K7</f>
        <v>0</v>
      </c>
      <c r="AA98" s="750">
        <v>0</v>
      </c>
      <c r="AB98" s="175">
        <f>VALUE_Laboratory[[#This Row],[Valeur]]*VALUE_Laboratory[[#This Row],[Rang]]</f>
        <v>0</v>
      </c>
      <c r="AC98" s="482">
        <v>2</v>
      </c>
      <c r="AD98" s="754">
        <f>Paramètres!L7</f>
        <v>0</v>
      </c>
      <c r="AE98" s="750">
        <v>0</v>
      </c>
      <c r="AF98" s="175">
        <f>VALUE_Spell_Factory[[#This Row],[Valeur]]*VALUE_Spell_Factory[[#This Row],[Rang]]</f>
        <v>0</v>
      </c>
      <c r="AG98" s="482">
        <v>2</v>
      </c>
      <c r="AH98" s="754">
        <f>Paramètres!M7</f>
        <v>0</v>
      </c>
      <c r="AI98" s="750">
        <v>0</v>
      </c>
      <c r="AJ98" s="175">
        <f>VALUE_Dark_Spell_Factory[[#This Row],[Valeur]]*VALUE_Dark_Spell_Factory[[#This Row],[Rang]]</f>
        <v>0</v>
      </c>
      <c r="AK98" s="749"/>
      <c r="AL98" s="749"/>
      <c r="AM98" s="749"/>
      <c r="AN98" s="749"/>
    </row>
    <row r="99" spans="1:40">
      <c r="A99" s="482">
        <v>20</v>
      </c>
      <c r="B99" s="754">
        <f>Paramètres!BE25</f>
        <v>0</v>
      </c>
      <c r="C99" s="750">
        <f>19+C98</f>
        <v>334</v>
      </c>
      <c r="D99" s="169">
        <f>VALUE_Barbarian_King[[#This Row],[Valeur]]*VALUE_Barbarian_King[[#This Row],[Rang]]</f>
        <v>0</v>
      </c>
      <c r="E99" s="482">
        <v>20</v>
      </c>
      <c r="F99" s="754">
        <f>Paramètres!BG25</f>
        <v>0</v>
      </c>
      <c r="G99" s="750">
        <f>G98+30</f>
        <v>554</v>
      </c>
      <c r="H99" s="175">
        <f>VALUE_Archer_Queen[[#This Row],[Valeur]]*VALUE_Archer_Queen[[#This Row],[Rang]]</f>
        <v>0</v>
      </c>
      <c r="I99" s="156"/>
      <c r="J99" s="189"/>
      <c r="K99" s="156"/>
      <c r="L99" s="156"/>
      <c r="M99" s="482">
        <v>3</v>
      </c>
      <c r="N99" s="754">
        <f>Paramètres!I8</f>
        <v>0</v>
      </c>
      <c r="O99" s="750">
        <v>0</v>
      </c>
      <c r="P99" s="175">
        <f>VALUE_Dark_Barrack[[#This Row],[Valeur]]*VALUE_Dark_Barrack[[#This Row],[Rang]]</f>
        <v>0</v>
      </c>
      <c r="Q99" s="482">
        <v>3</v>
      </c>
      <c r="R99" s="754">
        <f>Paramètres!H8</f>
        <v>0</v>
      </c>
      <c r="S99" s="750">
        <v>0</v>
      </c>
      <c r="T99" s="175">
        <f>VALUE_Barrack[[#This Row],[Valeur]]*VALUE_Barrack[[#This Row],[Rang]]</f>
        <v>0</v>
      </c>
      <c r="U99" s="482">
        <v>3</v>
      </c>
      <c r="V99" s="754">
        <f>Paramètres!J8</f>
        <v>0</v>
      </c>
      <c r="W99" s="750">
        <v>0</v>
      </c>
      <c r="X99" s="175">
        <f>VALUE_Army_Camp[[#This Row],[Valeur]]*VALUE_Army_Camp[[#This Row],[Rang]]</f>
        <v>0</v>
      </c>
      <c r="Y99" s="482">
        <v>3</v>
      </c>
      <c r="Z99" s="754">
        <f>Paramètres!K8</f>
        <v>0</v>
      </c>
      <c r="AA99" s="750">
        <v>0</v>
      </c>
      <c r="AB99" s="175">
        <f>VALUE_Laboratory[[#This Row],[Valeur]]*VALUE_Laboratory[[#This Row],[Rang]]</f>
        <v>0</v>
      </c>
      <c r="AC99" s="482">
        <v>3</v>
      </c>
      <c r="AD99" s="754">
        <f>Paramètres!L8</f>
        <v>0</v>
      </c>
      <c r="AE99" s="750">
        <v>0</v>
      </c>
      <c r="AF99" s="175">
        <f>VALUE_Spell_Factory[[#This Row],[Valeur]]*VALUE_Spell_Factory[[#This Row],[Rang]]</f>
        <v>0</v>
      </c>
      <c r="AG99" s="482">
        <v>3</v>
      </c>
      <c r="AH99" s="754">
        <f>Paramètres!M8</f>
        <v>0</v>
      </c>
      <c r="AI99" s="750">
        <v>0</v>
      </c>
      <c r="AJ99" s="175">
        <f>VALUE_Dark_Spell_Factory[[#This Row],[Valeur]]*VALUE_Dark_Spell_Factory[[#This Row],[Rang]]</f>
        <v>0</v>
      </c>
      <c r="AK99" s="749"/>
      <c r="AL99" s="749"/>
      <c r="AM99" s="749"/>
      <c r="AN99" s="749"/>
    </row>
    <row r="100" spans="1:40">
      <c r="A100" s="482">
        <v>21</v>
      </c>
      <c r="B100" s="754">
        <f>Paramètres!BE26</f>
        <v>0</v>
      </c>
      <c r="C100" s="750">
        <f t="shared" ref="C100:C103" si="8">19+C99</f>
        <v>353</v>
      </c>
      <c r="D100" s="169">
        <f>VALUE_Barbarian_King[[#This Row],[Valeur]]*VALUE_Barbarian_King[[#This Row],[Rang]]</f>
        <v>0</v>
      </c>
      <c r="E100" s="482">
        <v>21</v>
      </c>
      <c r="F100" s="754">
        <f>Paramètres!BG26</f>
        <v>0</v>
      </c>
      <c r="G100" s="750">
        <f t="shared" ref="G100:G103" si="9">G99+30</f>
        <v>584</v>
      </c>
      <c r="H100" s="175">
        <f>VALUE_Archer_Queen[[#This Row],[Valeur]]*VALUE_Archer_Queen[[#This Row],[Rang]]</f>
        <v>0</v>
      </c>
      <c r="I100" s="156"/>
      <c r="J100" s="189"/>
      <c r="K100" s="156"/>
      <c r="L100" s="156"/>
      <c r="M100" s="482">
        <v>4</v>
      </c>
      <c r="N100" s="754">
        <f>Paramètres!I9</f>
        <v>0</v>
      </c>
      <c r="O100" s="750">
        <v>0</v>
      </c>
      <c r="P100" s="175">
        <f>VALUE_Dark_Barrack[[#This Row],[Valeur]]*VALUE_Dark_Barrack[[#This Row],[Rang]]</f>
        <v>0</v>
      </c>
      <c r="Q100" s="482">
        <v>4</v>
      </c>
      <c r="R100" s="754">
        <f>Paramètres!H9</f>
        <v>0</v>
      </c>
      <c r="S100" s="750">
        <v>0</v>
      </c>
      <c r="T100" s="175">
        <f>VALUE_Barrack[[#This Row],[Valeur]]*VALUE_Barrack[[#This Row],[Rang]]</f>
        <v>0</v>
      </c>
      <c r="U100" s="482">
        <v>4</v>
      </c>
      <c r="V100" s="754">
        <f>Paramètres!J9</f>
        <v>0</v>
      </c>
      <c r="W100" s="750">
        <v>0</v>
      </c>
      <c r="X100" s="175">
        <f>VALUE_Army_Camp[[#This Row],[Valeur]]*VALUE_Army_Camp[[#This Row],[Rang]]</f>
        <v>0</v>
      </c>
      <c r="Y100" s="482">
        <v>4</v>
      </c>
      <c r="Z100" s="754">
        <f>Paramètres!K9</f>
        <v>0</v>
      </c>
      <c r="AA100" s="750">
        <v>0</v>
      </c>
      <c r="AB100" s="175">
        <f>VALUE_Laboratory[[#This Row],[Valeur]]*VALUE_Laboratory[[#This Row],[Rang]]</f>
        <v>0</v>
      </c>
      <c r="AC100" s="482">
        <v>4</v>
      </c>
      <c r="AD100" s="754">
        <f>Paramètres!L9</f>
        <v>0</v>
      </c>
      <c r="AE100" s="750">
        <v>0</v>
      </c>
      <c r="AF100" s="175">
        <f>VALUE_Spell_Factory[[#This Row],[Valeur]]*VALUE_Spell_Factory[[#This Row],[Rang]]</f>
        <v>0</v>
      </c>
      <c r="AG100" s="156"/>
      <c r="AH100" s="749"/>
      <c r="AI100" s="749"/>
      <c r="AJ100" s="749"/>
      <c r="AK100" s="749"/>
      <c r="AL100" s="749"/>
      <c r="AM100" s="749"/>
      <c r="AN100" s="749"/>
    </row>
    <row r="101" spans="1:40" ht="15.75" thickBot="1">
      <c r="A101" s="482">
        <v>22</v>
      </c>
      <c r="B101" s="754">
        <f>Paramètres!BE27</f>
        <v>0</v>
      </c>
      <c r="C101" s="750">
        <f>19+C100</f>
        <v>372</v>
      </c>
      <c r="D101" s="169">
        <f>VALUE_Barbarian_King[[#This Row],[Valeur]]*VALUE_Barbarian_King[[#This Row],[Rang]]</f>
        <v>0</v>
      </c>
      <c r="E101" s="482">
        <v>22</v>
      </c>
      <c r="F101" s="754">
        <f>Paramètres!BG27</f>
        <v>0</v>
      </c>
      <c r="G101" s="750">
        <f t="shared" si="9"/>
        <v>614</v>
      </c>
      <c r="H101" s="175">
        <f>VALUE_Archer_Queen[[#This Row],[Valeur]]*VALUE_Archer_Queen[[#This Row],[Rang]]</f>
        <v>0</v>
      </c>
      <c r="I101" s="156"/>
      <c r="J101" s="189"/>
      <c r="K101" s="156"/>
      <c r="L101" s="156"/>
      <c r="M101" s="482">
        <v>5</v>
      </c>
      <c r="N101" s="754">
        <f>Paramètres!I10</f>
        <v>0</v>
      </c>
      <c r="O101" s="750">
        <v>0</v>
      </c>
      <c r="P101" s="175">
        <f>VALUE_Dark_Barrack[[#This Row],[Valeur]]*VALUE_Dark_Barrack[[#This Row],[Rang]]</f>
        <v>0</v>
      </c>
      <c r="Q101" s="482">
        <v>5</v>
      </c>
      <c r="R101" s="754">
        <f>Paramètres!H10</f>
        <v>0</v>
      </c>
      <c r="S101" s="750">
        <v>0</v>
      </c>
      <c r="T101" s="175">
        <f>VALUE_Barrack[[#This Row],[Valeur]]*VALUE_Barrack[[#This Row],[Rang]]</f>
        <v>0</v>
      </c>
      <c r="U101" s="482">
        <v>5</v>
      </c>
      <c r="V101" s="754">
        <f>Paramètres!J10</f>
        <v>0</v>
      </c>
      <c r="W101" s="750">
        <v>0</v>
      </c>
      <c r="X101" s="175">
        <f>VALUE_Army_Camp[[#This Row],[Valeur]]*VALUE_Army_Camp[[#This Row],[Rang]]</f>
        <v>0</v>
      </c>
      <c r="Y101" s="482">
        <v>5</v>
      </c>
      <c r="Z101" s="754">
        <f>Paramètres!K10</f>
        <v>0</v>
      </c>
      <c r="AA101" s="750">
        <v>0</v>
      </c>
      <c r="AB101" s="175">
        <f>VALUE_Laboratory[[#This Row],[Valeur]]*VALUE_Laboratory[[#This Row],[Rang]]</f>
        <v>0</v>
      </c>
      <c r="AC101" s="489">
        <v>5</v>
      </c>
      <c r="AD101" s="755">
        <f>Paramètres!L10</f>
        <v>0</v>
      </c>
      <c r="AE101" s="752">
        <v>0</v>
      </c>
      <c r="AF101" s="460">
        <f>VALUE_Spell_Factory[[#This Row],[Valeur]]*VALUE_Spell_Factory[[#This Row],[Rang]]</f>
        <v>0</v>
      </c>
      <c r="AG101" s="156"/>
      <c r="AH101" s="749"/>
      <c r="AI101" s="749"/>
      <c r="AJ101" s="749"/>
      <c r="AK101" s="749"/>
      <c r="AL101" s="749"/>
      <c r="AM101" s="749"/>
      <c r="AN101" s="749"/>
    </row>
    <row r="102" spans="1:40" ht="15.75" thickBot="1">
      <c r="A102" s="482">
        <v>23</v>
      </c>
      <c r="B102" s="754">
        <f>Paramètres!BE28</f>
        <v>0</v>
      </c>
      <c r="C102" s="750">
        <f t="shared" si="8"/>
        <v>391</v>
      </c>
      <c r="D102" s="169">
        <f>VALUE_Barbarian_King[[#This Row],[Valeur]]*VALUE_Barbarian_King[[#This Row],[Rang]]</f>
        <v>0</v>
      </c>
      <c r="E102" s="482">
        <v>23</v>
      </c>
      <c r="F102" s="754">
        <f>Paramètres!BG28</f>
        <v>0</v>
      </c>
      <c r="G102" s="750">
        <f t="shared" si="9"/>
        <v>644</v>
      </c>
      <c r="H102" s="175">
        <f>VALUE_Archer_Queen[[#This Row],[Valeur]]*VALUE_Archer_Queen[[#This Row],[Rang]]</f>
        <v>0</v>
      </c>
      <c r="I102" s="156"/>
      <c r="J102" s="189"/>
      <c r="K102" s="156"/>
      <c r="L102" s="156"/>
      <c r="M102" s="489">
        <v>6</v>
      </c>
      <c r="N102" s="755">
        <f>Paramètres!I11</f>
        <v>0</v>
      </c>
      <c r="O102" s="752">
        <v>0</v>
      </c>
      <c r="P102" s="460">
        <f>VALUE_Dark_Barrack[[#This Row],[Valeur]]*VALUE_Dark_Barrack[[#This Row],[Rang]]</f>
        <v>0</v>
      </c>
      <c r="Q102" s="482">
        <v>6</v>
      </c>
      <c r="R102" s="754">
        <f>Paramètres!H11</f>
        <v>0</v>
      </c>
      <c r="S102" s="750">
        <v>0</v>
      </c>
      <c r="T102" s="175">
        <f>VALUE_Barrack[[#This Row],[Valeur]]*VALUE_Barrack[[#This Row],[Rang]]</f>
        <v>0</v>
      </c>
      <c r="U102" s="482">
        <v>6</v>
      </c>
      <c r="V102" s="754">
        <f>Paramètres!J11</f>
        <v>0</v>
      </c>
      <c r="W102" s="750">
        <v>0</v>
      </c>
      <c r="X102" s="175">
        <f>VALUE_Army_Camp[[#This Row],[Valeur]]*VALUE_Army_Camp[[#This Row],[Rang]]</f>
        <v>0</v>
      </c>
      <c r="Y102" s="482">
        <v>6</v>
      </c>
      <c r="Z102" s="754">
        <f>Paramètres!K11</f>
        <v>0</v>
      </c>
      <c r="AA102" s="750">
        <v>0</v>
      </c>
      <c r="AB102" s="175">
        <f>VALUE_Laboratory[[#This Row],[Valeur]]*VALUE_Laboratory[[#This Row],[Rang]]</f>
        <v>0</v>
      </c>
      <c r="AC102" s="156"/>
      <c r="AD102" s="156"/>
      <c r="AE102" s="156"/>
      <c r="AF102" s="156"/>
      <c r="AG102" s="749"/>
      <c r="AH102" s="749"/>
      <c r="AI102" s="749"/>
      <c r="AJ102" s="749"/>
      <c r="AK102" s="749"/>
      <c r="AL102" s="749"/>
      <c r="AM102" s="749"/>
      <c r="AN102" s="749"/>
    </row>
    <row r="103" spans="1:40">
      <c r="A103" s="482">
        <v>24</v>
      </c>
      <c r="B103" s="754">
        <f>Paramètres!BE29</f>
        <v>0</v>
      </c>
      <c r="C103" s="750">
        <f t="shared" si="8"/>
        <v>410</v>
      </c>
      <c r="D103" s="169">
        <f>VALUE_Barbarian_King[[#This Row],[Valeur]]*VALUE_Barbarian_King[[#This Row],[Rang]]</f>
        <v>0</v>
      </c>
      <c r="E103" s="482">
        <v>24</v>
      </c>
      <c r="F103" s="754">
        <f>Paramètres!BG29</f>
        <v>0</v>
      </c>
      <c r="G103" s="750">
        <f t="shared" si="9"/>
        <v>674</v>
      </c>
      <c r="H103" s="175">
        <f>VALUE_Archer_Queen[[#This Row],[Valeur]]*VALUE_Archer_Queen[[#This Row],[Rang]]</f>
        <v>0</v>
      </c>
      <c r="I103" s="156"/>
      <c r="J103" s="189"/>
      <c r="K103" s="156"/>
      <c r="L103" s="156"/>
      <c r="M103" s="156"/>
      <c r="N103" s="156"/>
      <c r="O103" s="156"/>
      <c r="P103" s="749"/>
      <c r="Q103" s="482">
        <v>7</v>
      </c>
      <c r="R103" s="754">
        <f>Paramètres!H12</f>
        <v>0</v>
      </c>
      <c r="S103" s="750">
        <v>0</v>
      </c>
      <c r="T103" s="175">
        <f>VALUE_Barrack[[#This Row],[Valeur]]*VALUE_Barrack[[#This Row],[Rang]]</f>
        <v>0</v>
      </c>
      <c r="U103" s="482">
        <v>7</v>
      </c>
      <c r="V103" s="754">
        <f>Paramètres!J12</f>
        <v>0</v>
      </c>
      <c r="W103" s="750">
        <v>0</v>
      </c>
      <c r="X103" s="175">
        <f>VALUE_Army_Camp[[#This Row],[Valeur]]*VALUE_Army_Camp[[#This Row],[Rang]]</f>
        <v>0</v>
      </c>
      <c r="Y103" s="482">
        <v>7</v>
      </c>
      <c r="Z103" s="754">
        <f>Paramètres!K12</f>
        <v>0</v>
      </c>
      <c r="AA103" s="750">
        <v>0</v>
      </c>
      <c r="AB103" s="175">
        <f>VALUE_Laboratory[[#This Row],[Valeur]]*VALUE_Laboratory[[#This Row],[Rang]]</f>
        <v>0</v>
      </c>
      <c r="AC103" s="156"/>
      <c r="AD103" s="156"/>
      <c r="AE103" s="156"/>
      <c r="AF103" s="156"/>
      <c r="AG103" s="749"/>
      <c r="AH103" s="749"/>
      <c r="AI103" s="749"/>
      <c r="AJ103" s="749"/>
      <c r="AK103" s="749"/>
      <c r="AL103" s="749"/>
      <c r="AM103" s="749"/>
      <c r="AN103" s="749"/>
    </row>
    <row r="104" spans="1:40" ht="15.75" thickBot="1">
      <c r="A104" s="482">
        <v>25</v>
      </c>
      <c r="B104" s="754">
        <f>Paramètres!BE30</f>
        <v>0</v>
      </c>
      <c r="C104" s="750">
        <f>20+C103</f>
        <v>430</v>
      </c>
      <c r="D104" s="169">
        <f>VALUE_Barbarian_King[[#This Row],[Valeur]]*VALUE_Barbarian_King[[#This Row],[Rang]]</f>
        <v>0</v>
      </c>
      <c r="E104" s="482">
        <v>25</v>
      </c>
      <c r="F104" s="754">
        <f>Paramètres!BG30</f>
        <v>0</v>
      </c>
      <c r="G104" s="750">
        <f>G103+31</f>
        <v>705</v>
      </c>
      <c r="H104" s="175">
        <f>VALUE_Archer_Queen[[#This Row],[Valeur]]*VALUE_Archer_Queen[[#This Row],[Rang]]</f>
        <v>0</v>
      </c>
      <c r="I104" s="156"/>
      <c r="J104" s="189"/>
      <c r="K104" s="156"/>
      <c r="L104" s="156"/>
      <c r="M104" s="156"/>
      <c r="N104" s="156"/>
      <c r="O104" s="156"/>
      <c r="P104" s="749"/>
      <c r="Q104" s="482">
        <v>8</v>
      </c>
      <c r="R104" s="754">
        <f>Paramètres!H13</f>
        <v>0</v>
      </c>
      <c r="S104" s="750">
        <v>0</v>
      </c>
      <c r="T104" s="175">
        <f>VALUE_Barrack[[#This Row],[Valeur]]*VALUE_Barrack[[#This Row],[Rang]]</f>
        <v>0</v>
      </c>
      <c r="U104" s="489">
        <v>8</v>
      </c>
      <c r="V104" s="755">
        <f>Paramètres!J13</f>
        <v>0</v>
      </c>
      <c r="W104" s="752">
        <v>0</v>
      </c>
      <c r="X104" s="460">
        <f>VALUE_Army_Camp[[#This Row],[Valeur]]*VALUE_Army_Camp[[#This Row],[Rang]]</f>
        <v>0</v>
      </c>
      <c r="Y104" s="489">
        <v>8</v>
      </c>
      <c r="Z104" s="755">
        <f>Paramètres!K13</f>
        <v>0</v>
      </c>
      <c r="AA104" s="752">
        <v>0</v>
      </c>
      <c r="AB104" s="460">
        <f>VALUE_Laboratory[[#This Row],[Valeur]]*VALUE_Laboratory[[#This Row],[Rang]]</f>
        <v>0</v>
      </c>
      <c r="AC104" s="141"/>
      <c r="AD104" s="141"/>
      <c r="AE104" s="141"/>
      <c r="AF104" s="156"/>
      <c r="AG104" s="749"/>
      <c r="AH104" s="749"/>
      <c r="AI104" s="749"/>
      <c r="AJ104" s="749"/>
      <c r="AK104" s="749"/>
      <c r="AL104" s="749"/>
      <c r="AM104" s="749"/>
      <c r="AN104" s="749"/>
    </row>
    <row r="105" spans="1:40">
      <c r="A105" s="482">
        <v>26</v>
      </c>
      <c r="B105" s="754">
        <f>Paramètres!BE31</f>
        <v>0</v>
      </c>
      <c r="C105" s="750">
        <f t="shared" ref="C105:C108" si="10">20+C104</f>
        <v>450</v>
      </c>
      <c r="D105" s="169">
        <f>VALUE_Barbarian_King[[#This Row],[Valeur]]*VALUE_Barbarian_King[[#This Row],[Rang]]</f>
        <v>0</v>
      </c>
      <c r="E105" s="482">
        <v>26</v>
      </c>
      <c r="F105" s="754">
        <f>Paramètres!BG31</f>
        <v>0</v>
      </c>
      <c r="G105" s="750">
        <f t="shared" ref="G105:G108" si="11">G104+31</f>
        <v>736</v>
      </c>
      <c r="H105" s="175">
        <f>VALUE_Archer_Queen[[#This Row],[Valeur]]*VALUE_Archer_Queen[[#This Row],[Rang]]</f>
        <v>0</v>
      </c>
      <c r="I105" s="156"/>
      <c r="J105" s="189"/>
      <c r="K105" s="156"/>
      <c r="L105" s="156"/>
      <c r="M105" s="156"/>
      <c r="N105" s="156"/>
      <c r="O105" s="156"/>
      <c r="P105" s="749"/>
      <c r="Q105" s="482">
        <v>9</v>
      </c>
      <c r="R105" s="754">
        <f>Paramètres!H14</f>
        <v>0</v>
      </c>
      <c r="S105" s="750">
        <v>0</v>
      </c>
      <c r="T105" s="175">
        <f>VALUE_Barrack[[#This Row],[Valeur]]*VALUE_Barrack[[#This Row],[Rang]]</f>
        <v>0</v>
      </c>
      <c r="U105" s="156"/>
      <c r="V105" s="156"/>
      <c r="W105" s="156"/>
      <c r="X105" s="156"/>
      <c r="Y105" s="156"/>
      <c r="Z105" s="156"/>
      <c r="AA105" s="156"/>
      <c r="AB105" s="156"/>
      <c r="AC105" s="156"/>
      <c r="AD105" s="156"/>
      <c r="AE105" s="749"/>
      <c r="AF105" s="749"/>
      <c r="AG105" s="749"/>
      <c r="AH105" s="749"/>
      <c r="AI105" s="749"/>
      <c r="AJ105" s="749"/>
      <c r="AK105" s="749"/>
      <c r="AL105" s="749"/>
      <c r="AM105" s="749"/>
      <c r="AN105" s="749"/>
    </row>
    <row r="106" spans="1:40" ht="15.75" thickBot="1">
      <c r="A106" s="482">
        <v>27</v>
      </c>
      <c r="B106" s="754">
        <f>Paramètres!BE32</f>
        <v>0</v>
      </c>
      <c r="C106" s="750">
        <f t="shared" si="10"/>
        <v>470</v>
      </c>
      <c r="D106" s="169">
        <f>VALUE_Barbarian_King[[#This Row],[Valeur]]*VALUE_Barbarian_King[[#This Row],[Rang]]</f>
        <v>0</v>
      </c>
      <c r="E106" s="482">
        <v>27</v>
      </c>
      <c r="F106" s="754">
        <f>Paramètres!BG32</f>
        <v>0</v>
      </c>
      <c r="G106" s="750">
        <f t="shared" si="11"/>
        <v>767</v>
      </c>
      <c r="H106" s="175">
        <f>VALUE_Archer_Queen[[#This Row],[Valeur]]*VALUE_Archer_Queen[[#This Row],[Rang]]</f>
        <v>0</v>
      </c>
      <c r="I106" s="156"/>
      <c r="J106" s="189"/>
      <c r="K106" s="156"/>
      <c r="L106" s="156"/>
      <c r="M106" s="156"/>
      <c r="N106" s="156"/>
      <c r="O106" s="156"/>
      <c r="P106" s="749"/>
      <c r="Q106" s="489">
        <v>10</v>
      </c>
      <c r="R106" s="755">
        <f>Paramètres!H15</f>
        <v>0</v>
      </c>
      <c r="S106" s="752">
        <v>0</v>
      </c>
      <c r="T106" s="460">
        <f>VALUE_Barrack[[#This Row],[Valeur]]*VALUE_Barrack[[#This Row],[Rang]]</f>
        <v>0</v>
      </c>
      <c r="U106" s="156"/>
      <c r="V106" s="156"/>
      <c r="W106" s="156"/>
      <c r="X106" s="156"/>
      <c r="Y106" s="156"/>
      <c r="Z106" s="156"/>
      <c r="AA106" s="156"/>
      <c r="AB106" s="156"/>
      <c r="AC106" s="156"/>
      <c r="AD106" s="156"/>
      <c r="AE106" s="749"/>
      <c r="AF106" s="749"/>
      <c r="AG106" s="749"/>
      <c r="AH106" s="749"/>
      <c r="AI106" s="749"/>
      <c r="AJ106" s="749"/>
      <c r="AK106" s="749"/>
      <c r="AL106" s="749"/>
      <c r="AM106" s="749"/>
      <c r="AN106" s="749"/>
    </row>
    <row r="107" spans="1:40" ht="19.5" thickBot="1">
      <c r="A107" s="482">
        <v>28</v>
      </c>
      <c r="B107" s="754">
        <f>Paramètres!BE33</f>
        <v>0</v>
      </c>
      <c r="C107" s="750">
        <f t="shared" si="10"/>
        <v>490</v>
      </c>
      <c r="D107" s="169">
        <f>VALUE_Barbarian_King[[#This Row],[Valeur]]*VALUE_Barbarian_King[[#This Row],[Rang]]</f>
        <v>0</v>
      </c>
      <c r="E107" s="482">
        <v>28</v>
      </c>
      <c r="F107" s="754">
        <f>Paramètres!BG33</f>
        <v>0</v>
      </c>
      <c r="G107" s="750">
        <f t="shared" si="11"/>
        <v>798</v>
      </c>
      <c r="H107" s="175">
        <f>VALUE_Archer_Queen[[#This Row],[Valeur]]*VALUE_Archer_Queen[[#This Row],[Rang]]</f>
        <v>0</v>
      </c>
      <c r="I107" s="156"/>
      <c r="J107" s="189"/>
      <c r="K107" s="156"/>
      <c r="L107" s="156"/>
      <c r="M107" s="156"/>
      <c r="N107" s="749"/>
      <c r="O107" s="749"/>
      <c r="P107" s="749"/>
      <c r="Q107" s="749"/>
      <c r="R107" s="749"/>
      <c r="S107" s="749"/>
      <c r="T107" s="749"/>
      <c r="U107" s="749"/>
      <c r="V107" s="156"/>
      <c r="W107" s="156"/>
      <c r="X107" s="156"/>
      <c r="Y107" s="156"/>
      <c r="Z107" s="156"/>
      <c r="AA107" s="156"/>
      <c r="AB107" s="156"/>
      <c r="AC107" s="1272" t="s">
        <v>683</v>
      </c>
      <c r="AD107" s="1273"/>
      <c r="AE107" s="1273"/>
      <c r="AF107" s="1273"/>
      <c r="AG107" s="1273"/>
      <c r="AH107" s="1273"/>
      <c r="AI107" s="1273"/>
      <c r="AJ107" s="1274"/>
      <c r="AK107" s="749"/>
      <c r="AL107" s="749"/>
      <c r="AM107" s="749"/>
      <c r="AN107" s="749"/>
    </row>
    <row r="108" spans="1:40" ht="15.75" thickBot="1">
      <c r="A108" s="482">
        <v>29</v>
      </c>
      <c r="B108" s="754">
        <f>Paramètres!BE34</f>
        <v>0</v>
      </c>
      <c r="C108" s="750">
        <f t="shared" si="10"/>
        <v>510</v>
      </c>
      <c r="D108" s="169">
        <f>VALUE_Barbarian_King[[#This Row],[Valeur]]*VALUE_Barbarian_King[[#This Row],[Rang]]</f>
        <v>0</v>
      </c>
      <c r="E108" s="482">
        <v>29</v>
      </c>
      <c r="F108" s="754">
        <f>Paramètres!BG34</f>
        <v>0</v>
      </c>
      <c r="G108" s="750">
        <f t="shared" si="11"/>
        <v>829</v>
      </c>
      <c r="H108" s="175">
        <f>VALUE_Archer_Queen[[#This Row],[Valeur]]*VALUE_Archer_Queen[[#This Row],[Rang]]</f>
        <v>0</v>
      </c>
      <c r="I108" s="156"/>
      <c r="J108" s="189"/>
      <c r="K108" s="156"/>
      <c r="L108" s="156"/>
      <c r="M108" s="156"/>
      <c r="N108" s="749"/>
      <c r="O108" s="749"/>
      <c r="P108" s="749"/>
      <c r="Q108" s="749"/>
      <c r="R108" s="749"/>
      <c r="S108" s="749"/>
      <c r="T108" s="749"/>
      <c r="U108" s="749"/>
      <c r="V108" s="156"/>
      <c r="W108" s="156"/>
      <c r="X108" s="156"/>
      <c r="Y108" s="156"/>
      <c r="Z108" s="156"/>
      <c r="AA108" s="156"/>
      <c r="AB108" s="156"/>
      <c r="AC108" s="1291" t="s">
        <v>198</v>
      </c>
      <c r="AD108" s="1292"/>
      <c r="AE108" s="1292"/>
      <c r="AF108" s="1293"/>
      <c r="AG108" s="1291" t="s">
        <v>197</v>
      </c>
      <c r="AH108" s="1292"/>
      <c r="AI108" s="1292"/>
      <c r="AJ108" s="1293"/>
      <c r="AK108" s="749"/>
      <c r="AL108" s="749"/>
      <c r="AM108" s="749"/>
      <c r="AN108" s="749"/>
    </row>
    <row r="109" spans="1:40" ht="19.5" thickBot="1">
      <c r="A109" s="482">
        <v>30</v>
      </c>
      <c r="B109" s="754">
        <f>Paramètres!BE35</f>
        <v>0</v>
      </c>
      <c r="C109" s="750">
        <f>21+C108</f>
        <v>531</v>
      </c>
      <c r="D109" s="169">
        <f>VALUE_Barbarian_King[[#This Row],[Valeur]]*VALUE_Barbarian_King[[#This Row],[Rang]]</f>
        <v>0</v>
      </c>
      <c r="E109" s="482">
        <v>30</v>
      </c>
      <c r="F109" s="754">
        <f>Paramètres!BG35</f>
        <v>0</v>
      </c>
      <c r="G109" s="750">
        <f>G108+32</f>
        <v>861</v>
      </c>
      <c r="H109" s="175">
        <f>VALUE_Archer_Queen[[#This Row],[Valeur]]*VALUE_Archer_Queen[[#This Row],[Rang]]</f>
        <v>0</v>
      </c>
      <c r="I109" s="156"/>
      <c r="J109" s="189"/>
      <c r="K109" s="156"/>
      <c r="L109" s="156"/>
      <c r="M109" s="1272" t="s">
        <v>726</v>
      </c>
      <c r="N109" s="1273"/>
      <c r="O109" s="1273"/>
      <c r="P109" s="1273"/>
      <c r="Q109" s="1273"/>
      <c r="R109" s="1273"/>
      <c r="S109" s="1273"/>
      <c r="T109" s="1273"/>
      <c r="U109" s="1273"/>
      <c r="V109" s="1273"/>
      <c r="W109" s="1273"/>
      <c r="X109" s="1273"/>
      <c r="Y109" s="156"/>
      <c r="Z109" s="156"/>
      <c r="AA109" s="156"/>
      <c r="AB109" s="156"/>
      <c r="AC109" s="161" t="s">
        <v>17</v>
      </c>
      <c r="AD109" s="745" t="s">
        <v>697</v>
      </c>
      <c r="AE109" s="614" t="s">
        <v>678</v>
      </c>
      <c r="AF109" s="163" t="s">
        <v>31</v>
      </c>
      <c r="AG109" s="161" t="s">
        <v>17</v>
      </c>
      <c r="AH109" s="745" t="s">
        <v>697</v>
      </c>
      <c r="AI109" s="614" t="s">
        <v>678</v>
      </c>
      <c r="AJ109" s="163" t="s">
        <v>31</v>
      </c>
      <c r="AK109" s="749"/>
      <c r="AL109" s="749"/>
      <c r="AM109" s="749"/>
      <c r="AN109" s="749"/>
    </row>
    <row r="110" spans="1:40" ht="15.75" thickBot="1">
      <c r="A110" s="482">
        <v>31</v>
      </c>
      <c r="B110" s="754">
        <f>Paramètres!BE36</f>
        <v>0</v>
      </c>
      <c r="C110" s="750">
        <f t="shared" ref="C110:C113" si="12">21+C109</f>
        <v>552</v>
      </c>
      <c r="D110" s="169">
        <f>VALUE_Barbarian_King[[#This Row],[Valeur]]*VALUE_Barbarian_King[[#This Row],[Rang]]</f>
        <v>0</v>
      </c>
      <c r="E110" s="482">
        <v>31</v>
      </c>
      <c r="F110" s="754">
        <f>Paramètres!BG36</f>
        <v>0</v>
      </c>
      <c r="G110" s="750">
        <f t="shared" ref="G110:G113" si="13">G109+32</f>
        <v>893</v>
      </c>
      <c r="H110" s="175">
        <f>VALUE_Archer_Queen[[#This Row],[Valeur]]*VALUE_Archer_Queen[[#This Row],[Rang]]</f>
        <v>0</v>
      </c>
      <c r="I110" s="156"/>
      <c r="J110" s="189"/>
      <c r="K110" s="156"/>
      <c r="L110" s="156"/>
      <c r="M110" s="1282" t="s">
        <v>707</v>
      </c>
      <c r="N110" s="1283"/>
      <c r="O110" s="1283"/>
      <c r="P110" s="1284"/>
      <c r="Q110" s="1282" t="s">
        <v>719</v>
      </c>
      <c r="R110" s="1283"/>
      <c r="S110" s="1283"/>
      <c r="T110" s="1284"/>
      <c r="U110" s="1282" t="s">
        <v>708</v>
      </c>
      <c r="V110" s="1283"/>
      <c r="W110" s="1283"/>
      <c r="X110" s="1284"/>
      <c r="Y110" s="156"/>
      <c r="Z110" s="156"/>
      <c r="AA110" s="156"/>
      <c r="AB110" s="156"/>
      <c r="AC110" s="741">
        <v>1</v>
      </c>
      <c r="AD110" s="753">
        <f>Paramètres!AE6</f>
        <v>0</v>
      </c>
      <c r="AE110" s="751">
        <v>0</v>
      </c>
      <c r="AF110" s="174">
        <f>VALUE_Clan_Castle[[#This Row],[Valeur]]*VALUE_Clan_Castle[[#This Row],[Rang]]</f>
        <v>0</v>
      </c>
      <c r="AG110" s="741">
        <v>1</v>
      </c>
      <c r="AH110" s="753">
        <f>Paramètres!AF6</f>
        <v>0</v>
      </c>
      <c r="AI110" s="751">
        <v>0</v>
      </c>
      <c r="AJ110" s="174">
        <f>VALUE_Town_Home[[#This Row],[Valeur]]*VALUE_Town_Home[[#This Row],[Rang]]</f>
        <v>0</v>
      </c>
      <c r="AK110" s="749"/>
      <c r="AL110" s="749"/>
      <c r="AM110" s="749"/>
      <c r="AN110" s="749"/>
    </row>
    <row r="111" spans="1:40" ht="15.75" thickBot="1">
      <c r="A111" s="482">
        <v>32</v>
      </c>
      <c r="B111" s="754">
        <f>Paramètres!BE37</f>
        <v>0</v>
      </c>
      <c r="C111" s="750">
        <f t="shared" si="12"/>
        <v>573</v>
      </c>
      <c r="D111" s="169">
        <f>VALUE_Barbarian_King[[#This Row],[Valeur]]*VALUE_Barbarian_King[[#This Row],[Rang]]</f>
        <v>0</v>
      </c>
      <c r="E111" s="482">
        <v>32</v>
      </c>
      <c r="F111" s="754">
        <f>Paramètres!BG37</f>
        <v>0</v>
      </c>
      <c r="G111" s="750">
        <f t="shared" si="13"/>
        <v>925</v>
      </c>
      <c r="H111" s="175">
        <f>VALUE_Archer_Queen[[#This Row],[Valeur]]*VALUE_Archer_Queen[[#This Row],[Rang]]</f>
        <v>0</v>
      </c>
      <c r="I111" s="156"/>
      <c r="J111" s="189"/>
      <c r="K111" s="156"/>
      <c r="L111" s="156"/>
      <c r="M111" s="177" t="s">
        <v>17</v>
      </c>
      <c r="N111" s="462" t="s">
        <v>697</v>
      </c>
      <c r="O111" s="463" t="s">
        <v>678</v>
      </c>
      <c r="P111" s="464" t="s">
        <v>31</v>
      </c>
      <c r="Q111" s="177" t="s">
        <v>17</v>
      </c>
      <c r="R111" s="462" t="s">
        <v>697</v>
      </c>
      <c r="S111" s="463" t="s">
        <v>678</v>
      </c>
      <c r="T111" s="464" t="s">
        <v>31</v>
      </c>
      <c r="U111" s="177" t="s">
        <v>17</v>
      </c>
      <c r="V111" s="462" t="s">
        <v>697</v>
      </c>
      <c r="W111" s="463" t="s">
        <v>678</v>
      </c>
      <c r="X111" s="464" t="s">
        <v>31</v>
      </c>
      <c r="Y111" s="156"/>
      <c r="Z111" s="156"/>
      <c r="AA111" s="156"/>
      <c r="AB111" s="156"/>
      <c r="AC111" s="482">
        <v>2</v>
      </c>
      <c r="AD111" s="754">
        <f>Paramètres!AE7</f>
        <v>0</v>
      </c>
      <c r="AE111" s="750">
        <v>0</v>
      </c>
      <c r="AF111" s="175">
        <f>VALUE_Clan_Castle[[#This Row],[Valeur]]*VALUE_Clan_Castle[[#This Row],[Rang]]</f>
        <v>0</v>
      </c>
      <c r="AG111" s="482">
        <v>2</v>
      </c>
      <c r="AH111" s="754">
        <f>Paramètres!AF7</f>
        <v>1</v>
      </c>
      <c r="AI111" s="750">
        <v>0</v>
      </c>
      <c r="AJ111" s="175">
        <f>VALUE_Town_Home[[#This Row],[Valeur]]*VALUE_Town_Home[[#This Row],[Rang]]</f>
        <v>0</v>
      </c>
      <c r="AK111" s="749"/>
      <c r="AL111" s="749"/>
      <c r="AM111" s="749"/>
      <c r="AN111" s="749"/>
    </row>
    <row r="112" spans="1:40">
      <c r="A112" s="482">
        <v>33</v>
      </c>
      <c r="B112" s="754">
        <f>Paramètres!BE38</f>
        <v>0</v>
      </c>
      <c r="C112" s="750">
        <f t="shared" si="12"/>
        <v>594</v>
      </c>
      <c r="D112" s="169">
        <f>VALUE_Barbarian_King[[#This Row],[Valeur]]*VALUE_Barbarian_King[[#This Row],[Rang]]</f>
        <v>0</v>
      </c>
      <c r="E112" s="482">
        <v>33</v>
      </c>
      <c r="F112" s="754">
        <f>Paramètres!BG38</f>
        <v>0</v>
      </c>
      <c r="G112" s="750">
        <f t="shared" si="13"/>
        <v>957</v>
      </c>
      <c r="H112" s="175">
        <f>VALUE_Archer_Queen[[#This Row],[Valeur]]*VALUE_Archer_Queen[[#This Row],[Rang]]</f>
        <v>0</v>
      </c>
      <c r="I112" s="156"/>
      <c r="J112" s="189"/>
      <c r="K112" s="156"/>
      <c r="L112" s="156"/>
      <c r="M112" s="905">
        <v>1</v>
      </c>
      <c r="N112" s="753">
        <f>Paramètres!AL6</f>
        <v>0</v>
      </c>
      <c r="O112" s="751">
        <v>0</v>
      </c>
      <c r="P112" s="174">
        <f>VALUE_Spell_Poison[[#This Row],[Valeur]]*VALUE_Spell_Poison[[#This Row],[Rang]]</f>
        <v>0</v>
      </c>
      <c r="Q112" s="746">
        <v>1</v>
      </c>
      <c r="R112" s="753">
        <f>Paramètres!AM6</f>
        <v>0</v>
      </c>
      <c r="S112" s="751">
        <v>0</v>
      </c>
      <c r="T112" s="633">
        <f>VALUE_Spell_Earthquake[[#This Row],[Valeur]]*VALUE_Spell_Earthquake[[#This Row],[Rang]]</f>
        <v>0</v>
      </c>
      <c r="U112" s="904">
        <v>1</v>
      </c>
      <c r="V112" s="753">
        <f>Paramètres!AN6</f>
        <v>0</v>
      </c>
      <c r="W112" s="751">
        <v>0</v>
      </c>
      <c r="X112" s="633">
        <f>VALUE_Spell_Haste[[#This Row],[Valeur]]*VALUE_Spell_Haste[[#This Row],[Rang]]</f>
        <v>0</v>
      </c>
      <c r="Y112" s="156"/>
      <c r="Z112" s="156"/>
      <c r="AA112" s="156"/>
      <c r="AB112" s="156"/>
      <c r="AC112" s="482">
        <v>3</v>
      </c>
      <c r="AD112" s="754">
        <f>Paramètres!AE8</f>
        <v>0</v>
      </c>
      <c r="AE112" s="750">
        <v>0</v>
      </c>
      <c r="AF112" s="175">
        <f>VALUE_Clan_Castle[[#This Row],[Valeur]]*VALUE_Clan_Castle[[#This Row],[Rang]]</f>
        <v>0</v>
      </c>
      <c r="AG112" s="482">
        <v>3</v>
      </c>
      <c r="AH112" s="754">
        <f>Paramètres!AF8</f>
        <v>0</v>
      </c>
      <c r="AI112" s="750">
        <v>0</v>
      </c>
      <c r="AJ112" s="175">
        <f>VALUE_Town_Home[[#This Row],[Valeur]]*VALUE_Town_Home[[#This Row],[Rang]]</f>
        <v>0</v>
      </c>
      <c r="AK112" s="749"/>
      <c r="AL112" s="749"/>
      <c r="AM112" s="749"/>
      <c r="AN112" s="749"/>
    </row>
    <row r="113" spans="1:40">
      <c r="A113" s="482">
        <v>34</v>
      </c>
      <c r="B113" s="754">
        <f>Paramètres!BE39</f>
        <v>0</v>
      </c>
      <c r="C113" s="750">
        <f t="shared" si="12"/>
        <v>615</v>
      </c>
      <c r="D113" s="169">
        <f>VALUE_Barbarian_King[[#This Row],[Valeur]]*VALUE_Barbarian_King[[#This Row],[Rang]]</f>
        <v>0</v>
      </c>
      <c r="E113" s="482">
        <v>34</v>
      </c>
      <c r="F113" s="754">
        <f>Paramètres!BG39</f>
        <v>0</v>
      </c>
      <c r="G113" s="750">
        <f t="shared" si="13"/>
        <v>989</v>
      </c>
      <c r="H113" s="175">
        <f>VALUE_Archer_Queen[[#This Row],[Valeur]]*VALUE_Archer_Queen[[#This Row],[Rang]]</f>
        <v>0</v>
      </c>
      <c r="I113" s="156"/>
      <c r="J113" s="189"/>
      <c r="K113" s="156"/>
      <c r="L113" s="156"/>
      <c r="M113" s="482">
        <v>2</v>
      </c>
      <c r="N113" s="754">
        <f>Paramètres!AL7</f>
        <v>0</v>
      </c>
      <c r="O113" s="750">
        <v>0</v>
      </c>
      <c r="P113" s="175">
        <f>VALUE_Spell_Poison[[#This Row],[Valeur]]*VALUE_Spell_Poison[[#This Row],[Rang]]</f>
        <v>0</v>
      </c>
      <c r="Q113" s="565">
        <v>2</v>
      </c>
      <c r="R113" s="754">
        <f>Paramètres!AM7</f>
        <v>0</v>
      </c>
      <c r="S113" s="750">
        <v>0</v>
      </c>
      <c r="T113" s="169">
        <f>VALUE_Spell_Earthquake[[#This Row],[Valeur]]*VALUE_Spell_Earthquake[[#This Row],[Rang]]</f>
        <v>0</v>
      </c>
      <c r="U113" s="482">
        <v>2</v>
      </c>
      <c r="V113" s="754">
        <f>Paramètres!AN7</f>
        <v>0</v>
      </c>
      <c r="W113" s="750">
        <v>0</v>
      </c>
      <c r="X113" s="169">
        <f>VALUE_Spell_Haste[[#This Row],[Valeur]]*VALUE_Spell_Haste[[#This Row],[Rang]]</f>
        <v>0</v>
      </c>
      <c r="Y113" s="156"/>
      <c r="Z113" s="156"/>
      <c r="AA113" s="156"/>
      <c r="AB113" s="156"/>
      <c r="AC113" s="482">
        <v>4</v>
      </c>
      <c r="AD113" s="754">
        <f>Paramètres!AE9</f>
        <v>0</v>
      </c>
      <c r="AE113" s="750">
        <v>0</v>
      </c>
      <c r="AF113" s="175">
        <f>VALUE_Clan_Castle[[#This Row],[Valeur]]*VALUE_Clan_Castle[[#This Row],[Rang]]</f>
        <v>0</v>
      </c>
      <c r="AG113" s="482">
        <v>4</v>
      </c>
      <c r="AH113" s="754">
        <f>Paramètres!AF9</f>
        <v>0</v>
      </c>
      <c r="AI113" s="750">
        <v>0</v>
      </c>
      <c r="AJ113" s="175">
        <f>VALUE_Town_Home[[#This Row],[Valeur]]*VALUE_Town_Home[[#This Row],[Rang]]</f>
        <v>0</v>
      </c>
      <c r="AK113" s="749"/>
      <c r="AL113" s="749"/>
      <c r="AM113" s="749"/>
      <c r="AN113" s="749"/>
    </row>
    <row r="114" spans="1:40">
      <c r="A114" s="482">
        <v>35</v>
      </c>
      <c r="B114" s="754">
        <f>Paramètres!BE40</f>
        <v>0</v>
      </c>
      <c r="C114" s="750">
        <f>22+C113</f>
        <v>637</v>
      </c>
      <c r="D114" s="169">
        <f>VALUE_Barbarian_King[[#This Row],[Valeur]]*VALUE_Barbarian_King[[#This Row],[Rang]]</f>
        <v>0</v>
      </c>
      <c r="E114" s="482">
        <v>35</v>
      </c>
      <c r="F114" s="754">
        <f>Paramètres!BG40</f>
        <v>0</v>
      </c>
      <c r="G114" s="750">
        <f>G113+33</f>
        <v>1022</v>
      </c>
      <c r="H114" s="175">
        <f>VALUE_Archer_Queen[[#This Row],[Valeur]]*VALUE_Archer_Queen[[#This Row],[Rang]]</f>
        <v>0</v>
      </c>
      <c r="I114" s="156"/>
      <c r="J114" s="189"/>
      <c r="K114" s="156"/>
      <c r="L114" s="156"/>
      <c r="M114" s="482">
        <v>3</v>
      </c>
      <c r="N114" s="754">
        <f>Paramètres!AL8</f>
        <v>0</v>
      </c>
      <c r="O114" s="750">
        <v>0</v>
      </c>
      <c r="P114" s="175">
        <f>VALUE_Spell_Poison[[#This Row],[Valeur]]*VALUE_Spell_Poison[[#This Row],[Rang]]</f>
        <v>0</v>
      </c>
      <c r="Q114" s="565">
        <v>3</v>
      </c>
      <c r="R114" s="754">
        <f>Paramètres!AM8</f>
        <v>0</v>
      </c>
      <c r="S114" s="750">
        <v>0</v>
      </c>
      <c r="T114" s="169">
        <f>VALUE_Spell_Earthquake[[#This Row],[Valeur]]*VALUE_Spell_Earthquake[[#This Row],[Rang]]</f>
        <v>0</v>
      </c>
      <c r="U114" s="482">
        <v>3</v>
      </c>
      <c r="V114" s="754">
        <f>Paramètres!AN8</f>
        <v>0</v>
      </c>
      <c r="W114" s="750">
        <v>0</v>
      </c>
      <c r="X114" s="169">
        <f>VALUE_Spell_Haste[[#This Row],[Valeur]]*VALUE_Spell_Haste[[#This Row],[Rang]]</f>
        <v>0</v>
      </c>
      <c r="Y114" s="156"/>
      <c r="Z114" s="156"/>
      <c r="AA114" s="156"/>
      <c r="AB114" s="156"/>
      <c r="AC114" s="482">
        <v>5</v>
      </c>
      <c r="AD114" s="754">
        <f>Paramètres!AE10</f>
        <v>0</v>
      </c>
      <c r="AE114" s="750">
        <v>0</v>
      </c>
      <c r="AF114" s="175">
        <f>VALUE_Clan_Castle[[#This Row],[Valeur]]*VALUE_Clan_Castle[[#This Row],[Rang]]</f>
        <v>0</v>
      </c>
      <c r="AG114" s="482">
        <v>5</v>
      </c>
      <c r="AH114" s="754">
        <f>Paramètres!AF10</f>
        <v>0</v>
      </c>
      <c r="AI114" s="750">
        <v>0</v>
      </c>
      <c r="AJ114" s="175">
        <f>VALUE_Town_Home[[#This Row],[Valeur]]*VALUE_Town_Home[[#This Row],[Rang]]</f>
        <v>0</v>
      </c>
      <c r="AK114" s="749"/>
      <c r="AL114" s="749"/>
      <c r="AM114" s="749"/>
      <c r="AN114" s="749"/>
    </row>
    <row r="115" spans="1:40" ht="15.75" thickBot="1">
      <c r="A115" s="482">
        <v>36</v>
      </c>
      <c r="B115" s="754">
        <f>Paramètres!BE41</f>
        <v>0</v>
      </c>
      <c r="C115" s="750">
        <f t="shared" ref="C115:C119" si="14">22+C114</f>
        <v>659</v>
      </c>
      <c r="D115" s="169">
        <f>VALUE_Barbarian_King[[#This Row],[Valeur]]*VALUE_Barbarian_King[[#This Row],[Rang]]</f>
        <v>0</v>
      </c>
      <c r="E115" s="482">
        <v>36</v>
      </c>
      <c r="F115" s="754">
        <f>Paramètres!BG41</f>
        <v>0</v>
      </c>
      <c r="G115" s="750">
        <f t="shared" ref="G115:G119" si="15">G114+33</f>
        <v>1055</v>
      </c>
      <c r="H115" s="175">
        <f>VALUE_Archer_Queen[[#This Row],[Valeur]]*VALUE_Archer_Queen[[#This Row],[Rang]]</f>
        <v>0</v>
      </c>
      <c r="I115" s="156"/>
      <c r="J115" s="189"/>
      <c r="K115" s="156"/>
      <c r="L115" s="156"/>
      <c r="M115" s="489">
        <v>4</v>
      </c>
      <c r="N115" s="755">
        <f>Paramètres!AL9</f>
        <v>0</v>
      </c>
      <c r="O115" s="752">
        <v>0</v>
      </c>
      <c r="P115" s="460">
        <f>VALUE_Spell_Poison[[#This Row],[Valeur]]*VALUE_Spell_Poison[[#This Row],[Rang]]</f>
        <v>0</v>
      </c>
      <c r="Q115" s="565">
        <v>4</v>
      </c>
      <c r="R115" s="754">
        <f>Paramètres!AM9</f>
        <v>0</v>
      </c>
      <c r="S115" s="750">
        <v>0</v>
      </c>
      <c r="T115" s="169">
        <f>VALUE_Spell_Earthquake[[#This Row],[Valeur]]*VALUE_Spell_Earthquake[[#This Row],[Rang]]</f>
        <v>0</v>
      </c>
      <c r="U115" s="482">
        <v>4</v>
      </c>
      <c r="V115" s="754">
        <f>Paramètres!AN9</f>
        <v>0</v>
      </c>
      <c r="W115" s="750">
        <v>0</v>
      </c>
      <c r="X115" s="175">
        <f>VALUE_Spell_Haste[[#This Row],[Valeur]]*VALUE_Spell_Haste[[#This Row],[Rang]]</f>
        <v>0</v>
      </c>
      <c r="Y115" s="156"/>
      <c r="Z115" s="156"/>
      <c r="AA115" s="156"/>
      <c r="AB115" s="156"/>
      <c r="AC115" s="489">
        <v>6</v>
      </c>
      <c r="AD115" s="755">
        <f>Paramètres!AE11</f>
        <v>0</v>
      </c>
      <c r="AE115" s="752">
        <v>0</v>
      </c>
      <c r="AF115" s="460">
        <f>VALUE_Clan_Castle[[#This Row],[Valeur]]*VALUE_Clan_Castle[[#This Row],[Rang]]</f>
        <v>0</v>
      </c>
      <c r="AG115" s="482">
        <v>6</v>
      </c>
      <c r="AH115" s="754">
        <f>Paramètres!AF11</f>
        <v>0</v>
      </c>
      <c r="AI115" s="750">
        <v>0</v>
      </c>
      <c r="AJ115" s="175">
        <f>VALUE_Town_Home[[#This Row],[Valeur]]*VALUE_Town_Home[[#This Row],[Rang]]</f>
        <v>0</v>
      </c>
      <c r="AK115" s="749"/>
      <c r="AL115" s="749"/>
      <c r="AM115" s="749"/>
      <c r="AN115" s="749"/>
    </row>
    <row r="116" spans="1:40">
      <c r="A116" s="482">
        <v>37</v>
      </c>
      <c r="B116" s="754">
        <f>Paramètres!BE42</f>
        <v>0</v>
      </c>
      <c r="C116" s="750">
        <f t="shared" si="14"/>
        <v>681</v>
      </c>
      <c r="D116" s="169">
        <f>VALUE_Barbarian_King[[#This Row],[Valeur]]*VALUE_Barbarian_King[[#This Row],[Rang]]</f>
        <v>0</v>
      </c>
      <c r="E116" s="482">
        <v>37</v>
      </c>
      <c r="F116" s="754">
        <f>Paramètres!BG42</f>
        <v>0</v>
      </c>
      <c r="G116" s="750">
        <f t="shared" si="15"/>
        <v>1088</v>
      </c>
      <c r="H116" s="175">
        <f>VALUE_Archer_Queen[[#This Row],[Valeur]]*VALUE_Archer_Queen[[#This Row],[Rang]]</f>
        <v>0</v>
      </c>
      <c r="I116" s="156"/>
      <c r="J116" s="749"/>
      <c r="K116" s="749"/>
      <c r="L116" s="749"/>
      <c r="M116" s="749"/>
      <c r="N116" s="749"/>
      <c r="O116" s="749"/>
      <c r="P116" s="749"/>
      <c r="Q116" s="749"/>
      <c r="R116" s="749"/>
      <c r="S116" s="749"/>
      <c r="T116" s="749"/>
      <c r="U116" s="749"/>
      <c r="V116" s="156"/>
      <c r="W116" s="156"/>
      <c r="X116" s="156"/>
      <c r="Y116" s="156"/>
      <c r="Z116" s="156"/>
      <c r="AA116" s="156"/>
      <c r="AB116" s="156"/>
      <c r="AC116" s="156"/>
      <c r="AD116" s="156"/>
      <c r="AE116" s="156"/>
      <c r="AF116" s="749"/>
      <c r="AG116" s="482">
        <v>7</v>
      </c>
      <c r="AH116" s="754">
        <f>Paramètres!AF12</f>
        <v>0</v>
      </c>
      <c r="AI116" s="750">
        <v>0</v>
      </c>
      <c r="AJ116" s="175">
        <f>VALUE_Town_Home[[#This Row],[Valeur]]*VALUE_Town_Home[[#This Row],[Rang]]</f>
        <v>0</v>
      </c>
      <c r="AK116" s="749"/>
      <c r="AL116" s="749"/>
      <c r="AM116" s="749"/>
      <c r="AN116" s="749"/>
    </row>
    <row r="117" spans="1:40">
      <c r="A117" s="482">
        <v>38</v>
      </c>
      <c r="B117" s="754">
        <f>Paramètres!BE43</f>
        <v>0</v>
      </c>
      <c r="C117" s="750">
        <f t="shared" si="14"/>
        <v>703</v>
      </c>
      <c r="D117" s="169">
        <f>VALUE_Barbarian_King[[#This Row],[Valeur]]*VALUE_Barbarian_King[[#This Row],[Rang]]</f>
        <v>0</v>
      </c>
      <c r="E117" s="482">
        <v>38</v>
      </c>
      <c r="F117" s="754">
        <f>Paramètres!BG43</f>
        <v>0</v>
      </c>
      <c r="G117" s="750">
        <f t="shared" si="15"/>
        <v>1121</v>
      </c>
      <c r="H117" s="175">
        <f>VALUE_Archer_Queen[[#This Row],[Valeur]]*VALUE_Archer_Queen[[#This Row],[Rang]]</f>
        <v>0</v>
      </c>
      <c r="I117" s="156"/>
      <c r="J117" s="749"/>
      <c r="K117" s="749"/>
      <c r="L117" s="749"/>
      <c r="M117" s="749"/>
      <c r="N117" s="749"/>
      <c r="O117" s="749"/>
      <c r="P117" s="749"/>
      <c r="Q117" s="749"/>
      <c r="R117" s="749"/>
      <c r="S117" s="749"/>
      <c r="T117" s="749"/>
      <c r="U117" s="749"/>
      <c r="V117" s="156"/>
      <c r="W117" s="156"/>
      <c r="X117" s="156"/>
      <c r="Y117" s="156"/>
      <c r="Z117" s="156"/>
      <c r="AA117" s="156"/>
      <c r="AB117" s="156"/>
      <c r="AC117" s="156"/>
      <c r="AD117" s="156"/>
      <c r="AE117" s="156"/>
      <c r="AF117" s="749"/>
      <c r="AG117" s="482">
        <v>8</v>
      </c>
      <c r="AH117" s="754">
        <f>Paramètres!AF13</f>
        <v>0</v>
      </c>
      <c r="AI117" s="750">
        <v>0</v>
      </c>
      <c r="AJ117" s="175">
        <f>VALUE_Town_Home[[#This Row],[Valeur]]*VALUE_Town_Home[[#This Row],[Rang]]</f>
        <v>0</v>
      </c>
      <c r="AK117" s="749"/>
      <c r="AL117" s="749"/>
      <c r="AM117" s="749"/>
      <c r="AN117" s="749"/>
    </row>
    <row r="118" spans="1:40">
      <c r="A118" s="482">
        <v>39</v>
      </c>
      <c r="B118" s="754">
        <f>Paramètres!BE44</f>
        <v>0</v>
      </c>
      <c r="C118" s="750">
        <f t="shared" si="14"/>
        <v>725</v>
      </c>
      <c r="D118" s="169">
        <f>VALUE_Barbarian_King[[#This Row],[Valeur]]*VALUE_Barbarian_King[[#This Row],[Rang]]</f>
        <v>0</v>
      </c>
      <c r="E118" s="482">
        <v>39</v>
      </c>
      <c r="F118" s="754">
        <f>Paramètres!BG44</f>
        <v>0</v>
      </c>
      <c r="G118" s="750">
        <f t="shared" si="15"/>
        <v>1154</v>
      </c>
      <c r="H118" s="175">
        <f>VALUE_Archer_Queen[[#This Row],[Valeur]]*VALUE_Archer_Queen[[#This Row],[Rang]]</f>
        <v>0</v>
      </c>
      <c r="I118" s="156"/>
      <c r="J118" s="749"/>
      <c r="K118" s="749"/>
      <c r="L118" s="749"/>
      <c r="M118" s="749"/>
      <c r="N118" s="749"/>
      <c r="O118" s="749"/>
      <c r="P118" s="749"/>
      <c r="Q118" s="749"/>
      <c r="R118" s="749"/>
      <c r="S118" s="749"/>
      <c r="T118" s="749"/>
      <c r="U118" s="749"/>
      <c r="V118" s="156"/>
      <c r="W118" s="156"/>
      <c r="X118" s="156"/>
      <c r="Y118" s="156"/>
      <c r="Z118" s="156"/>
      <c r="AA118" s="156"/>
      <c r="AB118" s="156"/>
      <c r="AC118" s="156"/>
      <c r="AD118" s="156"/>
      <c r="AE118" s="156"/>
      <c r="AF118" s="749"/>
      <c r="AG118" s="482">
        <v>9</v>
      </c>
      <c r="AH118" s="754">
        <f>Paramètres!AF14</f>
        <v>0</v>
      </c>
      <c r="AI118" s="750">
        <v>0</v>
      </c>
      <c r="AJ118" s="175">
        <f>VALUE_Town_Home[[#This Row],[Valeur]]*VALUE_Town_Home[[#This Row],[Rang]]</f>
        <v>0</v>
      </c>
      <c r="AK118" s="749"/>
      <c r="AL118" s="749"/>
      <c r="AM118" s="749"/>
      <c r="AN118" s="749"/>
    </row>
    <row r="119" spans="1:40" ht="15.75" thickBot="1">
      <c r="A119" s="489">
        <v>40</v>
      </c>
      <c r="B119" s="755">
        <f>Paramètres!BE45</f>
        <v>0</v>
      </c>
      <c r="C119" s="752">
        <f t="shared" si="14"/>
        <v>747</v>
      </c>
      <c r="D119" s="634">
        <f>VALUE_Barbarian_King[[#This Row],[Valeur]]*VALUE_Barbarian_King[[#This Row],[Rang]]</f>
        <v>0</v>
      </c>
      <c r="E119" s="489">
        <v>40</v>
      </c>
      <c r="F119" s="755">
        <f>Paramètres!BG45</f>
        <v>0</v>
      </c>
      <c r="G119" s="752">
        <f t="shared" si="15"/>
        <v>1187</v>
      </c>
      <c r="H119" s="460">
        <f>VALUE_Archer_Queen[[#This Row],[Valeur]]*VALUE_Archer_Queen[[#This Row],[Rang]]</f>
        <v>0</v>
      </c>
      <c r="I119" s="156"/>
      <c r="J119" s="749"/>
      <c r="K119" s="749"/>
      <c r="L119" s="749"/>
      <c r="M119" s="749"/>
      <c r="N119" s="749"/>
      <c r="O119" s="749"/>
      <c r="P119" s="749"/>
      <c r="Q119" s="749"/>
      <c r="R119" s="749"/>
      <c r="S119" s="749"/>
      <c r="T119" s="749"/>
      <c r="U119" s="749"/>
      <c r="V119" s="156"/>
      <c r="W119" s="156"/>
      <c r="X119" s="156"/>
      <c r="Y119" s="156"/>
      <c r="Z119" s="156"/>
      <c r="AA119" s="156"/>
      <c r="AB119" s="156"/>
      <c r="AC119" s="156"/>
      <c r="AD119" s="156"/>
      <c r="AE119" s="156"/>
      <c r="AF119" s="749"/>
      <c r="AG119" s="489">
        <v>10</v>
      </c>
      <c r="AH119" s="755">
        <f>Paramètres!AF15</f>
        <v>0</v>
      </c>
      <c r="AI119" s="752">
        <v>0</v>
      </c>
      <c r="AJ119" s="460">
        <f>VALUE_Town_Home[[#This Row],[Valeur]]*VALUE_Town_Home[[#This Row],[Rang]]</f>
        <v>0</v>
      </c>
      <c r="AK119" s="749"/>
      <c r="AL119" s="749"/>
      <c r="AM119" s="749"/>
      <c r="AN119" s="749"/>
    </row>
  </sheetData>
  <sheetProtection selectLockedCells="1"/>
  <mergeCells count="78">
    <mergeCell ref="D8:H8"/>
    <mergeCell ref="D9:H9"/>
    <mergeCell ref="D10:H10"/>
    <mergeCell ref="D11:H11"/>
    <mergeCell ref="D2:H2"/>
    <mergeCell ref="D4:H4"/>
    <mergeCell ref="D3:H3"/>
    <mergeCell ref="K4:L4"/>
    <mergeCell ref="K5:L5"/>
    <mergeCell ref="D5:H5"/>
    <mergeCell ref="D6:H6"/>
    <mergeCell ref="D7:H7"/>
    <mergeCell ref="A38:D38"/>
    <mergeCell ref="E38:H38"/>
    <mergeCell ref="I38:L38"/>
    <mergeCell ref="A13:T13"/>
    <mergeCell ref="A14:D14"/>
    <mergeCell ref="E14:H14"/>
    <mergeCell ref="I14:L14"/>
    <mergeCell ref="M14:P14"/>
    <mergeCell ref="Q14:T14"/>
    <mergeCell ref="AG26:AJ26"/>
    <mergeCell ref="AK26:AN26"/>
    <mergeCell ref="A37:X37"/>
    <mergeCell ref="A25:AN25"/>
    <mergeCell ref="A26:D26"/>
    <mergeCell ref="E26:H26"/>
    <mergeCell ref="I26:L26"/>
    <mergeCell ref="M26:P26"/>
    <mergeCell ref="Q26:T26"/>
    <mergeCell ref="U26:X26"/>
    <mergeCell ref="Y26:AB26"/>
    <mergeCell ref="AC26:AF26"/>
    <mergeCell ref="U67:X67"/>
    <mergeCell ref="M38:P38"/>
    <mergeCell ref="Q38:T38"/>
    <mergeCell ref="AG78:AJ78"/>
    <mergeCell ref="Y78:AB78"/>
    <mergeCell ref="A66:X66"/>
    <mergeCell ref="A48:AN48"/>
    <mergeCell ref="A49:D49"/>
    <mergeCell ref="E49:H49"/>
    <mergeCell ref="AG49:AJ49"/>
    <mergeCell ref="AK49:AN49"/>
    <mergeCell ref="I49:L49"/>
    <mergeCell ref="M49:P49"/>
    <mergeCell ref="Q49:T49"/>
    <mergeCell ref="U49:X49"/>
    <mergeCell ref="U38:X38"/>
    <mergeCell ref="A67:D67"/>
    <mergeCell ref="E67:H67"/>
    <mergeCell ref="I67:L67"/>
    <mergeCell ref="M67:P67"/>
    <mergeCell ref="M78:P78"/>
    <mergeCell ref="A77:H77"/>
    <mergeCell ref="E78:H78"/>
    <mergeCell ref="A78:D78"/>
    <mergeCell ref="Y49:AB49"/>
    <mergeCell ref="AC49:AF49"/>
    <mergeCell ref="Y95:AB95"/>
    <mergeCell ref="AC95:AF95"/>
    <mergeCell ref="AC108:AF108"/>
    <mergeCell ref="AC107:AJ107"/>
    <mergeCell ref="M77:AJ77"/>
    <mergeCell ref="AC78:AF78"/>
    <mergeCell ref="AG95:AJ95"/>
    <mergeCell ref="M94:AJ94"/>
    <mergeCell ref="M95:P95"/>
    <mergeCell ref="Q95:T95"/>
    <mergeCell ref="U95:X95"/>
    <mergeCell ref="Q78:T78"/>
    <mergeCell ref="U78:X78"/>
    <mergeCell ref="Q67:T67"/>
    <mergeCell ref="M110:P110"/>
    <mergeCell ref="Q110:T110"/>
    <mergeCell ref="U110:X110"/>
    <mergeCell ref="M109:X109"/>
    <mergeCell ref="AG108:AJ108"/>
  </mergeCells>
  <pageMargins left="0.7" right="0.7" top="0.75" bottom="0.75" header="0.3" footer="0.3"/>
  <tableParts count="56">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20</vt:i4>
      </vt:variant>
      <vt:variant>
        <vt:lpstr>Plages nommées</vt:lpstr>
      </vt:variant>
      <vt:variant>
        <vt:i4>9</vt:i4>
      </vt:variant>
    </vt:vector>
  </HeadingPairs>
  <TitlesOfParts>
    <vt:vector size="29" baseType="lpstr">
      <vt:lpstr>Planning</vt:lpstr>
      <vt:lpstr>À Faire - Récapitulatif</vt:lpstr>
      <vt:lpstr>À Faire - Détails</vt:lpstr>
      <vt:lpstr>Rentabilité</vt:lpstr>
      <vt:lpstr>Combats - Loots</vt:lpstr>
      <vt:lpstr>Formation de Troupes</vt:lpstr>
      <vt:lpstr>Paramètres</vt:lpstr>
      <vt:lpstr>Bâtiments</vt:lpstr>
      <vt:lpstr>Améliorations - Sorts &amp; Troupes</vt:lpstr>
      <vt:lpstr>Héros</vt:lpstr>
      <vt:lpstr>Coûts des Améliorations</vt:lpstr>
      <vt:lpstr>Gains et Stockage</vt:lpstr>
      <vt:lpstr>Trophées</vt:lpstr>
      <vt:lpstr>Coûts de Formation</vt:lpstr>
      <vt:lpstr>Calendrier</vt:lpstr>
      <vt:lpstr>Traduction</vt:lpstr>
      <vt:lpstr>Paramètres - Admin</vt:lpstr>
      <vt:lpstr>Production</vt:lpstr>
      <vt:lpstr>Journal des Modifications</vt:lpstr>
      <vt:lpstr>Valeur du Village</vt:lpstr>
      <vt:lpstr>Attack_Defense</vt:lpstr>
      <vt:lpstr>Calendar</vt:lpstr>
      <vt:lpstr>Langue</vt:lpstr>
      <vt:lpstr>Pas</vt:lpstr>
      <vt:lpstr>Period</vt:lpstr>
      <vt:lpstr>period_selected</vt:lpstr>
      <vt:lpstr>TimeDisplay</vt:lpstr>
      <vt:lpstr>TimeDisplay2</vt:lpstr>
      <vt:lpstr>'À Faire - Récapitulatif'!Zone_d_impression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Fernandes</dc:creator>
  <cp:lastModifiedBy>Enigma</cp:lastModifiedBy>
  <cp:lastPrinted>2013-10-09T11:09:46Z</cp:lastPrinted>
  <dcterms:created xsi:type="dcterms:W3CDTF">2012-02-21T09:02:25Z</dcterms:created>
  <dcterms:modified xsi:type="dcterms:W3CDTF">2015-12-12T17:20:43Z</dcterms:modified>
</cp:coreProperties>
</file>