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0730" windowHeight="9690" firstSheet="1" activeTab="5"/>
  </bookViews>
  <sheets>
    <sheet name="EffectifReel_2015-2016" sheetId="66" r:id="rId1"/>
    <sheet name="Grille_Prepositionnement " sheetId="77" r:id="rId2"/>
    <sheet name="Grille_Prepositionnement  (2)" sheetId="78" r:id="rId3"/>
    <sheet name="Grille_Prepositionnement  (3)" sheetId="88" r:id="rId4"/>
    <sheet name="PlanningEnlevement" sheetId="85" r:id="rId5"/>
    <sheet name="PlanningEnlevement (2)" sheetId="86" r:id="rId6"/>
    <sheet name="PlanningEnlevement (3)" sheetId="87" r:id="rId7"/>
    <sheet name="Mikili" sheetId="79" r:id="rId8"/>
    <sheet name="GrainArgent" sheetId="82" r:id="rId9"/>
    <sheet name="Mikili_Final" sheetId="83" r:id="rId10"/>
    <sheet name="GrainArgent_Final" sheetId="84" r:id="rId11"/>
    <sheet name="Enlevements_ONUCI_WH" sheetId="53" r:id="rId12"/>
    <sheet name="Enlevements_PORT" sheetId="68" r:id="rId13"/>
    <sheet name="BilanDesEnlevements_ParMagasin" sheetId="67" r:id="rId14"/>
    <sheet name="BilanDesEnlevements_DATTE" sheetId="76" r:id="rId15"/>
    <sheet name="BilanDesEnlevements_Global" sheetId="63" r:id="rId16"/>
    <sheet name="BilanDesEnlevements_Global (2)" sheetId="75" r:id="rId17"/>
    <sheet name="BilanDesEnlevements_Grain" sheetId="69" r:id="rId18"/>
    <sheet name="BilanDesEnlevements_Mikili" sheetId="71" r:id="rId19"/>
    <sheet name="Enlevements" sheetId="72" r:id="rId20"/>
    <sheet name="Enlevements (2)" sheetId="73" r:id="rId21"/>
    <sheet name="1er_TableauEnlevement1" sheetId="52" state="hidden" r:id="rId22"/>
    <sheet name="2eme_TableauEnlevement1" sheetId="56" state="hidden" r:id="rId23"/>
    <sheet name="ListeDonnees" sheetId="54" state="hidden" r:id="rId24"/>
    <sheet name="1ère_Dotation" sheetId="90" r:id="rId25"/>
    <sheet name="Fermeture_2014-215_McYop" sheetId="89" r:id="rId26"/>
    <sheet name="DotationParDrenet" sheetId="91" r:id="rId27"/>
    <sheet name="Feuil3" sheetId="92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19" hidden="1">Enlevements!$A$9:$I$14</definedName>
    <definedName name="_xlnm._FilterDatabase" localSheetId="20" hidden="1">'Enlevements (2)'!$A$9:$I$21</definedName>
    <definedName name="_xlnm._FilterDatabase" localSheetId="11" hidden="1">Enlevements_ONUCI_WH!$A$7:$K$44</definedName>
    <definedName name="_xlnm._FilterDatabase" localSheetId="12" hidden="1">Enlevements_PORT!$A$7:$K$44</definedName>
    <definedName name="cereale" localSheetId="24">#REF!</definedName>
    <definedName name="cereale" localSheetId="14">#REF!</definedName>
    <definedName name="cereale" localSheetId="16">#REF!</definedName>
    <definedName name="cereale" localSheetId="17">#REF!</definedName>
    <definedName name="cereale" localSheetId="18">#REF!</definedName>
    <definedName name="cereale" localSheetId="13">#REF!</definedName>
    <definedName name="cereale" localSheetId="0">#REF!</definedName>
    <definedName name="cereale" localSheetId="19">#REF!</definedName>
    <definedName name="cereale" localSheetId="20">#REF!</definedName>
    <definedName name="cereale" localSheetId="12">#REF!</definedName>
    <definedName name="cereale" localSheetId="8">#REF!</definedName>
    <definedName name="cereale" localSheetId="10">#REF!</definedName>
    <definedName name="cereale" localSheetId="1">#REF!</definedName>
    <definedName name="cereale" localSheetId="2">#REF!</definedName>
    <definedName name="cereale" localSheetId="3">#REF!</definedName>
    <definedName name="cereale" localSheetId="7">#REF!</definedName>
    <definedName name="cereale" localSheetId="9">#REF!</definedName>
    <definedName name="cereale" localSheetId="4">#REF!</definedName>
    <definedName name="cereale" localSheetId="5">#REF!</definedName>
    <definedName name="cereale" localSheetId="6">#REF!</definedName>
    <definedName name="cereale">#REF!</definedName>
    <definedName name="dd" localSheetId="21">#REF!</definedName>
    <definedName name="dd" localSheetId="24">#REF!</definedName>
    <definedName name="dd" localSheetId="22">#REF!</definedName>
    <definedName name="dd" localSheetId="14">#REF!</definedName>
    <definedName name="dd" localSheetId="16">#REF!</definedName>
    <definedName name="dd" localSheetId="17">#REF!</definedName>
    <definedName name="dd" localSheetId="18">#REF!</definedName>
    <definedName name="dd" localSheetId="13">#REF!</definedName>
    <definedName name="dd" localSheetId="0">#REF!</definedName>
    <definedName name="dd" localSheetId="19">#REF!</definedName>
    <definedName name="dd" localSheetId="20">#REF!</definedName>
    <definedName name="dd" localSheetId="11">#REF!</definedName>
    <definedName name="dd" localSheetId="12">#REF!</definedName>
    <definedName name="dd" localSheetId="8">#REF!</definedName>
    <definedName name="dd" localSheetId="10">#REF!</definedName>
    <definedName name="dd" localSheetId="1">#REF!</definedName>
    <definedName name="dd" localSheetId="2">#REF!</definedName>
    <definedName name="dd" localSheetId="3">#REF!</definedName>
    <definedName name="dd" localSheetId="7">#REF!</definedName>
    <definedName name="dd" localSheetId="9">#REF!</definedName>
    <definedName name="dd" localSheetId="4">#REF!</definedName>
    <definedName name="dd" localSheetId="5">#REF!</definedName>
    <definedName name="dd" localSheetId="6">#REF!</definedName>
    <definedName name="dd">#REF!</definedName>
    <definedName name="hu" localSheetId="21">#REF!</definedName>
    <definedName name="hu" localSheetId="24">#REF!</definedName>
    <definedName name="hu" localSheetId="22">#REF!</definedName>
    <definedName name="hu" localSheetId="14">#REF!</definedName>
    <definedName name="hu" localSheetId="16">#REF!</definedName>
    <definedName name="hu" localSheetId="17">#REF!</definedName>
    <definedName name="hu" localSheetId="18">#REF!</definedName>
    <definedName name="hu" localSheetId="13">#REF!</definedName>
    <definedName name="hu" localSheetId="0">#REF!</definedName>
    <definedName name="hu" localSheetId="19">#REF!</definedName>
    <definedName name="hu" localSheetId="20">#REF!</definedName>
    <definedName name="hu" localSheetId="11">#REF!</definedName>
    <definedName name="hu" localSheetId="12">#REF!</definedName>
    <definedName name="hu" localSheetId="8">#REF!</definedName>
    <definedName name="hu" localSheetId="10">#REF!</definedName>
    <definedName name="hu" localSheetId="1">#REF!</definedName>
    <definedName name="hu" localSheetId="2">#REF!</definedName>
    <definedName name="hu" localSheetId="3">#REF!</definedName>
    <definedName name="hu" localSheetId="7">#REF!</definedName>
    <definedName name="hu" localSheetId="9">#REF!</definedName>
    <definedName name="hu" localSheetId="4">#REF!</definedName>
    <definedName name="hu" localSheetId="5">#REF!</definedName>
    <definedName name="hu" localSheetId="6">#REF!</definedName>
    <definedName name="hu">#REF!</definedName>
    <definedName name="Huile" localSheetId="24">'[1]2ème Dist Gvt 2013-2014'!$K$9</definedName>
    <definedName name="Huile">'[2]2ème Dist Gvt 2013-2014'!$K$9</definedName>
    <definedName name="jour" localSheetId="24">'[1]2ème Dist Gvt 2013-2014'!$E$9</definedName>
    <definedName name="jour">'[2]2ème Dist Gvt 2013-2014'!$E$9</definedName>
    <definedName name="jrs" localSheetId="21">#REF!</definedName>
    <definedName name="jrs" localSheetId="24">'1ère_Dotation'!$D$12</definedName>
    <definedName name="jrs" localSheetId="22">#REF!</definedName>
    <definedName name="jrs" localSheetId="14">BilanDesEnlevements_DATTE!#REF!</definedName>
    <definedName name="jrs" localSheetId="16">#REF!</definedName>
    <definedName name="jrs" localSheetId="17">#REF!</definedName>
    <definedName name="jrs" localSheetId="18">#REF!</definedName>
    <definedName name="jrs" localSheetId="13">BilanDesEnlevements_ParMagasin!#REF!</definedName>
    <definedName name="jrs" localSheetId="0">'EffectifReel_2015-2016'!#REF!</definedName>
    <definedName name="jrs" localSheetId="19">#REF!</definedName>
    <definedName name="jrs" localSheetId="20">#REF!</definedName>
    <definedName name="jrs" localSheetId="11">#REF!</definedName>
    <definedName name="jrs" localSheetId="12">#REF!</definedName>
    <definedName name="jrs" localSheetId="8">GrainArgent!#REF!</definedName>
    <definedName name="jrs" localSheetId="10">GrainArgent_Final!#REF!</definedName>
    <definedName name="jrs" localSheetId="1">'Grille_Prepositionnement '!$D$11</definedName>
    <definedName name="jrs" localSheetId="2">'Grille_Prepositionnement  (2)'!#REF!</definedName>
    <definedName name="jrs" localSheetId="3">'Grille_Prepositionnement  (3)'!#REF!</definedName>
    <definedName name="jrs" localSheetId="7">Mikili!#REF!</definedName>
    <definedName name="jrs" localSheetId="9">Mikili_Final!#REF!</definedName>
    <definedName name="jrs" localSheetId="4">PlanningEnlevement!#REF!</definedName>
    <definedName name="jrs" localSheetId="5">'PlanningEnlevement (2)'!#REF!</definedName>
    <definedName name="jrs" localSheetId="6">'PlanningEnlevement (3)'!#REF!</definedName>
    <definedName name="jrs">#REF!</definedName>
    <definedName name="jrss" localSheetId="16">#REF!</definedName>
    <definedName name="jrss" localSheetId="19">#REF!</definedName>
    <definedName name="jrss" localSheetId="20">#REF!</definedName>
    <definedName name="lipide" localSheetId="24">#REF!</definedName>
    <definedName name="lipide" localSheetId="14">#REF!</definedName>
    <definedName name="lipide" localSheetId="16">#REF!</definedName>
    <definedName name="lipide" localSheetId="17">#REF!</definedName>
    <definedName name="lipide" localSheetId="18">#REF!</definedName>
    <definedName name="lipide" localSheetId="13">#REF!</definedName>
    <definedName name="lipide" localSheetId="0">#REF!</definedName>
    <definedName name="lipide" localSheetId="19">#REF!</definedName>
    <definedName name="lipide" localSheetId="20">#REF!</definedName>
    <definedName name="lipide" localSheetId="12">#REF!</definedName>
    <definedName name="lipide" localSheetId="8">#REF!</definedName>
    <definedName name="lipide" localSheetId="10">#REF!</definedName>
    <definedName name="lipide" localSheetId="1">#REF!</definedName>
    <definedName name="lipide" localSheetId="2">#REF!</definedName>
    <definedName name="lipide" localSheetId="3">#REF!</definedName>
    <definedName name="lipide" localSheetId="7">#REF!</definedName>
    <definedName name="lipide" localSheetId="9">#REF!</definedName>
    <definedName name="lipide" localSheetId="4">#REF!</definedName>
    <definedName name="lipide" localSheetId="5">#REF!</definedName>
    <definedName name="lipide" localSheetId="6">#REF!</definedName>
    <definedName name="lipide">#REF!</definedName>
    <definedName name="ListeDenree">ListeDonnees!$B$3:$B$8</definedName>
    <definedName name="ListeDenrees">ListeDonnees!$B$3:$B$9</definedName>
    <definedName name="ListeMagasins" localSheetId="23">ListeDonnees!$A$3:$A$15</definedName>
    <definedName name="MagasinPam">ListeDonnees!$A$3:$A$13</definedName>
    <definedName name="Nb" localSheetId="21">#REF!</definedName>
    <definedName name="Nb" localSheetId="24">#REF!</definedName>
    <definedName name="Nb" localSheetId="22">#REF!</definedName>
    <definedName name="Nb" localSheetId="14">#REF!</definedName>
    <definedName name="Nb" localSheetId="16">#REF!</definedName>
    <definedName name="Nb" localSheetId="17">#REF!</definedName>
    <definedName name="Nb" localSheetId="18">#REF!</definedName>
    <definedName name="Nb" localSheetId="13">#REF!</definedName>
    <definedName name="Nb" localSheetId="0">#REF!</definedName>
    <definedName name="Nb" localSheetId="19">#REF!</definedName>
    <definedName name="Nb" localSheetId="20">#REF!</definedName>
    <definedName name="Nb" localSheetId="11">#REF!</definedName>
    <definedName name="Nb" localSheetId="12">#REF!</definedName>
    <definedName name="Nb" localSheetId="8">#REF!</definedName>
    <definedName name="Nb" localSheetId="10">#REF!</definedName>
    <definedName name="Nb" localSheetId="1">#REF!</definedName>
    <definedName name="Nb" localSheetId="2">#REF!</definedName>
    <definedName name="Nb" localSheetId="3">#REF!</definedName>
    <definedName name="Nb" localSheetId="7">#REF!</definedName>
    <definedName name="Nb" localSheetId="9">#REF!</definedName>
    <definedName name="Nb" localSheetId="4">#REF!</definedName>
    <definedName name="Nb" localSheetId="5">#REF!</definedName>
    <definedName name="Nb" localSheetId="6">#REF!</definedName>
    <definedName name="Nb">#REF!</definedName>
    <definedName name="Nbjrs" localSheetId="21">#REF!</definedName>
    <definedName name="Nbjrs" localSheetId="24">#REF!</definedName>
    <definedName name="Nbjrs" localSheetId="22">#REF!</definedName>
    <definedName name="Nbjrs" localSheetId="14">#REF!</definedName>
    <definedName name="Nbjrs" localSheetId="16">#REF!</definedName>
    <definedName name="Nbjrs" localSheetId="17">#REF!</definedName>
    <definedName name="Nbjrs" localSheetId="18">#REF!</definedName>
    <definedName name="Nbjrs" localSheetId="13">#REF!</definedName>
    <definedName name="Nbjrs" localSheetId="0">#REF!</definedName>
    <definedName name="Nbjrs" localSheetId="19">#REF!</definedName>
    <definedName name="Nbjrs" localSheetId="20">#REF!</definedName>
    <definedName name="Nbjrs" localSheetId="11">#REF!</definedName>
    <definedName name="Nbjrs" localSheetId="12">#REF!</definedName>
    <definedName name="Nbjrs" localSheetId="8">#REF!</definedName>
    <definedName name="Nbjrs" localSheetId="10">#REF!</definedName>
    <definedName name="Nbjrs" localSheetId="1">#REF!</definedName>
    <definedName name="Nbjrs" localSheetId="2">#REF!</definedName>
    <definedName name="Nbjrs" localSheetId="3">#REF!</definedName>
    <definedName name="Nbjrs" localSheetId="7">#REF!</definedName>
    <definedName name="Nbjrs" localSheetId="9">#REF!</definedName>
    <definedName name="Nbjrs" localSheetId="4">#REF!</definedName>
    <definedName name="Nbjrs" localSheetId="5">#REF!</definedName>
    <definedName name="Nbjrs" localSheetId="6">#REF!</definedName>
    <definedName name="Nbjrs">#REF!</definedName>
    <definedName name="NbreJrs" localSheetId="21">#REF!</definedName>
    <definedName name="NbreJrs" localSheetId="24">#REF!</definedName>
    <definedName name="NbreJrs" localSheetId="22">#REF!</definedName>
    <definedName name="NbreJrs" localSheetId="14">#REF!</definedName>
    <definedName name="NbreJrs" localSheetId="16">#REF!</definedName>
    <definedName name="NbreJrs" localSheetId="17">#REF!</definedName>
    <definedName name="NbreJrs" localSheetId="18">#REF!</definedName>
    <definedName name="NbreJrs" localSheetId="13">#REF!</definedName>
    <definedName name="NbreJrs" localSheetId="0">#REF!</definedName>
    <definedName name="NbreJrs" localSheetId="19">#REF!</definedName>
    <definedName name="NbreJrs" localSheetId="20">#REF!</definedName>
    <definedName name="NbreJrs" localSheetId="11">#REF!</definedName>
    <definedName name="NbreJrs" localSheetId="12">#REF!</definedName>
    <definedName name="NbreJrs" localSheetId="8">#REF!</definedName>
    <definedName name="NbreJrs" localSheetId="10">#REF!</definedName>
    <definedName name="NbreJrs" localSheetId="1">#REF!</definedName>
    <definedName name="NbreJrs" localSheetId="2">#REF!</definedName>
    <definedName name="NbreJrs" localSheetId="3">#REF!</definedName>
    <definedName name="NbreJrs" localSheetId="7">#REF!</definedName>
    <definedName name="NbreJrs" localSheetId="9">#REF!</definedName>
    <definedName name="NbreJrs" localSheetId="4">#REF!</definedName>
    <definedName name="NbreJrs" localSheetId="5">#REF!</definedName>
    <definedName name="NbreJrs" localSheetId="6">#REF!</definedName>
    <definedName name="NbreJrs">#REF!</definedName>
    <definedName name="Nbrs" localSheetId="24">'[3]Dotation Pam Dren'!$D$11</definedName>
    <definedName name="Nbrs">'[4]Dotation Pam Dren'!$D$11</definedName>
    <definedName name="Njrs" localSheetId="24">#REF!</definedName>
    <definedName name="Njrs" localSheetId="14">#REF!</definedName>
    <definedName name="Njrs" localSheetId="16">#REF!</definedName>
    <definedName name="Njrs" localSheetId="17">#REF!</definedName>
    <definedName name="Njrs" localSheetId="18">#REF!</definedName>
    <definedName name="Njrs" localSheetId="13">#REF!</definedName>
    <definedName name="Njrs" localSheetId="0">#REF!</definedName>
    <definedName name="Njrs" localSheetId="19">#REF!</definedName>
    <definedName name="Njrs" localSheetId="20">#REF!</definedName>
    <definedName name="Njrs" localSheetId="11">#REF!</definedName>
    <definedName name="Njrs" localSheetId="12">#REF!</definedName>
    <definedName name="Njrs" localSheetId="8">#REF!</definedName>
    <definedName name="Njrs" localSheetId="10">#REF!</definedName>
    <definedName name="Njrs" localSheetId="1">#REF!</definedName>
    <definedName name="Njrs" localSheetId="2">#REF!</definedName>
    <definedName name="Njrs" localSheetId="3">#REF!</definedName>
    <definedName name="Njrs" localSheetId="7">#REF!</definedName>
    <definedName name="Njrs" localSheetId="9">#REF!</definedName>
    <definedName name="Njrs" localSheetId="4">#REF!</definedName>
    <definedName name="Njrs" localSheetId="5">#REF!</definedName>
    <definedName name="Njrs" localSheetId="6">#REF!</definedName>
    <definedName name="Njrs">#REF!</definedName>
    <definedName name="Pam" localSheetId="21">#REF!</definedName>
    <definedName name="Pam" localSheetId="24">#REF!</definedName>
    <definedName name="Pam" localSheetId="22">#REF!</definedName>
    <definedName name="Pam" localSheetId="14">#REF!</definedName>
    <definedName name="Pam" localSheetId="16">#REF!</definedName>
    <definedName name="Pam" localSheetId="17">#REF!</definedName>
    <definedName name="Pam" localSheetId="18">#REF!</definedName>
    <definedName name="Pam" localSheetId="13">#REF!</definedName>
    <definedName name="Pam" localSheetId="0">#REF!</definedName>
    <definedName name="Pam" localSheetId="19">#REF!</definedName>
    <definedName name="Pam" localSheetId="20">#REF!</definedName>
    <definedName name="Pam" localSheetId="11">#REF!</definedName>
    <definedName name="Pam" localSheetId="12">#REF!</definedName>
    <definedName name="Pam" localSheetId="8">#REF!</definedName>
    <definedName name="Pam" localSheetId="10">#REF!</definedName>
    <definedName name="Pam" localSheetId="1">#REF!</definedName>
    <definedName name="Pam" localSheetId="2">#REF!</definedName>
    <definedName name="Pam" localSheetId="3">#REF!</definedName>
    <definedName name="Pam" localSheetId="7">#REF!</definedName>
    <definedName name="Pam" localSheetId="9">#REF!</definedName>
    <definedName name="Pam" localSheetId="4">#REF!</definedName>
    <definedName name="Pam" localSheetId="5">#REF!</definedName>
    <definedName name="Pam" localSheetId="6">#REF!</definedName>
    <definedName name="Pam">#REF!</definedName>
    <definedName name="Pate_alimentaire" localSheetId="0">'[5]1ème Dotation PAM (3)'!$I$11</definedName>
    <definedName name="Pate_alimentaire" localSheetId="8">'[5]1ème Dotation PAM (3)'!$I$11</definedName>
    <definedName name="Pate_alimentaire" localSheetId="10">'[5]1ème Dotation PAM (3)'!$I$11</definedName>
    <definedName name="Pate_alimentaire" localSheetId="1">'[5]1ème Dotation PAM (3)'!$I$11</definedName>
    <definedName name="Pate_alimentaire" localSheetId="2">'[5]1ème Dotation PAM (3)'!$I$11</definedName>
    <definedName name="Pate_alimentaire" localSheetId="3">'[5]1ème Dotation PAM (3)'!$I$11</definedName>
    <definedName name="Pate_alimentaire" localSheetId="7">'[5]1ème Dotation PAM (3)'!$I$11</definedName>
    <definedName name="Pate_alimentaire" localSheetId="9">'[5]1ème Dotation PAM (3)'!$I$11</definedName>
    <definedName name="Pate_alimentaire" localSheetId="4">'[5]1ème Dotation PAM (3)'!$I$11</definedName>
    <definedName name="Pate_alimentaire" localSheetId="5">'[5]1ème Dotation PAM (3)'!$I$11</definedName>
    <definedName name="Pate_alimentaire" localSheetId="6">'[5]1ème Dotation PAM (3)'!$I$11</definedName>
    <definedName name="Pate_alimentaire">'[6]1ème Dotation PAM (3)'!$I$11</definedName>
    <definedName name="po" localSheetId="21">#REF!</definedName>
    <definedName name="po" localSheetId="24">#REF!</definedName>
    <definedName name="po" localSheetId="22">#REF!</definedName>
    <definedName name="po" localSheetId="14">#REF!</definedName>
    <definedName name="po" localSheetId="16">#REF!</definedName>
    <definedName name="po" localSheetId="17">#REF!</definedName>
    <definedName name="po" localSheetId="18">#REF!</definedName>
    <definedName name="po" localSheetId="13">#REF!</definedName>
    <definedName name="po" localSheetId="0">#REF!</definedName>
    <definedName name="po" localSheetId="19">#REF!</definedName>
    <definedName name="po" localSheetId="20">#REF!</definedName>
    <definedName name="po" localSheetId="11">#REF!</definedName>
    <definedName name="po" localSheetId="12">#REF!</definedName>
    <definedName name="po" localSheetId="8">#REF!</definedName>
    <definedName name="po" localSheetId="10">#REF!</definedName>
    <definedName name="po" localSheetId="1">#REF!</definedName>
    <definedName name="po" localSheetId="2">#REF!</definedName>
    <definedName name="po" localSheetId="3">#REF!</definedName>
    <definedName name="po" localSheetId="7">#REF!</definedName>
    <definedName name="po" localSheetId="9">#REF!</definedName>
    <definedName name="po" localSheetId="4">#REF!</definedName>
    <definedName name="po" localSheetId="5">#REF!</definedName>
    <definedName name="po" localSheetId="6">#REF!</definedName>
    <definedName name="po">#REF!</definedName>
    <definedName name="Poisson" localSheetId="24">'[1]2ème Dist Gvt 2013-2014'!$L$9</definedName>
    <definedName name="Poisson">'[2]2ème Dist Gvt 2013-2014'!$L$9</definedName>
    <definedName name="proteine" localSheetId="24">#REF!</definedName>
    <definedName name="proteine" localSheetId="14">#REF!</definedName>
    <definedName name="proteine" localSheetId="16">#REF!</definedName>
    <definedName name="proteine" localSheetId="17">#REF!</definedName>
    <definedName name="proteine" localSheetId="18">#REF!</definedName>
    <definedName name="proteine" localSheetId="13">#REF!</definedName>
    <definedName name="proteine" localSheetId="0">#REF!</definedName>
    <definedName name="proteine" localSheetId="19">#REF!</definedName>
    <definedName name="proteine" localSheetId="20">#REF!</definedName>
    <definedName name="proteine" localSheetId="12">#REF!</definedName>
    <definedName name="proteine" localSheetId="8">#REF!</definedName>
    <definedName name="proteine" localSheetId="10">#REF!</definedName>
    <definedName name="proteine" localSheetId="1">#REF!</definedName>
    <definedName name="proteine" localSheetId="2">#REF!</definedName>
    <definedName name="proteine" localSheetId="3">#REF!</definedName>
    <definedName name="proteine" localSheetId="7">#REF!</definedName>
    <definedName name="proteine" localSheetId="9">#REF!</definedName>
    <definedName name="proteine" localSheetId="4">#REF!</definedName>
    <definedName name="proteine" localSheetId="5">#REF!</definedName>
    <definedName name="proteine" localSheetId="6">#REF!</definedName>
    <definedName name="proteine">#REF!</definedName>
    <definedName name="ri" localSheetId="21">#REF!</definedName>
    <definedName name="ri" localSheetId="24">#REF!</definedName>
    <definedName name="ri" localSheetId="22">#REF!</definedName>
    <definedName name="ri" localSheetId="14">#REF!</definedName>
    <definedName name="ri" localSheetId="16">#REF!</definedName>
    <definedName name="ri" localSheetId="17">#REF!</definedName>
    <definedName name="ri" localSheetId="18">#REF!</definedName>
    <definedName name="ri" localSheetId="13">#REF!</definedName>
    <definedName name="ri" localSheetId="0">#REF!</definedName>
    <definedName name="ri" localSheetId="19">#REF!</definedName>
    <definedName name="ri" localSheetId="20">#REF!</definedName>
    <definedName name="ri" localSheetId="11">#REF!</definedName>
    <definedName name="ri" localSheetId="12">#REF!</definedName>
    <definedName name="ri" localSheetId="8">#REF!</definedName>
    <definedName name="ri" localSheetId="10">#REF!</definedName>
    <definedName name="ri" localSheetId="1">#REF!</definedName>
    <definedName name="ri" localSheetId="2">#REF!</definedName>
    <definedName name="ri" localSheetId="3">#REF!</definedName>
    <definedName name="ri" localSheetId="7">#REF!</definedName>
    <definedName name="ri" localSheetId="9">#REF!</definedName>
    <definedName name="ri" localSheetId="4">#REF!</definedName>
    <definedName name="ri" localSheetId="5">#REF!</definedName>
    <definedName name="ri" localSheetId="6">#REF!</definedName>
    <definedName name="ri">#REF!</definedName>
    <definedName name="Riz" localSheetId="24">'[1]2ème Dist Gvt 2013-2014'!$J$9</definedName>
    <definedName name="Riz">'[2]2ème Dist Gvt 2013-2014'!$J$9</definedName>
    <definedName name="se" localSheetId="21">#REF!</definedName>
    <definedName name="se" localSheetId="24">#REF!</definedName>
    <definedName name="se" localSheetId="22">#REF!</definedName>
    <definedName name="se" localSheetId="14">#REF!</definedName>
    <definedName name="se" localSheetId="16">#REF!</definedName>
    <definedName name="se" localSheetId="17">#REF!</definedName>
    <definedName name="se" localSheetId="18">#REF!</definedName>
    <definedName name="se" localSheetId="13">#REF!</definedName>
    <definedName name="se" localSheetId="0">#REF!</definedName>
    <definedName name="se" localSheetId="19">#REF!</definedName>
    <definedName name="se" localSheetId="20">#REF!</definedName>
    <definedName name="se" localSheetId="11">#REF!</definedName>
    <definedName name="se" localSheetId="12">#REF!</definedName>
    <definedName name="se" localSheetId="8">#REF!</definedName>
    <definedName name="se" localSheetId="10">#REF!</definedName>
    <definedName name="se" localSheetId="1">#REF!</definedName>
    <definedName name="se" localSheetId="2">#REF!</definedName>
    <definedName name="se" localSheetId="3">#REF!</definedName>
    <definedName name="se" localSheetId="7">#REF!</definedName>
    <definedName name="se" localSheetId="9">#REF!</definedName>
    <definedName name="se" localSheetId="4">#REF!</definedName>
    <definedName name="se" localSheetId="5">#REF!</definedName>
    <definedName name="se" localSheetId="6">#REF!</definedName>
    <definedName name="se">#REF!</definedName>
    <definedName name="Sel" localSheetId="24">#REF!</definedName>
    <definedName name="Sel" localSheetId="14">#REF!</definedName>
    <definedName name="Sel" localSheetId="16">#REF!</definedName>
    <definedName name="Sel" localSheetId="17">#REF!</definedName>
    <definedName name="Sel" localSheetId="18">#REF!</definedName>
    <definedName name="Sel" localSheetId="13">#REF!</definedName>
    <definedName name="Sel" localSheetId="0">#REF!</definedName>
    <definedName name="Sel" localSheetId="19">#REF!</definedName>
    <definedName name="Sel" localSheetId="20">#REF!</definedName>
    <definedName name="Sel" localSheetId="12">#REF!</definedName>
    <definedName name="Sel" localSheetId="8">#REF!</definedName>
    <definedName name="Sel" localSheetId="10">#REF!</definedName>
    <definedName name="Sel" localSheetId="1">#REF!</definedName>
    <definedName name="Sel" localSheetId="2">#REF!</definedName>
    <definedName name="Sel" localSheetId="3">#REF!</definedName>
    <definedName name="Sel" localSheetId="7">#REF!</definedName>
    <definedName name="Sel" localSheetId="9">#REF!</definedName>
    <definedName name="Sel" localSheetId="4">#REF!</definedName>
    <definedName name="Sel" localSheetId="5">#REF!</definedName>
    <definedName name="Sel" localSheetId="6">#REF!</definedName>
    <definedName name="Sel">#REF!</definedName>
    <definedName name="ss" localSheetId="21">#REF!</definedName>
    <definedName name="ss" localSheetId="24">#REF!</definedName>
    <definedName name="ss" localSheetId="22">#REF!</definedName>
    <definedName name="ss" localSheetId="14">#REF!</definedName>
    <definedName name="ss" localSheetId="16">#REF!</definedName>
    <definedName name="ss" localSheetId="17">#REF!</definedName>
    <definedName name="ss" localSheetId="18">#REF!</definedName>
    <definedName name="ss" localSheetId="13">#REF!</definedName>
    <definedName name="ss" localSheetId="0">#REF!</definedName>
    <definedName name="ss" localSheetId="19">#REF!</definedName>
    <definedName name="ss" localSheetId="20">#REF!</definedName>
    <definedName name="ss" localSheetId="11">#REF!</definedName>
    <definedName name="ss" localSheetId="12">#REF!</definedName>
    <definedName name="ss" localSheetId="8">#REF!</definedName>
    <definedName name="ss" localSheetId="10">#REF!</definedName>
    <definedName name="ss" localSheetId="1">#REF!</definedName>
    <definedName name="ss" localSheetId="2">#REF!</definedName>
    <definedName name="ss" localSheetId="3">#REF!</definedName>
    <definedName name="ss" localSheetId="7">#REF!</definedName>
    <definedName name="ss" localSheetId="9">#REF!</definedName>
    <definedName name="ss" localSheetId="4">#REF!</definedName>
    <definedName name="ss" localSheetId="5">#REF!</definedName>
    <definedName name="ss" localSheetId="6">#REF!</definedName>
    <definedName name="ss">#REF!</definedName>
    <definedName name="tableau33" localSheetId="24">#REF!</definedName>
    <definedName name="tableau33" localSheetId="14">#REF!</definedName>
    <definedName name="tableau33" localSheetId="16">#REF!</definedName>
    <definedName name="tableau33" localSheetId="17">#REF!</definedName>
    <definedName name="tableau33" localSheetId="18">#REF!</definedName>
    <definedName name="tableau33" localSheetId="13">#REF!</definedName>
    <definedName name="tableau33" localSheetId="0">#REF!</definedName>
    <definedName name="tableau33" localSheetId="19">#REF!</definedName>
    <definedName name="tableau33" localSheetId="20">#REF!</definedName>
    <definedName name="tableau33" localSheetId="11">#REF!</definedName>
    <definedName name="tableau33" localSheetId="12">#REF!</definedName>
    <definedName name="tableau33" localSheetId="8">#REF!</definedName>
    <definedName name="tableau33" localSheetId="10">#REF!</definedName>
    <definedName name="tableau33" localSheetId="1">#REF!</definedName>
    <definedName name="tableau33" localSheetId="2">#REF!</definedName>
    <definedName name="tableau33" localSheetId="3">#REF!</definedName>
    <definedName name="tableau33" localSheetId="7">#REF!</definedName>
    <definedName name="tableau33" localSheetId="9">#REF!</definedName>
    <definedName name="tableau33" localSheetId="4">#REF!</definedName>
    <definedName name="tableau33" localSheetId="5">#REF!</definedName>
    <definedName name="tableau33" localSheetId="6">#REF!</definedName>
    <definedName name="tableau33">#REF!</definedName>
    <definedName name="tontotal" localSheetId="24">'[7]Reception-Livraison'!$L$32</definedName>
    <definedName name="tontotal">'[8]Reception-Livraison'!$L$32</definedName>
    <definedName name="totallivre" localSheetId="24">'[7]Reception-Livraison'!$I$54</definedName>
    <definedName name="totallivre">'[8]Reception-Livraison'!$I$54</definedName>
  </definedNames>
  <calcPr calcId="124519"/>
</workbook>
</file>

<file path=xl/calcChain.xml><?xml version="1.0" encoding="utf-8"?>
<calcChain xmlns="http://schemas.openxmlformats.org/spreadsheetml/2006/main">
  <c r="R10" i="92"/>
  <c r="S10"/>
  <c r="T10"/>
  <c r="U10"/>
  <c r="Q10"/>
  <c r="Q19" s="1"/>
  <c r="U19"/>
  <c r="T19"/>
  <c r="S19"/>
  <c r="R19"/>
  <c r="V19"/>
  <c r="M19"/>
  <c r="N11"/>
  <c r="N12"/>
  <c r="N13"/>
  <c r="N14"/>
  <c r="N15"/>
  <c r="N16"/>
  <c r="N17"/>
  <c r="N18"/>
  <c r="N10"/>
  <c r="N19" s="1"/>
  <c r="J19"/>
  <c r="K19"/>
  <c r="L19"/>
  <c r="I19"/>
  <c r="K11" i="88"/>
  <c r="G17" i="90"/>
  <c r="H17" s="1"/>
  <c r="J17"/>
  <c r="K17"/>
  <c r="G18"/>
  <c r="H18" s="1"/>
  <c r="G19"/>
  <c r="H19" s="1"/>
  <c r="G20"/>
  <c r="H20" s="1"/>
  <c r="I20"/>
  <c r="K20"/>
  <c r="G21"/>
  <c r="H21" s="1"/>
  <c r="K21"/>
  <c r="G22"/>
  <c r="H22" s="1"/>
  <c r="I22"/>
  <c r="K22"/>
  <c r="G23"/>
  <c r="H23" s="1"/>
  <c r="G24"/>
  <c r="H24" s="1"/>
  <c r="I24"/>
  <c r="K24"/>
  <c r="F25"/>
  <c r="D25"/>
  <c r="E25"/>
  <c r="G16"/>
  <c r="J16" s="1"/>
  <c r="H16" l="1"/>
  <c r="J24"/>
  <c r="L24" s="1"/>
  <c r="K23"/>
  <c r="J20"/>
  <c r="K19"/>
  <c r="K18"/>
  <c r="L20"/>
  <c r="I19"/>
  <c r="J19"/>
  <c r="I18"/>
  <c r="J18"/>
  <c r="I17"/>
  <c r="L17" s="1"/>
  <c r="I23"/>
  <c r="I21"/>
  <c r="J23"/>
  <c r="L23" s="1"/>
  <c r="J22"/>
  <c r="L22" s="1"/>
  <c r="J21"/>
  <c r="I16"/>
  <c r="K16"/>
  <c r="G25"/>
  <c r="L18" l="1"/>
  <c r="L19"/>
  <c r="L21"/>
  <c r="L16"/>
  <c r="H25"/>
  <c r="J25"/>
  <c r="K25"/>
  <c r="I25"/>
  <c r="L25" l="1"/>
  <c r="C7" i="89" l="1"/>
  <c r="H22" i="88"/>
  <c r="G22"/>
  <c r="F22"/>
  <c r="E22"/>
  <c r="D22"/>
  <c r="C22"/>
  <c r="I21"/>
  <c r="I20"/>
  <c r="I19"/>
  <c r="I18"/>
  <c r="I17"/>
  <c r="I16"/>
  <c r="I15"/>
  <c r="I14"/>
  <c r="I13"/>
  <c r="I12"/>
  <c r="K18" i="87"/>
  <c r="I18"/>
  <c r="G18"/>
  <c r="E18"/>
  <c r="C18"/>
  <c r="K17"/>
  <c r="I17"/>
  <c r="G17"/>
  <c r="E17"/>
  <c r="C17"/>
  <c r="J16"/>
  <c r="I16" s="1"/>
  <c r="H16"/>
  <c r="G16" s="1"/>
  <c r="F16"/>
  <c r="E16" s="1"/>
  <c r="D16"/>
  <c r="K16" s="1"/>
  <c r="K15"/>
  <c r="J15"/>
  <c r="I15"/>
  <c r="H15"/>
  <c r="G15"/>
  <c r="F15"/>
  <c r="E15"/>
  <c r="D15"/>
  <c r="C15"/>
  <c r="J14"/>
  <c r="I14" s="1"/>
  <c r="H14"/>
  <c r="G14" s="1"/>
  <c r="F14"/>
  <c r="E14" s="1"/>
  <c r="D14"/>
  <c r="K14" s="1"/>
  <c r="K13"/>
  <c r="K19" s="1"/>
  <c r="J13"/>
  <c r="J19" s="1"/>
  <c r="I13"/>
  <c r="I19" s="1"/>
  <c r="H13"/>
  <c r="H19" s="1"/>
  <c r="G13"/>
  <c r="G19" s="1"/>
  <c r="F13"/>
  <c r="F19" s="1"/>
  <c r="E13"/>
  <c r="E19" s="1"/>
  <c r="D13"/>
  <c r="D19" s="1"/>
  <c r="C13"/>
  <c r="H17" i="86"/>
  <c r="H16"/>
  <c r="G15"/>
  <c r="F15"/>
  <c r="E15"/>
  <c r="D15"/>
  <c r="G14"/>
  <c r="F14"/>
  <c r="E14"/>
  <c r="D14"/>
  <c r="G13"/>
  <c r="F13"/>
  <c r="E13"/>
  <c r="D13"/>
  <c r="G12"/>
  <c r="G18" s="1"/>
  <c r="F12"/>
  <c r="E12"/>
  <c r="E18" s="1"/>
  <c r="D12"/>
  <c r="E17" i="85"/>
  <c r="E18"/>
  <c r="K17"/>
  <c r="K18"/>
  <c r="I17"/>
  <c r="I18"/>
  <c r="G17"/>
  <c r="G18"/>
  <c r="C17"/>
  <c r="C18"/>
  <c r="K12" i="78"/>
  <c r="J16" i="85"/>
  <c r="I16" s="1"/>
  <c r="H16"/>
  <c r="G16" s="1"/>
  <c r="F16"/>
  <c r="E16" s="1"/>
  <c r="D16"/>
  <c r="K16" s="1"/>
  <c r="J15"/>
  <c r="I15" s="1"/>
  <c r="H15"/>
  <c r="G15" s="1"/>
  <c r="F15"/>
  <c r="E15" s="1"/>
  <c r="D15"/>
  <c r="K15" s="1"/>
  <c r="J14"/>
  <c r="I14" s="1"/>
  <c r="H14"/>
  <c r="G14" s="1"/>
  <c r="F14"/>
  <c r="E14" s="1"/>
  <c r="D14"/>
  <c r="K14" s="1"/>
  <c r="J13"/>
  <c r="I13" s="1"/>
  <c r="I19" s="1"/>
  <c r="H13"/>
  <c r="G13" s="1"/>
  <c r="F13"/>
  <c r="E13" s="1"/>
  <c r="D13"/>
  <c r="D19" s="1"/>
  <c r="D14" i="84"/>
  <c r="E14"/>
  <c r="F14"/>
  <c r="C14"/>
  <c r="D13"/>
  <c r="E13"/>
  <c r="F13"/>
  <c r="C13"/>
  <c r="E22" i="78"/>
  <c r="C15" i="84"/>
  <c r="C19" i="83" s="1"/>
  <c r="C22" s="1"/>
  <c r="D15" i="84"/>
  <c r="G18" i="79"/>
  <c r="F18"/>
  <c r="D14" i="83"/>
  <c r="E14"/>
  <c r="F14"/>
  <c r="D15"/>
  <c r="E15"/>
  <c r="F15"/>
  <c r="F16" s="1"/>
  <c r="C15"/>
  <c r="C14"/>
  <c r="D13"/>
  <c r="E13"/>
  <c r="F13"/>
  <c r="C13"/>
  <c r="D12"/>
  <c r="E12"/>
  <c r="E16" s="1"/>
  <c r="F12"/>
  <c r="C12"/>
  <c r="G12" s="1"/>
  <c r="D16"/>
  <c r="G15"/>
  <c r="G13"/>
  <c r="H16" i="82"/>
  <c r="G16"/>
  <c r="F16"/>
  <c r="E16"/>
  <c r="D16"/>
  <c r="C16"/>
  <c r="I15"/>
  <c r="I14"/>
  <c r="I13"/>
  <c r="I12"/>
  <c r="I16" s="1"/>
  <c r="H18" i="79"/>
  <c r="E18"/>
  <c r="D18"/>
  <c r="C18"/>
  <c r="I17"/>
  <c r="I16"/>
  <c r="I15"/>
  <c r="I14"/>
  <c r="I13"/>
  <c r="I12"/>
  <c r="J22" i="78"/>
  <c r="E19" i="85" l="1"/>
  <c r="G19"/>
  <c r="C16"/>
  <c r="C14"/>
  <c r="F19"/>
  <c r="C13"/>
  <c r="C19" s="1"/>
  <c r="C15"/>
  <c r="H19"/>
  <c r="K13"/>
  <c r="I22" i="88"/>
  <c r="H13" i="86"/>
  <c r="H14"/>
  <c r="D18"/>
  <c r="F18"/>
  <c r="H12"/>
  <c r="H15"/>
  <c r="C14" i="87"/>
  <c r="C19" s="1"/>
  <c r="C16"/>
  <c r="J19" i="85"/>
  <c r="F15" i="84"/>
  <c r="G14"/>
  <c r="E15"/>
  <c r="G13"/>
  <c r="G15" s="1"/>
  <c r="G14" i="83"/>
  <c r="C16"/>
  <c r="G16"/>
  <c r="I18" i="79"/>
  <c r="H18" i="86" l="1"/>
  <c r="K19" i="85"/>
  <c r="D22" i="78"/>
  <c r="C22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H22"/>
  <c r="F22"/>
  <c r="I13"/>
  <c r="K13" s="1"/>
  <c r="G22"/>
  <c r="I12"/>
  <c r="H25" i="77"/>
  <c r="G25"/>
  <c r="F25"/>
  <c r="E25"/>
  <c r="D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K25" s="1"/>
  <c r="J15"/>
  <c r="J25" s="1"/>
  <c r="I15"/>
  <c r="U25" i="67"/>
  <c r="E8" i="63"/>
  <c r="C8"/>
  <c r="G12" i="75"/>
  <c r="F12"/>
  <c r="E12"/>
  <c r="D12"/>
  <c r="C12"/>
  <c r="F11"/>
  <c r="F15" s="1"/>
  <c r="D11"/>
  <c r="D15" s="1"/>
  <c r="G9"/>
  <c r="F9"/>
  <c r="D9"/>
  <c r="E8"/>
  <c r="E16" s="1"/>
  <c r="C8"/>
  <c r="E7"/>
  <c r="C7"/>
  <c r="I15" i="72"/>
  <c r="C19"/>
  <c r="I21" i="73"/>
  <c r="I20"/>
  <c r="I19"/>
  <c r="I18"/>
  <c r="I10"/>
  <c r="I14" i="72"/>
  <c r="I13"/>
  <c r="I12"/>
  <c r="I11"/>
  <c r="I10"/>
  <c r="G66" i="53"/>
  <c r="H66"/>
  <c r="H7" i="63"/>
  <c r="D9"/>
  <c r="E9"/>
  <c r="F9"/>
  <c r="G9"/>
  <c r="C9"/>
  <c r="G12"/>
  <c r="F11"/>
  <c r="F15" s="1"/>
  <c r="D11"/>
  <c r="D15" s="1"/>
  <c r="E7"/>
  <c r="C7"/>
  <c r="H8"/>
  <c r="L25" i="77" l="1"/>
  <c r="I22" i="78"/>
  <c r="K22"/>
  <c r="M15" i="77"/>
  <c r="M16"/>
  <c r="M17"/>
  <c r="M18"/>
  <c r="M19"/>
  <c r="M20"/>
  <c r="M21"/>
  <c r="M22"/>
  <c r="M23"/>
  <c r="M24"/>
  <c r="I25"/>
  <c r="H12" i="75"/>
  <c r="C16"/>
  <c r="D17"/>
  <c r="F17"/>
  <c r="H8"/>
  <c r="D13"/>
  <c r="F13"/>
  <c r="D16"/>
  <c r="F16"/>
  <c r="H7"/>
  <c r="C9"/>
  <c r="E9"/>
  <c r="G16"/>
  <c r="H9" i="63"/>
  <c r="G16"/>
  <c r="H16" i="75" l="1"/>
  <c r="M25" i="77"/>
  <c r="H9" i="75"/>
  <c r="F6" i="69"/>
  <c r="F6" i="71"/>
  <c r="E6"/>
  <c r="D6"/>
  <c r="C6"/>
  <c r="B6"/>
  <c r="E6" i="69"/>
  <c r="D6"/>
  <c r="C6"/>
  <c r="B6"/>
  <c r="G8" i="6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H220"/>
  <c r="G6" i="71"/>
  <c r="H228" i="68"/>
  <c r="H227"/>
  <c r="H226"/>
  <c r="H225"/>
  <c r="H224"/>
  <c r="H223"/>
  <c r="H222"/>
  <c r="H221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30"/>
  <c r="H29"/>
  <c r="H28"/>
  <c r="H27"/>
  <c r="H26"/>
  <c r="H25"/>
  <c r="H24"/>
  <c r="H23"/>
  <c r="H22"/>
  <c r="H228" i="53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6"/>
  <c r="H135"/>
  <c r="H134"/>
  <c r="H133"/>
  <c r="H132"/>
  <c r="H131"/>
  <c r="H130"/>
  <c r="H129"/>
  <c r="H128"/>
  <c r="H127"/>
  <c r="H126"/>
  <c r="H125"/>
  <c r="H124"/>
  <c r="H123"/>
  <c r="H122"/>
  <c r="H120"/>
  <c r="H121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8"/>
  <c r="G8"/>
  <c r="F7" i="71" l="1"/>
  <c r="F8" s="1"/>
  <c r="C7"/>
  <c r="C8" s="1"/>
  <c r="E7"/>
  <c r="E8" s="1"/>
  <c r="F7" i="69"/>
  <c r="D7" i="71"/>
  <c r="D8" s="1"/>
  <c r="F8" i="69" l="1"/>
  <c r="G6"/>
  <c r="G90" i="68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22"/>
  <c r="G23"/>
  <c r="G24"/>
  <c r="G25"/>
  <c r="G26"/>
  <c r="G27"/>
  <c r="G28"/>
  <c r="G29"/>
  <c r="G30"/>
  <c r="K228" l="1"/>
  <c r="G228"/>
  <c r="K227"/>
  <c r="G227"/>
  <c r="K226"/>
  <c r="G226"/>
  <c r="K225"/>
  <c r="G225"/>
  <c r="K224"/>
  <c r="G224"/>
  <c r="K223"/>
  <c r="G223"/>
  <c r="K222"/>
  <c r="G222"/>
  <c r="K221"/>
  <c r="G221"/>
  <c r="K220"/>
  <c r="G220"/>
  <c r="K219"/>
  <c r="G219"/>
  <c r="K218"/>
  <c r="G218"/>
  <c r="K217"/>
  <c r="G217"/>
  <c r="K216"/>
  <c r="G216"/>
  <c r="K215"/>
  <c r="G215"/>
  <c r="K214"/>
  <c r="G214"/>
  <c r="K213"/>
  <c r="G213"/>
  <c r="K212"/>
  <c r="G212"/>
  <c r="K211"/>
  <c r="G211"/>
  <c r="K210"/>
  <c r="G210"/>
  <c r="K209"/>
  <c r="G209"/>
  <c r="K208"/>
  <c r="G208"/>
  <c r="K207"/>
  <c r="G207"/>
  <c r="K206"/>
  <c r="G206"/>
  <c r="K205"/>
  <c r="G205"/>
  <c r="K204"/>
  <c r="G204"/>
  <c r="K203"/>
  <c r="G203"/>
  <c r="K202"/>
  <c r="G202"/>
  <c r="K201"/>
  <c r="G201"/>
  <c r="K200"/>
  <c r="G200"/>
  <c r="K199"/>
  <c r="G199"/>
  <c r="K198"/>
  <c r="G198"/>
  <c r="K197"/>
  <c r="G197"/>
  <c r="K196"/>
  <c r="G196"/>
  <c r="K195"/>
  <c r="G195"/>
  <c r="K194"/>
  <c r="G194"/>
  <c r="K193"/>
  <c r="G193"/>
  <c r="K192"/>
  <c r="G192"/>
  <c r="K191"/>
  <c r="G191"/>
  <c r="K190"/>
  <c r="G190"/>
  <c r="K189"/>
  <c r="G189"/>
  <c r="K188"/>
  <c r="G188"/>
  <c r="K187"/>
  <c r="G187"/>
  <c r="K186"/>
  <c r="G186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K136"/>
  <c r="G136"/>
  <c r="K135"/>
  <c r="G135"/>
  <c r="K134"/>
  <c r="G134"/>
  <c r="K133"/>
  <c r="G133"/>
  <c r="K132"/>
  <c r="G132"/>
  <c r="K131"/>
  <c r="G13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K121"/>
  <c r="G121"/>
  <c r="K120"/>
  <c r="G120"/>
  <c r="K119"/>
  <c r="G119"/>
  <c r="K118"/>
  <c r="G118"/>
  <c r="K117"/>
  <c r="G117"/>
  <c r="K116"/>
  <c r="G116"/>
  <c r="K115"/>
  <c r="G115"/>
  <c r="K114"/>
  <c r="G114"/>
  <c r="K113"/>
  <c r="G113"/>
  <c r="K112"/>
  <c r="G112"/>
  <c r="K111"/>
  <c r="G111"/>
  <c r="K110"/>
  <c r="G110"/>
  <c r="K109"/>
  <c r="G109"/>
  <c r="K108"/>
  <c r="G108"/>
  <c r="K107"/>
  <c r="G107"/>
  <c r="K106"/>
  <c r="G106"/>
  <c r="K105"/>
  <c r="G105"/>
  <c r="K104"/>
  <c r="G104"/>
  <c r="K103"/>
  <c r="G103"/>
  <c r="K102"/>
  <c r="G102"/>
  <c r="K101"/>
  <c r="G101"/>
  <c r="K100"/>
  <c r="G100"/>
  <c r="K99"/>
  <c r="G99"/>
  <c r="K98"/>
  <c r="G98"/>
  <c r="K97"/>
  <c r="G97"/>
  <c r="K96"/>
  <c r="G96"/>
  <c r="K95"/>
  <c r="G95"/>
  <c r="K94"/>
  <c r="G94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4"/>
  <c r="K43"/>
  <c r="K42"/>
  <c r="K41"/>
  <c r="K40"/>
  <c r="K39"/>
  <c r="K38"/>
  <c r="K37"/>
  <c r="K36"/>
  <c r="K35"/>
  <c r="F12" i="63" s="1"/>
  <c r="K34" i="68"/>
  <c r="E12" i="63" s="1"/>
  <c r="E16" s="1"/>
  <c r="K33" i="68"/>
  <c r="K32"/>
  <c r="D12" i="63" s="1"/>
  <c r="K31" i="68"/>
  <c r="C12" i="63" s="1"/>
  <c r="K30" i="68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E7" i="69" s="1"/>
  <c r="E8" s="1"/>
  <c r="K10" i="68"/>
  <c r="C7" i="69" s="1"/>
  <c r="C8" s="1"/>
  <c r="K9" i="68"/>
  <c r="K8"/>
  <c r="G228" i="53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D16" i="63" l="1"/>
  <c r="D17"/>
  <c r="D13"/>
  <c r="C16"/>
  <c r="H12"/>
  <c r="H16" s="1"/>
  <c r="F17"/>
  <c r="F16"/>
  <c r="F13"/>
  <c r="K19" i="67"/>
  <c r="M20"/>
  <c r="K13"/>
  <c r="K12"/>
  <c r="K11"/>
  <c r="K14"/>
  <c r="N11"/>
  <c r="M19"/>
  <c r="M14"/>
  <c r="M10"/>
  <c r="L13"/>
  <c r="K21"/>
  <c r="N17"/>
  <c r="N12"/>
  <c r="M18"/>
  <c r="M13"/>
  <c r="L17"/>
  <c r="L12"/>
  <c r="K20"/>
  <c r="K18"/>
  <c r="K16"/>
  <c r="J16"/>
  <c r="N13"/>
  <c r="M21"/>
  <c r="M17"/>
  <c r="M12"/>
  <c r="L20"/>
  <c r="L16"/>
  <c r="K10"/>
  <c r="N19"/>
  <c r="N14"/>
  <c r="N10"/>
  <c r="M16"/>
  <c r="M11"/>
  <c r="L14"/>
  <c r="N20"/>
  <c r="K17"/>
  <c r="K229" i="68"/>
  <c r="K136" i="53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0"/>
  <c r="K89"/>
  <c r="K88"/>
  <c r="K87"/>
  <c r="N21" i="67" s="1"/>
  <c r="K86" i="53"/>
  <c r="N18" i="67" s="1"/>
  <c r="K85" i="53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J21" i="67" s="1"/>
  <c r="K55" i="53"/>
  <c r="K54"/>
  <c r="K53"/>
  <c r="K52"/>
  <c r="K51"/>
  <c r="K50"/>
  <c r="K49"/>
  <c r="K48"/>
  <c r="G11" i="75" l="1"/>
  <c r="G11" i="63"/>
  <c r="N16" i="67"/>
  <c r="N22" s="1"/>
  <c r="L18"/>
  <c r="L21"/>
  <c r="J17"/>
  <c r="F20" i="66"/>
  <c r="E20"/>
  <c r="D20"/>
  <c r="G15" i="75" l="1"/>
  <c r="G17"/>
  <c r="G13"/>
  <c r="G15" i="63"/>
  <c r="G17"/>
  <c r="G13"/>
  <c r="T11" i="67"/>
  <c r="T19"/>
  <c r="G20" i="66"/>
  <c r="T21" i="67" l="1"/>
  <c r="T13"/>
  <c r="T20"/>
  <c r="T18"/>
  <c r="T16"/>
  <c r="T14"/>
  <c r="T12"/>
  <c r="T17"/>
  <c r="I19" l="1"/>
  <c r="I17"/>
  <c r="I11"/>
  <c r="I15"/>
  <c r="I14"/>
  <c r="I21"/>
  <c r="I20"/>
  <c r="I13"/>
  <c r="I10"/>
  <c r="I18"/>
  <c r="H22"/>
  <c r="I12"/>
  <c r="I16"/>
  <c r="K218" i="53"/>
  <c r="K219"/>
  <c r="K220"/>
  <c r="K221"/>
  <c r="K222"/>
  <c r="K217"/>
  <c r="K216"/>
  <c r="S14" i="67" l="1"/>
  <c r="O21" l="1"/>
  <c r="O16"/>
  <c r="T10"/>
  <c r="T22" s="1"/>
  <c r="K22"/>
  <c r="O17"/>
  <c r="S10"/>
  <c r="K228" i="53"/>
  <c r="K227"/>
  <c r="K226"/>
  <c r="K225"/>
  <c r="K224"/>
  <c r="K223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O31" i="56" l="1"/>
  <c r="K31"/>
  <c r="G31"/>
  <c r="C31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K9" i="53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J20" i="67" s="1"/>
  <c r="K28" i="53"/>
  <c r="K29"/>
  <c r="J18" i="67" s="1"/>
  <c r="K30" i="53"/>
  <c r="K31"/>
  <c r="K32"/>
  <c r="K33"/>
  <c r="K34"/>
  <c r="K35"/>
  <c r="K36"/>
  <c r="K37"/>
  <c r="K38"/>
  <c r="K39"/>
  <c r="K40"/>
  <c r="K41"/>
  <c r="K42"/>
  <c r="K43"/>
  <c r="K44"/>
  <c r="L19" i="67" s="1"/>
  <c r="K8" i="53"/>
  <c r="C11" i="75" s="1"/>
  <c r="O31" i="52"/>
  <c r="K31"/>
  <c r="G31"/>
  <c r="C31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C13" i="75" l="1"/>
  <c r="C17"/>
  <c r="C15"/>
  <c r="E11"/>
  <c r="C11" i="63"/>
  <c r="J12" i="67"/>
  <c r="B7" i="69"/>
  <c r="L10" i="67"/>
  <c r="E11" i="63"/>
  <c r="D7" i="69"/>
  <c r="D8" s="1"/>
  <c r="J13" i="67"/>
  <c r="O13" s="1"/>
  <c r="J14"/>
  <c r="O14" s="1"/>
  <c r="B7" i="71"/>
  <c r="J19" i="67"/>
  <c r="L11"/>
  <c r="J10"/>
  <c r="O10" s="1"/>
  <c r="J11"/>
  <c r="O19"/>
  <c r="S31" i="52"/>
  <c r="S31" i="56"/>
  <c r="O18" i="67"/>
  <c r="O20"/>
  <c r="K229" i="53"/>
  <c r="M22" i="67"/>
  <c r="Q11"/>
  <c r="Q13"/>
  <c r="Q19"/>
  <c r="Q21"/>
  <c r="Q17"/>
  <c r="R21"/>
  <c r="R17"/>
  <c r="R13"/>
  <c r="S19"/>
  <c r="L22" l="1"/>
  <c r="E13" i="75"/>
  <c r="E17"/>
  <c r="E15"/>
  <c r="H11"/>
  <c r="E15" i="63"/>
  <c r="E13"/>
  <c r="E17"/>
  <c r="G7" i="69"/>
  <c r="B8"/>
  <c r="G8" s="1"/>
  <c r="C13" i="63"/>
  <c r="H11"/>
  <c r="C15"/>
  <c r="C17"/>
  <c r="G7" i="71"/>
  <c r="B8"/>
  <c r="G8" s="1"/>
  <c r="O11" i="67"/>
  <c r="O12"/>
  <c r="J22"/>
  <c r="S13"/>
  <c r="Q12"/>
  <c r="Q16"/>
  <c r="S18"/>
  <c r="Q20"/>
  <c r="S11"/>
  <c r="S17"/>
  <c r="S21"/>
  <c r="R12"/>
  <c r="R16"/>
  <c r="R18"/>
  <c r="R20"/>
  <c r="R11"/>
  <c r="S12"/>
  <c r="Q14"/>
  <c r="S16"/>
  <c r="Q18"/>
  <c r="R19"/>
  <c r="S20"/>
  <c r="P21"/>
  <c r="P20"/>
  <c r="P13"/>
  <c r="P17"/>
  <c r="P16"/>
  <c r="P14"/>
  <c r="P18"/>
  <c r="P12"/>
  <c r="H13" i="75" l="1"/>
  <c r="H15"/>
  <c r="H17"/>
  <c r="H17" i="63"/>
  <c r="H13"/>
  <c r="H15"/>
  <c r="U17" i="67"/>
  <c r="O22"/>
  <c r="U12"/>
  <c r="U20"/>
  <c r="U18"/>
  <c r="U16"/>
  <c r="U13"/>
  <c r="U21"/>
  <c r="P11"/>
  <c r="P19"/>
  <c r="G22"/>
  <c r="F22"/>
  <c r="R10"/>
  <c r="R14"/>
  <c r="U14" s="1"/>
  <c r="E22"/>
  <c r="Q10"/>
  <c r="Q22" s="1"/>
  <c r="D22"/>
  <c r="P10"/>
  <c r="I22"/>
  <c r="U19" l="1"/>
  <c r="U11"/>
  <c r="U10"/>
  <c r="P22"/>
  <c r="R22"/>
  <c r="S22"/>
  <c r="U22" l="1"/>
</calcChain>
</file>

<file path=xl/sharedStrings.xml><?xml version="1.0" encoding="utf-8"?>
<sst xmlns="http://schemas.openxmlformats.org/spreadsheetml/2006/main" count="1194" uniqueCount="175">
  <si>
    <t>BONDOUKOU</t>
  </si>
  <si>
    <t>BOUNA</t>
  </si>
  <si>
    <t>DUEKOUE</t>
  </si>
  <si>
    <t>Nassian</t>
  </si>
  <si>
    <t>GUIGLO</t>
  </si>
  <si>
    <t>KORHOGO</t>
  </si>
  <si>
    <t>SEGUELA</t>
  </si>
  <si>
    <t>TOUBA</t>
  </si>
  <si>
    <t>BOUNDIALI</t>
  </si>
  <si>
    <t>MANKONO</t>
  </si>
  <si>
    <t>MINISTERE DE L'EDUCATION NATIONALE</t>
  </si>
  <si>
    <t>REPUBLIQUE DE CÔTE D'IVOIRE</t>
  </si>
  <si>
    <t>Service National des Cantines Scolaire</t>
  </si>
  <si>
    <t>Union-Discipline-Travail</t>
  </si>
  <si>
    <t>Projet 20066/PAM/DNC</t>
  </si>
  <si>
    <t>20 BP 739 Abidjan 20</t>
  </si>
  <si>
    <t>Ration par enfant (en gramme)</t>
  </si>
  <si>
    <t>Riz</t>
  </si>
  <si>
    <t>Huile</t>
  </si>
  <si>
    <t>Proteïne</t>
  </si>
  <si>
    <t>Sel</t>
  </si>
  <si>
    <t>Nombre de jours de fonctionnement cantines :</t>
  </si>
  <si>
    <t>N°</t>
  </si>
  <si>
    <t>Dren</t>
  </si>
  <si>
    <t>Magasin Pc</t>
  </si>
  <si>
    <t>Nbre cantines</t>
  </si>
  <si>
    <t>Bénéficiaires</t>
  </si>
  <si>
    <t>Tonnage</t>
  </si>
  <si>
    <t>Fille</t>
  </si>
  <si>
    <t>Garçon</t>
  </si>
  <si>
    <t>Total</t>
  </si>
  <si>
    <t>Bondoukou</t>
  </si>
  <si>
    <t>Tanda</t>
  </si>
  <si>
    <t>Bouna</t>
  </si>
  <si>
    <t>Guiglo</t>
  </si>
  <si>
    <t>Boundiali</t>
  </si>
  <si>
    <t>FERKESSEDOUGOU</t>
  </si>
  <si>
    <t>Ferkessedougou</t>
  </si>
  <si>
    <t>Korhogo</t>
  </si>
  <si>
    <t>Mankono</t>
  </si>
  <si>
    <t>Seguela</t>
  </si>
  <si>
    <t>Touba</t>
  </si>
  <si>
    <t xml:space="preserve">TOTAL  </t>
  </si>
  <si>
    <t>TOTAL</t>
  </si>
  <si>
    <t>Reste à livrer (en tonnes)</t>
  </si>
  <si>
    <t>Dotation Prévue (en tonnes)</t>
  </si>
  <si>
    <t>Dotation Reçue (en tonnes)</t>
  </si>
  <si>
    <t>Date</t>
  </si>
  <si>
    <t>ANNEE SCOLAIRE 2014-2015</t>
  </si>
  <si>
    <t>Année Scolaire 2014-2015</t>
  </si>
  <si>
    <r>
      <t>1</t>
    </r>
    <r>
      <rPr>
        <b/>
        <vertAlign val="superscript"/>
        <sz val="11"/>
        <color theme="1"/>
        <rFont val="Cambria"/>
        <family val="1"/>
        <scheme val="major"/>
      </rPr>
      <t>ère</t>
    </r>
    <r>
      <rPr>
        <b/>
        <sz val="11"/>
        <color theme="1"/>
        <rFont val="Cambria"/>
        <family val="1"/>
        <scheme val="major"/>
      </rPr>
      <t xml:space="preserve"> Distribution primaire vivres PAM</t>
    </r>
  </si>
  <si>
    <t>Transporteur</t>
  </si>
  <si>
    <t>N° Si</t>
  </si>
  <si>
    <t>Colis</t>
  </si>
  <si>
    <t>Denrée enlevée</t>
  </si>
  <si>
    <t>N° Ot</t>
  </si>
  <si>
    <t>Poids (T)</t>
  </si>
  <si>
    <t>Pu (Kg)</t>
  </si>
  <si>
    <r>
      <t xml:space="preserve">Poids Total </t>
    </r>
    <r>
      <rPr>
        <b/>
        <sz val="8"/>
        <color theme="1"/>
        <rFont val="Cambria"/>
        <family val="1"/>
        <scheme val="major"/>
      </rPr>
      <t>(Tonne)</t>
    </r>
  </si>
  <si>
    <t>Destination</t>
  </si>
  <si>
    <r>
      <t>Tableau</t>
    </r>
    <r>
      <rPr>
        <b/>
        <u/>
        <vertAlign val="superscript"/>
        <sz val="11"/>
        <color theme="1"/>
        <rFont val="Cambria"/>
        <family val="1"/>
        <scheme val="major"/>
      </rPr>
      <t>(2)</t>
    </r>
    <r>
      <rPr>
        <b/>
        <u/>
        <sz val="11"/>
        <color theme="1"/>
        <rFont val="Cambria"/>
        <family val="1"/>
        <scheme val="major"/>
      </rPr>
      <t xml:space="preserve"> des enlèvements</t>
    </r>
  </si>
  <si>
    <t>Denrée</t>
  </si>
  <si>
    <r>
      <t xml:space="preserve">Pu </t>
    </r>
    <r>
      <rPr>
        <b/>
        <sz val="9"/>
        <color theme="1"/>
        <rFont val="Cambria"/>
        <family val="1"/>
        <scheme val="major"/>
      </rPr>
      <t>(Kg)</t>
    </r>
  </si>
  <si>
    <r>
      <t>Poids</t>
    </r>
    <r>
      <rPr>
        <b/>
        <sz val="9"/>
        <color theme="1"/>
        <rFont val="Cambria"/>
        <family val="1"/>
        <scheme val="major"/>
      </rPr>
      <t xml:space="preserve"> (Tonne)</t>
    </r>
  </si>
  <si>
    <t>Haricot</t>
  </si>
  <si>
    <t>Tsp</t>
  </si>
  <si>
    <t>ListeMagasinPam</t>
  </si>
  <si>
    <t>ListeDenrée</t>
  </si>
  <si>
    <t>Données</t>
  </si>
  <si>
    <t>Pois_cassé</t>
  </si>
  <si>
    <r>
      <t>2</t>
    </r>
    <r>
      <rPr>
        <b/>
        <vertAlign val="superscript"/>
        <sz val="11"/>
        <color theme="1"/>
        <rFont val="Cambria"/>
        <family val="1"/>
        <scheme val="major"/>
      </rPr>
      <t>ème</t>
    </r>
    <r>
      <rPr>
        <b/>
        <sz val="11"/>
        <color theme="1"/>
        <rFont val="Cambria"/>
        <family val="1"/>
        <scheme val="major"/>
      </rPr>
      <t xml:space="preserve"> Distribution primaire vivres PAM</t>
    </r>
  </si>
  <si>
    <t>Yopougon</t>
  </si>
  <si>
    <t>Daloa</t>
  </si>
  <si>
    <t>Direction des Cantines Scolaires</t>
  </si>
  <si>
    <t>Datte</t>
  </si>
  <si>
    <t>ET DE L'ENSEIGNEMENT TECHNIQUE</t>
  </si>
  <si>
    <t>Projet 200464/PAM/DNC</t>
  </si>
  <si>
    <t>Stock</t>
  </si>
  <si>
    <t>Enlevé</t>
  </si>
  <si>
    <t>Reste à enlever</t>
  </si>
  <si>
    <r>
      <t>3</t>
    </r>
    <r>
      <rPr>
        <b/>
        <vertAlign val="superscript"/>
        <sz val="11"/>
        <color theme="1"/>
        <rFont val="Cambria"/>
        <family val="1"/>
        <scheme val="major"/>
      </rPr>
      <t>ème</t>
    </r>
    <r>
      <rPr>
        <b/>
        <sz val="11"/>
        <color theme="1"/>
        <rFont val="Cambria"/>
        <family val="1"/>
        <scheme val="major"/>
      </rPr>
      <t xml:space="preserve"> Distribution primaire vivres PAM</t>
    </r>
  </si>
  <si>
    <t>Mikili</t>
  </si>
  <si>
    <t>RIZ</t>
  </si>
  <si>
    <t>TONNAGE GRAIN D'ARGENT</t>
  </si>
  <si>
    <t>TONNAGE MIKILI</t>
  </si>
  <si>
    <t>Attribué</t>
  </si>
  <si>
    <t>Effectué</t>
  </si>
  <si>
    <t>Données Transporteur</t>
  </si>
  <si>
    <t>Grain_Argent</t>
  </si>
  <si>
    <t>Données Magasin</t>
  </si>
  <si>
    <r>
      <t>Tableau</t>
    </r>
    <r>
      <rPr>
        <b/>
        <vertAlign val="superscript"/>
        <sz val="11"/>
        <color theme="1"/>
        <rFont val="Cambria"/>
        <family val="1"/>
        <scheme val="major"/>
      </rPr>
      <t>(yopougon)</t>
    </r>
    <r>
      <rPr>
        <b/>
        <sz val="11"/>
        <color theme="1"/>
        <rFont val="Cambria"/>
        <family val="1"/>
        <scheme val="major"/>
      </rPr>
      <t xml:space="preserve"> des enlèvements</t>
    </r>
  </si>
  <si>
    <r>
      <t>Tableau</t>
    </r>
    <r>
      <rPr>
        <b/>
        <vertAlign val="superscript"/>
        <sz val="11"/>
        <color theme="1"/>
        <rFont val="Cambria"/>
        <family val="1"/>
        <scheme val="major"/>
      </rPr>
      <t>(koumassi)</t>
    </r>
    <r>
      <rPr>
        <b/>
        <sz val="11"/>
        <color theme="1"/>
        <rFont val="Cambria"/>
        <family val="1"/>
        <scheme val="major"/>
      </rPr>
      <t xml:space="preserve"> des enlèvements</t>
    </r>
  </si>
  <si>
    <t>Bilan de la 3ème distribution primaire des vivres PAM</t>
  </si>
  <si>
    <t>Koumassi</t>
  </si>
  <si>
    <t>Disponible</t>
  </si>
  <si>
    <t xml:space="preserve">TOTAL </t>
  </si>
  <si>
    <t>ETAT DES STOCKS DANS LES MAGASINS</t>
  </si>
  <si>
    <t>Tonnage denrée</t>
  </si>
  <si>
    <t>Magasin</t>
  </si>
  <si>
    <t>Mc Yopougon</t>
  </si>
  <si>
    <t>Koumassi ONUCI</t>
  </si>
  <si>
    <r>
      <t>3</t>
    </r>
    <r>
      <rPr>
        <b/>
        <vertAlign val="superscript"/>
        <sz val="16"/>
        <color theme="1"/>
        <rFont val="Calibri"/>
        <family val="2"/>
        <scheme val="minor"/>
      </rPr>
      <t xml:space="preserve">ème </t>
    </r>
    <r>
      <rPr>
        <b/>
        <sz val="16"/>
        <color theme="1"/>
        <rFont val="Calibri"/>
        <family val="2"/>
        <scheme val="minor"/>
      </rPr>
      <t>DOTATION PAM 2014-2015</t>
    </r>
  </si>
  <si>
    <t>Séguela</t>
  </si>
  <si>
    <t>Numero véhicule</t>
  </si>
  <si>
    <t>6614 GL 01 / 1296 GG 03</t>
  </si>
  <si>
    <t>2486 GH 01 / 7312 GJ 06</t>
  </si>
  <si>
    <t>3357 FL 01 / 3356 FL 01</t>
  </si>
  <si>
    <t>Poids (Tonne)</t>
  </si>
  <si>
    <r>
      <t>3</t>
    </r>
    <r>
      <rPr>
        <b/>
        <vertAlign val="superscript"/>
        <sz val="18"/>
        <color theme="1"/>
        <rFont val="Cambria"/>
        <family val="1"/>
        <scheme val="major"/>
      </rPr>
      <t>ème</t>
    </r>
    <r>
      <rPr>
        <b/>
        <sz val="18"/>
        <color theme="1"/>
        <rFont val="Cambria"/>
        <family val="1"/>
        <scheme val="major"/>
      </rPr>
      <t xml:space="preserve"> Distribution primaire vivres PAM</t>
    </r>
  </si>
  <si>
    <r>
      <t>Tableau</t>
    </r>
    <r>
      <rPr>
        <b/>
        <vertAlign val="superscript"/>
        <sz val="18"/>
        <color theme="1"/>
        <rFont val="Cambria"/>
        <family val="1"/>
        <scheme val="major"/>
      </rPr>
      <t>(Yopougon)</t>
    </r>
    <r>
      <rPr>
        <b/>
        <sz val="18"/>
        <color theme="1"/>
        <rFont val="Cambria"/>
        <family val="1"/>
        <scheme val="major"/>
      </rPr>
      <t xml:space="preserve"> des enlèvements du Mardi 14 Avril 2015</t>
    </r>
  </si>
  <si>
    <r>
      <t>Tableau</t>
    </r>
    <r>
      <rPr>
        <b/>
        <vertAlign val="superscript"/>
        <sz val="18"/>
        <color theme="1"/>
        <rFont val="Cambria"/>
        <family val="1"/>
        <scheme val="major"/>
      </rPr>
      <t>(koumassi)</t>
    </r>
    <r>
      <rPr>
        <b/>
        <sz val="18"/>
        <color theme="1"/>
        <rFont val="Cambria"/>
        <family val="1"/>
        <scheme val="major"/>
      </rPr>
      <t xml:space="preserve"> des enlèvements du Mardi 14 Avril 2015</t>
    </r>
  </si>
  <si>
    <t>Pois cassé</t>
  </si>
  <si>
    <t>Poisson</t>
  </si>
  <si>
    <t>Ferkessedougou-Riz</t>
  </si>
  <si>
    <t>Grain_Argent-Riz</t>
  </si>
  <si>
    <t>Korhogo-Huile</t>
  </si>
  <si>
    <t>Grain_Argent-Huile</t>
  </si>
  <si>
    <t>Bondoukou-Riz</t>
  </si>
  <si>
    <t>Bondoukou-Pois_cassé</t>
  </si>
  <si>
    <t>Grain_Argent-Pois_cassé</t>
  </si>
  <si>
    <t>Bondoukou-Sel</t>
  </si>
  <si>
    <t>Grain_Argent-Sel</t>
  </si>
  <si>
    <t>Bouna-Pois_cassé</t>
  </si>
  <si>
    <t>Nassian-Riz</t>
  </si>
  <si>
    <t>Nassian-Huile</t>
  </si>
  <si>
    <t>Nassian-Pois_cassé</t>
  </si>
  <si>
    <t>Nassian-Sel</t>
  </si>
  <si>
    <t>Guiglo-Riz</t>
  </si>
  <si>
    <t>Guiglo-Pois_cassé</t>
  </si>
  <si>
    <t>Guiglo-Huile</t>
  </si>
  <si>
    <t>Guiglo-Sel</t>
  </si>
  <si>
    <t>Seguela-Huile</t>
  </si>
  <si>
    <t>Prévu</t>
  </si>
  <si>
    <t>Reçu</t>
  </si>
  <si>
    <t>Reste</t>
  </si>
  <si>
    <t>Bilan de la distribution des Dattes</t>
  </si>
  <si>
    <t>Rat</t>
  </si>
  <si>
    <t>ANNEE SCOLAIRE 2015-2016</t>
  </si>
  <si>
    <t>Prépositionnement</t>
  </si>
  <si>
    <t>Man</t>
  </si>
  <si>
    <t>Bouaké</t>
  </si>
  <si>
    <r>
      <t>PREPOSITIONNEMENT DES VIVRES PAM POUR LA 1</t>
    </r>
    <r>
      <rPr>
        <b/>
        <vertAlign val="superscript"/>
        <sz val="13"/>
        <color theme="1"/>
        <rFont val="Cambria"/>
        <family val="1"/>
        <scheme val="major"/>
      </rPr>
      <t>ère</t>
    </r>
    <r>
      <rPr>
        <b/>
        <sz val="13"/>
        <color theme="1"/>
        <rFont val="Cambria"/>
        <family val="1"/>
        <scheme val="major"/>
      </rPr>
      <t xml:space="preserve"> DOTATION</t>
    </r>
  </si>
  <si>
    <t>Montant total</t>
  </si>
  <si>
    <t>Distance</t>
  </si>
  <si>
    <t>MIKILI</t>
  </si>
  <si>
    <t>GRAIN D'ARGENT</t>
  </si>
  <si>
    <t>PROGRAMME MIKILI</t>
  </si>
  <si>
    <r>
      <t>PREPOSITIONNEMENT DES VIVRES PAM POUR LA 1</t>
    </r>
    <r>
      <rPr>
        <b/>
        <vertAlign val="superscript"/>
        <sz val="15"/>
        <color theme="1"/>
        <rFont val="Cambria"/>
        <family val="1"/>
        <scheme val="major"/>
      </rPr>
      <t>ère</t>
    </r>
    <r>
      <rPr>
        <b/>
        <sz val="15"/>
        <color theme="1"/>
        <rFont val="Cambria"/>
        <family val="1"/>
        <scheme val="major"/>
      </rPr>
      <t xml:space="preserve"> DOTATION 2015-2016</t>
    </r>
  </si>
  <si>
    <t>PROGRAMME GRAIN D'ARGENT</t>
  </si>
  <si>
    <t>PLANNING DES ENLEVEMENTS</t>
  </si>
  <si>
    <r>
      <t>Prépositionnement des vivres PAM pour la 1</t>
    </r>
    <r>
      <rPr>
        <b/>
        <vertAlign val="superscript"/>
        <sz val="13"/>
        <color theme="1"/>
        <rFont val="Cambria"/>
        <family val="1"/>
        <scheme val="major"/>
      </rPr>
      <t>ère</t>
    </r>
    <r>
      <rPr>
        <b/>
        <sz val="13"/>
        <color theme="1"/>
        <rFont val="Cambria"/>
        <family val="1"/>
        <scheme val="major"/>
      </rPr>
      <t xml:space="preserve"> dotation</t>
    </r>
  </si>
  <si>
    <t>Poids</t>
  </si>
  <si>
    <t>Magasin de reception</t>
  </si>
  <si>
    <t>Bondoukou, Bouna</t>
  </si>
  <si>
    <t>Boundiali, Mankono, Ferkessedougou</t>
  </si>
  <si>
    <t>MAGASIN CENTRAL DE YOPOUGON</t>
  </si>
  <si>
    <t>CANTINES PAM</t>
  </si>
  <si>
    <r>
      <t>Planning provisoire de la 1</t>
    </r>
    <r>
      <rPr>
        <b/>
        <vertAlign val="superscript"/>
        <sz val="13"/>
        <color theme="1"/>
        <rFont val="Cambria"/>
        <family val="1"/>
        <scheme val="major"/>
      </rPr>
      <t>ère</t>
    </r>
    <r>
      <rPr>
        <b/>
        <vertAlign val="superscript"/>
        <sz val="13"/>
        <color theme="1"/>
        <rFont val="Cambria"/>
        <family val="1"/>
        <scheme val="major"/>
      </rPr>
      <t xml:space="preserve"> </t>
    </r>
    <r>
      <rPr>
        <b/>
        <sz val="13"/>
        <color theme="1"/>
        <rFont val="Cambria"/>
        <family val="1"/>
        <scheme val="major"/>
      </rPr>
      <t>distribution primaire des vivres PAM</t>
    </r>
  </si>
  <si>
    <t>NOMBRE DE JOURS DE FONCTIONNEMENT : 22</t>
  </si>
  <si>
    <t>Drenet/Ddenet</t>
  </si>
  <si>
    <t>Point de Chute</t>
  </si>
  <si>
    <t>Cantine</t>
  </si>
  <si>
    <t>TANDA</t>
  </si>
  <si>
    <t>NASSIAN</t>
  </si>
  <si>
    <t>TOTAL NATIONAL</t>
  </si>
  <si>
    <r>
      <rPr>
        <b/>
        <i/>
        <sz val="13"/>
        <color theme="1"/>
        <rFont val="Calibri"/>
        <family val="2"/>
        <scheme val="minor"/>
      </rPr>
      <t xml:space="preserve">N.B : </t>
    </r>
    <r>
      <rPr>
        <i/>
        <sz val="13"/>
        <color theme="1"/>
        <rFont val="Calibri"/>
        <family val="2"/>
        <scheme val="minor"/>
      </rPr>
      <t>Nombre de jour de fonctionnement des dattes 12,44288</t>
    </r>
  </si>
  <si>
    <t>Destinataire</t>
  </si>
  <si>
    <r>
      <t xml:space="preserve">Tanda </t>
    </r>
    <r>
      <rPr>
        <sz val="12"/>
        <color rgb="FF000000"/>
        <rFont val="Cambria"/>
        <family val="1"/>
        <scheme val="major"/>
      </rPr>
      <t>(Drenet Bondoukou)</t>
    </r>
  </si>
  <si>
    <t>Drenet</t>
  </si>
  <si>
    <t>Besoins (en tonnes)</t>
  </si>
  <si>
    <t>Pos cassé</t>
  </si>
  <si>
    <t>A transferer</t>
  </si>
  <si>
    <t>Mag Depart</t>
  </si>
  <si>
    <t>Magasin Destin</t>
  </si>
  <si>
    <t>Ferke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</si>
</sst>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#,##0.00#"/>
    <numFmt numFmtId="165" formatCode="#,##0.000"/>
    <numFmt numFmtId="166" formatCode="#,##0\ &quot; Jours&quot;"/>
    <numFmt numFmtId="167" formatCode="#,##0\ &quot;Tonnes&quot;"/>
    <numFmt numFmtId="168" formatCode="#,##0.00\ &quot;Tonnes&quot;"/>
    <numFmt numFmtId="169" formatCode="#,##0.00\ &quot; Jours&quot;"/>
  </numFmts>
  <fonts count="70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vertAlign val="superscript"/>
      <sz val="13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8.5"/>
      <color theme="1"/>
      <name val="Cambria"/>
      <family val="1"/>
      <scheme val="major"/>
    </font>
    <font>
      <b/>
      <sz val="8.5"/>
      <color theme="1"/>
      <name val="Cambria"/>
      <family val="1"/>
      <scheme val="major"/>
    </font>
    <font>
      <b/>
      <u/>
      <vertAlign val="superscript"/>
      <sz val="11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libri"/>
      <family val="2"/>
      <scheme val="min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3"/>
      <color rgb="FF000000"/>
      <name val="Cambria"/>
      <family val="1"/>
      <scheme val="major"/>
    </font>
    <font>
      <sz val="13"/>
      <color rgb="FF000000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vertAlign val="superscript"/>
      <sz val="18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15"/>
      <color theme="1"/>
      <name val="Cambria"/>
      <family val="1"/>
      <scheme val="major"/>
    </font>
    <font>
      <b/>
      <vertAlign val="superscript"/>
      <sz val="15"/>
      <color theme="1"/>
      <name val="Cambria"/>
      <family val="1"/>
      <scheme val="maj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Cambria"/>
      <family val="1"/>
      <scheme val="major"/>
    </font>
    <font>
      <sz val="8"/>
      <color rgb="FF000000"/>
      <name val="Book Antiqua"/>
      <family val="1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30">
    <xf numFmtId="0" fontId="0" fillId="0" borderId="0" xfId="0"/>
    <xf numFmtId="0" fontId="3" fillId="0" borderId="0" xfId="1" applyFont="1" applyProtection="1">
      <protection locked="0"/>
    </xf>
    <xf numFmtId="3" fontId="13" fillId="0" borderId="1" xfId="1" applyNumberFormat="1" applyFont="1" applyBorder="1" applyAlignment="1" applyProtection="1">
      <alignment horizontal="center" vertical="center"/>
      <protection hidden="1"/>
    </xf>
    <xf numFmtId="164" fontId="14" fillId="0" borderId="1" xfId="1" applyNumberFormat="1" applyFont="1" applyBorder="1" applyAlignment="1" applyProtection="1">
      <alignment horizontal="center" vertical="center"/>
      <protection hidden="1"/>
    </xf>
    <xf numFmtId="164" fontId="15" fillId="0" borderId="1" xfId="1" applyNumberFormat="1" applyFont="1" applyBorder="1" applyAlignment="1" applyProtection="1">
      <alignment horizontal="center" vertical="center"/>
      <protection hidden="1"/>
    </xf>
    <xf numFmtId="165" fontId="3" fillId="0" borderId="0" xfId="1" applyNumberFormat="1" applyFont="1" applyProtection="1"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164" fontId="7" fillId="0" borderId="0" xfId="1" applyNumberFormat="1" applyFont="1" applyBorder="1" applyAlignment="1" applyProtection="1">
      <alignment horizontal="center" vertical="center"/>
      <protection locked="0"/>
    </xf>
    <xf numFmtId="164" fontId="10" fillId="0" borderId="1" xfId="1" applyNumberFormat="1" applyFont="1" applyBorder="1" applyAlignment="1" applyProtection="1">
      <alignment horizontal="center" vertical="center"/>
      <protection hidden="1"/>
    </xf>
    <xf numFmtId="3" fontId="13" fillId="2" borderId="1" xfId="1" applyNumberFormat="1" applyFont="1" applyFill="1" applyBorder="1" applyAlignment="1" applyProtection="1">
      <alignment horizontal="center" vertical="center"/>
      <protection hidden="1"/>
    </xf>
    <xf numFmtId="164" fontId="15" fillId="2" borderId="1" xfId="1" applyNumberFormat="1" applyFont="1" applyFill="1" applyBorder="1" applyAlignment="1" applyProtection="1">
      <alignment horizontal="center" vertical="center"/>
      <protection hidden="1"/>
    </xf>
    <xf numFmtId="0" fontId="1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/>
      <protection locked="0"/>
    </xf>
    <xf numFmtId="14" fontId="22" fillId="0" borderId="1" xfId="1" applyNumberFormat="1" applyFont="1" applyBorder="1" applyAlignment="1" applyProtection="1">
      <alignment horizontal="center" vertical="center"/>
      <protection hidden="1"/>
    </xf>
    <xf numFmtId="0" fontId="22" fillId="0" borderId="1" xfId="1" applyFont="1" applyBorder="1" applyAlignment="1" applyProtection="1">
      <alignment horizontal="center" vertical="center"/>
      <protection hidden="1"/>
    </xf>
    <xf numFmtId="165" fontId="22" fillId="0" borderId="1" xfId="1" applyNumberFormat="1" applyFont="1" applyBorder="1" applyAlignment="1" applyProtection="1">
      <alignment horizontal="center" vertical="center"/>
      <protection hidden="1"/>
    </xf>
    <xf numFmtId="0" fontId="23" fillId="0" borderId="1" xfId="1" applyFont="1" applyBorder="1" applyAlignment="1" applyProtection="1">
      <alignment horizontal="center" vertical="center"/>
      <protection hidden="1"/>
    </xf>
    <xf numFmtId="0" fontId="22" fillId="0" borderId="1" xfId="1" applyFont="1" applyBorder="1" applyAlignment="1" applyProtection="1">
      <alignment horizontal="left" vertical="center"/>
      <protection hidden="1"/>
    </xf>
    <xf numFmtId="0" fontId="22" fillId="0" borderId="1" xfId="1" applyFont="1" applyBorder="1" applyProtection="1">
      <protection hidden="1"/>
    </xf>
    <xf numFmtId="14" fontId="22" fillId="0" borderId="1" xfId="1" applyNumberFormat="1" applyFont="1" applyBorder="1" applyProtection="1">
      <protection hidden="1"/>
    </xf>
    <xf numFmtId="0" fontId="22" fillId="0" borderId="2" xfId="1" applyFont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left" vertical="center"/>
      <protection hidden="1"/>
    </xf>
    <xf numFmtId="0" fontId="26" fillId="0" borderId="1" xfId="1" applyFont="1" applyBorder="1" applyProtection="1">
      <protection hidden="1"/>
    </xf>
    <xf numFmtId="0" fontId="25" fillId="0" borderId="1" xfId="1" applyFont="1" applyBorder="1" applyAlignment="1" applyProtection="1">
      <alignment vertical="center"/>
      <protection hidden="1"/>
    </xf>
    <xf numFmtId="164" fontId="10" fillId="3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Protection="1">
      <protection locked="0"/>
    </xf>
    <xf numFmtId="0" fontId="16" fillId="0" borderId="0" xfId="1" applyNumberFormat="1" applyFont="1" applyBorder="1" applyAlignment="1" applyProtection="1">
      <alignment horizontal="center" vertical="center"/>
      <protection locked="0"/>
    </xf>
    <xf numFmtId="0" fontId="7" fillId="0" borderId="0" xfId="1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7" fillId="0" borderId="1" xfId="0" applyFont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vertical="center"/>
      <protection locked="0"/>
    </xf>
    <xf numFmtId="0" fontId="26" fillId="0" borderId="4" xfId="0" applyFont="1" applyBorder="1" applyProtection="1">
      <protection hidden="1"/>
    </xf>
    <xf numFmtId="0" fontId="0" fillId="0" borderId="1" xfId="0" applyBorder="1" applyProtection="1">
      <protection locked="0"/>
    </xf>
    <xf numFmtId="164" fontId="10" fillId="0" borderId="0" xfId="1" applyNumberFormat="1" applyFont="1" applyBorder="1" applyAlignment="1" applyProtection="1">
      <alignment horizontal="center" vertical="center"/>
      <protection hidden="1"/>
    </xf>
    <xf numFmtId="164" fontId="3" fillId="0" borderId="0" xfId="1" applyNumberFormat="1" applyFont="1" applyProtection="1">
      <protection locked="0"/>
    </xf>
    <xf numFmtId="165" fontId="30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32" fillId="0" borderId="1" xfId="0" applyFont="1" applyBorder="1" applyAlignment="1" applyProtection="1">
      <alignment vertical="center"/>
      <protection hidden="1"/>
    </xf>
    <xf numFmtId="0" fontId="29" fillId="0" borderId="1" xfId="1" applyNumberFormat="1" applyFont="1" applyBorder="1" applyAlignment="1" applyProtection="1">
      <alignment horizontal="center" vertical="center"/>
      <protection hidden="1"/>
    </xf>
    <xf numFmtId="0" fontId="28" fillId="0" borderId="1" xfId="1" applyNumberFormat="1" applyFont="1" applyBorder="1" applyAlignment="1" applyProtection="1">
      <alignment horizontal="center" vertical="center"/>
      <protection hidden="1"/>
    </xf>
    <xf numFmtId="0" fontId="10" fillId="0" borderId="0" xfId="1" applyFont="1" applyProtection="1">
      <protection hidden="1"/>
    </xf>
    <xf numFmtId="0" fontId="21" fillId="0" borderId="0" xfId="1" applyFont="1" applyAlignment="1" applyProtection="1">
      <alignment vertical="center"/>
      <protection hidden="1"/>
    </xf>
    <xf numFmtId="0" fontId="17" fillId="0" borderId="1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Protection="1">
      <protection hidden="1"/>
    </xf>
    <xf numFmtId="0" fontId="2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2" fillId="0" borderId="0" xfId="1" applyFont="1" applyAlignment="1" applyProtection="1">
      <protection hidden="1"/>
    </xf>
    <xf numFmtId="0" fontId="4" fillId="0" borderId="0" xfId="1" applyFont="1" applyProtection="1"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13" fillId="0" borderId="1" xfId="1" applyFont="1" applyBorder="1" applyAlignment="1" applyProtection="1">
      <alignment horizontal="center" vertical="center"/>
      <protection hidden="1"/>
    </xf>
    <xf numFmtId="0" fontId="12" fillId="0" borderId="1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vertical="center"/>
      <protection hidden="1"/>
    </xf>
    <xf numFmtId="14" fontId="10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1" xfId="1" applyNumberFormat="1" applyFont="1" applyBorder="1" applyAlignment="1" applyProtection="1">
      <alignment horizontal="center" vertical="center"/>
      <protection locked="0"/>
    </xf>
    <xf numFmtId="14" fontId="10" fillId="0" borderId="1" xfId="1" applyNumberFormat="1" applyFont="1" applyBorder="1" applyAlignment="1" applyProtection="1">
      <alignment horizontal="left" vertical="center"/>
      <protection locked="0"/>
    </xf>
    <xf numFmtId="14" fontId="10" fillId="0" borderId="1" xfId="1" applyNumberFormat="1" applyFont="1" applyBorder="1" applyAlignment="1" applyProtection="1">
      <alignment vertical="center"/>
      <protection locked="0"/>
    </xf>
    <xf numFmtId="14" fontId="10" fillId="0" borderId="1" xfId="1" applyNumberFormat="1" applyFont="1" applyBorder="1" applyProtection="1">
      <protection locked="0"/>
    </xf>
    <xf numFmtId="14" fontId="10" fillId="0" borderId="1" xfId="1" applyNumberFormat="1" applyFont="1" applyBorder="1" applyAlignment="1" applyProtection="1">
      <alignment horizontal="left"/>
      <protection locked="0"/>
    </xf>
    <xf numFmtId="14" fontId="10" fillId="0" borderId="1" xfId="1" applyNumberFormat="1" applyFont="1" applyBorder="1" applyAlignment="1" applyProtection="1">
      <protection locked="0"/>
    </xf>
    <xf numFmtId="0" fontId="10" fillId="0" borderId="1" xfId="1" applyFont="1" applyBorder="1" applyProtection="1"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0" fillId="0" borderId="1" xfId="1" applyNumberFormat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/>
      <protection locked="0"/>
    </xf>
    <xf numFmtId="14" fontId="10" fillId="0" borderId="0" xfId="1" applyNumberFormat="1" applyFont="1" applyBorder="1" applyProtection="1">
      <protection locked="0"/>
    </xf>
    <xf numFmtId="14" fontId="10" fillId="0" borderId="0" xfId="1" applyNumberFormat="1" applyFont="1" applyBorder="1" applyAlignment="1" applyProtection="1">
      <alignment horizontal="left"/>
      <protection locked="0"/>
    </xf>
    <xf numFmtId="14" fontId="10" fillId="0" borderId="0" xfId="1" applyNumberFormat="1" applyFont="1" applyBorder="1" applyAlignment="1" applyProtection="1"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Protection="1">
      <protection locked="0"/>
    </xf>
    <xf numFmtId="0" fontId="10" fillId="0" borderId="0" xfId="1" applyFont="1" applyBorder="1" applyAlignment="1" applyProtection="1">
      <alignment horizontal="left"/>
      <protection locked="0"/>
    </xf>
    <xf numFmtId="0" fontId="10" fillId="0" borderId="0" xfId="1" applyNumberFormat="1" applyFont="1" applyBorder="1" applyAlignment="1" applyProtection="1">
      <alignment horizontal="center"/>
      <protection locked="0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0" fillId="0" borderId="0" xfId="1" applyFont="1" applyAlignment="1" applyProtection="1">
      <protection locked="0"/>
    </xf>
    <xf numFmtId="0" fontId="10" fillId="0" borderId="1" xfId="1" applyNumberFormat="1" applyFont="1" applyBorder="1" applyProtection="1">
      <protection locked="0"/>
    </xf>
    <xf numFmtId="0" fontId="10" fillId="0" borderId="1" xfId="1" applyFont="1" applyBorder="1" applyAlignment="1" applyProtection="1">
      <protection locked="0"/>
    </xf>
    <xf numFmtId="0" fontId="0" fillId="0" borderId="0" xfId="0" applyProtection="1">
      <protection hidden="1"/>
    </xf>
    <xf numFmtId="165" fontId="3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1" applyNumberFormat="1" applyFont="1" applyProtection="1">
      <protection hidden="1"/>
    </xf>
    <xf numFmtId="0" fontId="3" fillId="0" borderId="0" xfId="1" applyNumberFormat="1" applyFont="1" applyProtection="1">
      <protection hidden="1"/>
    </xf>
    <xf numFmtId="0" fontId="2" fillId="0" borderId="0" xfId="1" applyNumberFormat="1" applyFont="1" applyAlignment="1" applyProtection="1">
      <protection hidden="1"/>
    </xf>
    <xf numFmtId="0" fontId="4" fillId="0" borderId="0" xfId="1" applyNumberFormat="1" applyFont="1" applyProtection="1">
      <protection hidden="1"/>
    </xf>
    <xf numFmtId="0" fontId="2" fillId="0" borderId="1" xfId="1" applyNumberFormat="1" applyFont="1" applyBorder="1" applyAlignment="1" applyProtection="1">
      <alignment horizontal="center" vertical="center"/>
      <protection hidden="1"/>
    </xf>
    <xf numFmtId="0" fontId="8" fillId="0" borderId="0" xfId="1" applyNumberFormat="1" applyFont="1" applyAlignment="1" applyProtection="1">
      <protection hidden="1"/>
    </xf>
    <xf numFmtId="0" fontId="9" fillId="0" borderId="0" xfId="1" applyNumberFormat="1" applyFont="1" applyAlignment="1" applyProtection="1">
      <alignment horizontal="center"/>
      <protection hidden="1"/>
    </xf>
    <xf numFmtId="166" fontId="7" fillId="0" borderId="0" xfId="1" applyNumberFormat="1" applyFont="1" applyAlignment="1" applyProtection="1">
      <alignment horizontal="left"/>
      <protection hidden="1"/>
    </xf>
    <xf numFmtId="0" fontId="9" fillId="0" borderId="0" xfId="1" applyNumberFormat="1" applyFont="1" applyAlignment="1" applyProtection="1">
      <alignment horizontal="center" vertical="center"/>
      <protection hidden="1"/>
    </xf>
    <xf numFmtId="0" fontId="10" fillId="0" borderId="0" xfId="1" applyNumberFormat="1" applyFont="1" applyProtection="1">
      <protection hidden="1"/>
    </xf>
    <xf numFmtId="0" fontId="12" fillId="0" borderId="1" xfId="1" applyNumberFormat="1" applyFont="1" applyBorder="1" applyAlignment="1" applyProtection="1">
      <alignment horizontal="center" vertical="center"/>
      <protection hidden="1"/>
    </xf>
    <xf numFmtId="0" fontId="13" fillId="0" borderId="1" xfId="1" applyNumberFormat="1" applyFont="1" applyBorder="1" applyAlignment="1" applyProtection="1">
      <alignment horizontal="center" vertical="center"/>
      <protection hidden="1"/>
    </xf>
    <xf numFmtId="0" fontId="12" fillId="0" borderId="1" xfId="1" applyNumberFormat="1" applyFont="1" applyBorder="1" applyAlignment="1" applyProtection="1">
      <alignment horizontal="left" vertical="center"/>
      <protection hidden="1"/>
    </xf>
    <xf numFmtId="3" fontId="12" fillId="0" borderId="1" xfId="1" applyNumberFormat="1" applyFont="1" applyBorder="1" applyAlignment="1" applyProtection="1">
      <alignment horizontal="center" vertical="center"/>
      <protection hidden="1"/>
    </xf>
    <xf numFmtId="0" fontId="14" fillId="0" borderId="0" xfId="1" applyNumberFormat="1" applyFont="1" applyProtection="1">
      <protection hidden="1"/>
    </xf>
    <xf numFmtId="0" fontId="32" fillId="5" borderId="1" xfId="0" applyFont="1" applyFill="1" applyBorder="1" applyAlignment="1" applyProtection="1">
      <alignment vertical="center"/>
      <protection hidden="1"/>
    </xf>
    <xf numFmtId="165" fontId="32" fillId="5" borderId="1" xfId="0" applyNumberFormat="1" applyFont="1" applyFill="1" applyBorder="1" applyAlignment="1" applyProtection="1">
      <alignment horizontal="center" vertical="center"/>
      <protection hidden="1"/>
    </xf>
    <xf numFmtId="165" fontId="30" fillId="5" borderId="1" xfId="0" applyNumberFormat="1" applyFont="1" applyFill="1" applyBorder="1" applyAlignment="1" applyProtection="1">
      <alignment horizontal="center" vertical="center"/>
      <protection hidden="1"/>
    </xf>
    <xf numFmtId="0" fontId="34" fillId="4" borderId="1" xfId="0" applyFont="1" applyFill="1" applyBorder="1" applyAlignment="1" applyProtection="1">
      <alignment horizontal="left" vertical="center"/>
      <protection hidden="1"/>
    </xf>
    <xf numFmtId="165" fontId="35" fillId="4" borderId="1" xfId="0" applyNumberFormat="1" applyFont="1" applyFill="1" applyBorder="1" applyAlignment="1" applyProtection="1">
      <alignment horizontal="center" vertical="center"/>
      <protection hidden="1"/>
    </xf>
    <xf numFmtId="165" fontId="34" fillId="4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lef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10" fillId="0" borderId="9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/>
      <protection hidden="1"/>
    </xf>
    <xf numFmtId="0" fontId="10" fillId="0" borderId="0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horizontal="left" vertical="center" wrapText="1"/>
      <protection hidden="1"/>
    </xf>
    <xf numFmtId="165" fontId="0" fillId="0" borderId="0" xfId="0" applyNumberFormat="1" applyProtection="1">
      <protection locked="0"/>
    </xf>
    <xf numFmtId="164" fontId="10" fillId="0" borderId="0" xfId="1" applyNumberFormat="1" applyFont="1" applyProtection="1">
      <protection locked="0"/>
    </xf>
    <xf numFmtId="14" fontId="10" fillId="0" borderId="1" xfId="1" applyNumberFormat="1" applyFont="1" applyBorder="1" applyAlignment="1" applyProtection="1">
      <alignment horizontal="center"/>
      <protection locked="0"/>
    </xf>
    <xf numFmtId="0" fontId="38" fillId="7" borderId="1" xfId="0" applyFont="1" applyFill="1" applyBorder="1" applyAlignment="1" applyProtection="1">
      <alignment vertical="center"/>
      <protection hidden="1"/>
    </xf>
    <xf numFmtId="0" fontId="39" fillId="7" borderId="1" xfId="0" applyFont="1" applyFill="1" applyBorder="1" applyAlignment="1" applyProtection="1">
      <alignment vertical="center"/>
      <protection hidden="1"/>
    </xf>
    <xf numFmtId="0" fontId="38" fillId="3" borderId="1" xfId="0" applyFont="1" applyFill="1" applyBorder="1" applyAlignment="1" applyProtection="1">
      <alignment vertical="center"/>
      <protection hidden="1"/>
    </xf>
    <xf numFmtId="0" fontId="39" fillId="3" borderId="1" xfId="0" applyFont="1" applyFill="1" applyBorder="1" applyAlignment="1" applyProtection="1">
      <alignment vertical="center"/>
      <protection hidden="1"/>
    </xf>
    <xf numFmtId="0" fontId="39" fillId="7" borderId="1" xfId="0" applyFont="1" applyFill="1" applyBorder="1" applyAlignment="1" applyProtection="1">
      <alignment horizontal="left" vertical="center"/>
      <protection hidden="1"/>
    </xf>
    <xf numFmtId="165" fontId="38" fillId="7" borderId="1" xfId="0" applyNumberFormat="1" applyFont="1" applyFill="1" applyBorder="1" applyAlignment="1" applyProtection="1">
      <alignment horizontal="center" vertical="center"/>
      <protection hidden="1"/>
    </xf>
    <xf numFmtId="165" fontId="39" fillId="7" borderId="1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Protection="1">
      <protection locked="0"/>
    </xf>
    <xf numFmtId="165" fontId="38" fillId="3" borderId="1" xfId="0" applyNumberFormat="1" applyFont="1" applyFill="1" applyBorder="1" applyAlignment="1" applyProtection="1">
      <alignment horizontal="center" vertical="center"/>
      <protection hidden="1"/>
    </xf>
    <xf numFmtId="165" fontId="39" fillId="3" borderId="1" xfId="0" applyNumberFormat="1" applyFont="1" applyFill="1" applyBorder="1" applyAlignment="1" applyProtection="1">
      <alignment horizontal="center" vertical="center"/>
      <protection hidden="1"/>
    </xf>
    <xf numFmtId="165" fontId="40" fillId="7" borderId="1" xfId="0" applyNumberFormat="1" applyFont="1" applyFill="1" applyBorder="1" applyAlignment="1" applyProtection="1">
      <alignment horizontal="center" vertical="center"/>
      <protection hidden="1"/>
    </xf>
    <xf numFmtId="165" fontId="41" fillId="7" borderId="1" xfId="0" applyNumberFormat="1" applyFont="1" applyFill="1" applyBorder="1" applyAlignment="1" applyProtection="1">
      <alignment horizontal="center" vertical="center"/>
      <protection hidden="1"/>
    </xf>
    <xf numFmtId="0" fontId="37" fillId="6" borderId="1" xfId="1" applyNumberFormat="1" applyFont="1" applyFill="1" applyBorder="1" applyAlignment="1" applyProtection="1">
      <alignment horizontal="center" vertical="center"/>
      <protection hidden="1"/>
    </xf>
    <xf numFmtId="0" fontId="36" fillId="6" borderId="1" xfId="1" applyNumberFormat="1" applyFont="1" applyFill="1" applyBorder="1" applyAlignment="1" applyProtection="1">
      <alignment horizontal="center" vertical="center"/>
      <protection hidden="1"/>
    </xf>
    <xf numFmtId="165" fontId="10" fillId="0" borderId="0" xfId="1" applyNumberFormat="1" applyFont="1" applyProtection="1">
      <protection locked="0"/>
    </xf>
    <xf numFmtId="0" fontId="10" fillId="0" borderId="0" xfId="1" applyFont="1" applyAlignment="1" applyProtection="1">
      <alignment horizontal="center"/>
      <protection hidden="1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locked="0"/>
    </xf>
    <xf numFmtId="14" fontId="43" fillId="0" borderId="1" xfId="1" applyNumberFormat="1" applyFont="1" applyBorder="1" applyAlignment="1" applyProtection="1">
      <alignment horizontal="center" vertical="center"/>
      <protection locked="0"/>
    </xf>
    <xf numFmtId="0" fontId="43" fillId="0" borderId="1" xfId="1" applyFont="1" applyBorder="1" applyAlignment="1" applyProtection="1">
      <alignment horizontal="left" vertical="center"/>
      <protection locked="0"/>
    </xf>
    <xf numFmtId="0" fontId="43" fillId="0" borderId="1" xfId="1" applyFont="1" applyBorder="1" applyAlignment="1" applyProtection="1">
      <alignment vertical="center"/>
      <protection locked="0"/>
    </xf>
    <xf numFmtId="0" fontId="43" fillId="0" borderId="1" xfId="1" applyFont="1" applyBorder="1" applyAlignment="1" applyProtection="1">
      <alignment horizontal="center" vertical="center"/>
      <protection locked="0"/>
    </xf>
    <xf numFmtId="0" fontId="43" fillId="0" borderId="1" xfId="1" applyNumberFormat="1" applyFont="1" applyBorder="1" applyAlignment="1" applyProtection="1">
      <alignment horizontal="center" vertical="center"/>
      <protection locked="0"/>
    </xf>
    <xf numFmtId="164" fontId="43" fillId="0" borderId="1" xfId="1" applyNumberFormat="1" applyFont="1" applyBorder="1" applyAlignment="1" applyProtection="1">
      <alignment horizontal="center" vertical="center"/>
      <protection hidden="1"/>
    </xf>
    <xf numFmtId="14" fontId="43" fillId="0" borderId="1" xfId="1" applyNumberFormat="1" applyFont="1" applyBorder="1" applyAlignment="1" applyProtection="1">
      <alignment horizontal="left" vertical="center"/>
      <protection locked="0"/>
    </xf>
    <xf numFmtId="0" fontId="44" fillId="0" borderId="1" xfId="1" applyFont="1" applyBorder="1" applyAlignment="1" applyProtection="1">
      <alignment horizontal="center" vertical="center" wrapText="1"/>
      <protection hidden="1"/>
    </xf>
    <xf numFmtId="14" fontId="10" fillId="8" borderId="1" xfId="1" applyNumberFormat="1" applyFont="1" applyFill="1" applyBorder="1" applyAlignment="1" applyProtection="1">
      <alignment horizontal="center" vertical="center"/>
      <protection locked="0"/>
    </xf>
    <xf numFmtId="14" fontId="10" fillId="8" borderId="1" xfId="1" applyNumberFormat="1" applyFont="1" applyFill="1" applyBorder="1" applyAlignment="1" applyProtection="1">
      <alignment horizontal="left"/>
      <protection locked="0"/>
    </xf>
    <xf numFmtId="14" fontId="10" fillId="8" borderId="1" xfId="1" applyNumberFormat="1" applyFont="1" applyFill="1" applyBorder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/>
      <protection locked="0"/>
    </xf>
    <xf numFmtId="0" fontId="10" fillId="8" borderId="1" xfId="1" applyFont="1" applyFill="1" applyBorder="1" applyProtection="1">
      <protection locked="0"/>
    </xf>
    <xf numFmtId="0" fontId="10" fillId="8" borderId="1" xfId="1" applyFont="1" applyFill="1" applyBorder="1" applyAlignment="1" applyProtection="1">
      <alignment horizontal="left"/>
      <protection locked="0"/>
    </xf>
    <xf numFmtId="0" fontId="10" fillId="8" borderId="1" xfId="1" applyFont="1" applyFill="1" applyBorder="1" applyAlignment="1" applyProtection="1">
      <alignment horizontal="left" vertical="center" wrapText="1"/>
      <protection hidden="1"/>
    </xf>
    <xf numFmtId="0" fontId="10" fillId="8" borderId="1" xfId="1" applyNumberFormat="1" applyFont="1" applyFill="1" applyBorder="1" applyAlignment="1" applyProtection="1">
      <alignment horizontal="center"/>
      <protection locked="0"/>
    </xf>
    <xf numFmtId="0" fontId="10" fillId="8" borderId="1" xfId="1" applyNumberFormat="1" applyFont="1" applyFill="1" applyBorder="1" applyAlignment="1" applyProtection="1">
      <alignment horizontal="center" vertical="center"/>
      <protection locked="0"/>
    </xf>
    <xf numFmtId="164" fontId="10" fillId="8" borderId="1" xfId="1" applyNumberFormat="1" applyFont="1" applyFill="1" applyBorder="1" applyAlignment="1" applyProtection="1">
      <alignment horizontal="center" vertical="center"/>
      <protection hidden="1"/>
    </xf>
    <xf numFmtId="0" fontId="25" fillId="0" borderId="1" xfId="1" applyFont="1" applyBorder="1" applyAlignment="1" applyProtection="1">
      <alignment horizontal="center" vertical="center"/>
      <protection hidden="1"/>
    </xf>
    <xf numFmtId="164" fontId="26" fillId="0" borderId="1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0" fontId="48" fillId="9" borderId="1" xfId="1" applyFont="1" applyFill="1" applyBorder="1" applyAlignment="1" applyProtection="1">
      <alignment horizontal="left" vertical="center"/>
      <protection hidden="1"/>
    </xf>
    <xf numFmtId="164" fontId="48" fillId="9" borderId="1" xfId="1" applyNumberFormat="1" applyFont="1" applyFill="1" applyBorder="1" applyAlignment="1" applyProtection="1">
      <alignment horizontal="center" vertical="center"/>
      <protection hidden="1"/>
    </xf>
    <xf numFmtId="164" fontId="26" fillId="9" borderId="1" xfId="1" applyNumberFormat="1" applyFont="1" applyFill="1" applyBorder="1" applyAlignment="1" applyProtection="1">
      <alignment horizontal="center" vertical="center"/>
      <protection hidden="1"/>
    </xf>
    <xf numFmtId="0" fontId="25" fillId="9" borderId="1" xfId="1" applyFont="1" applyFill="1" applyBorder="1" applyAlignment="1" applyProtection="1">
      <alignment horizontal="left" vertical="center"/>
      <protection hidden="1"/>
    </xf>
    <xf numFmtId="0" fontId="25" fillId="3" borderId="1" xfId="1" applyFont="1" applyFill="1" applyBorder="1" applyAlignment="1" applyProtection="1">
      <alignment horizontal="left" vertical="center"/>
      <protection hidden="1"/>
    </xf>
    <xf numFmtId="164" fontId="26" fillId="3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5" fillId="0" borderId="0" xfId="1" applyNumberFormat="1" applyFont="1" applyAlignment="1" applyProtection="1">
      <alignment horizontal="center" vertical="center"/>
      <protection hidden="1"/>
    </xf>
    <xf numFmtId="3" fontId="3" fillId="0" borderId="0" xfId="1" applyNumberFormat="1" applyFont="1" applyProtection="1">
      <protection locked="0"/>
    </xf>
    <xf numFmtId="0" fontId="50" fillId="0" borderId="1" xfId="1" applyNumberFormat="1" applyFont="1" applyBorder="1" applyAlignment="1" applyProtection="1">
      <alignment vertical="center"/>
      <protection hidden="1"/>
    </xf>
    <xf numFmtId="3" fontId="51" fillId="0" borderId="1" xfId="1" applyNumberFormat="1" applyFont="1" applyBorder="1" applyAlignment="1" applyProtection="1">
      <alignment horizontal="center" vertical="center"/>
      <protection hidden="1"/>
    </xf>
    <xf numFmtId="164" fontId="3" fillId="0" borderId="1" xfId="1" applyNumberFormat="1" applyFont="1" applyBorder="1" applyAlignment="1" applyProtection="1">
      <alignment horizontal="center" vertical="center"/>
      <protection hidden="1"/>
    </xf>
    <xf numFmtId="164" fontId="17" fillId="0" borderId="1" xfId="1" applyNumberFormat="1" applyFont="1" applyBorder="1" applyAlignment="1" applyProtection="1">
      <alignment horizontal="center" vertical="center"/>
      <protection hidden="1"/>
    </xf>
    <xf numFmtId="3" fontId="51" fillId="2" borderId="1" xfId="1" applyNumberFormat="1" applyFont="1" applyFill="1" applyBorder="1" applyAlignment="1" applyProtection="1">
      <alignment horizontal="center" vertical="center"/>
      <protection hidden="1"/>
    </xf>
    <xf numFmtId="164" fontId="17" fillId="2" borderId="1" xfId="1" applyNumberFormat="1" applyFont="1" applyFill="1" applyBorder="1" applyAlignment="1" applyProtection="1">
      <alignment horizontal="center" vertical="center"/>
      <protection hidden="1"/>
    </xf>
    <xf numFmtId="0" fontId="16" fillId="0" borderId="1" xfId="1" applyNumberFormat="1" applyFont="1" applyBorder="1" applyAlignment="1" applyProtection="1">
      <alignment horizontal="center" vertical="center"/>
      <protection hidden="1"/>
    </xf>
    <xf numFmtId="0" fontId="49" fillId="0" borderId="1" xfId="1" applyNumberFormat="1" applyFont="1" applyBorder="1" applyAlignment="1" applyProtection="1">
      <alignment horizontal="center" vertical="center"/>
      <protection hidden="1"/>
    </xf>
    <xf numFmtId="0" fontId="50" fillId="0" borderId="1" xfId="1" applyNumberFormat="1" applyFont="1" applyBorder="1" applyAlignment="1" applyProtection="1">
      <alignment horizontal="center" vertical="center"/>
      <protection hidden="1"/>
    </xf>
    <xf numFmtId="0" fontId="47" fillId="0" borderId="4" xfId="1" applyNumberFormat="1" applyFont="1" applyBorder="1" applyAlignment="1" applyProtection="1">
      <alignment horizontal="center" vertical="center"/>
      <protection hidden="1"/>
    </xf>
    <xf numFmtId="0" fontId="50" fillId="0" borderId="0" xfId="1" applyNumberFormat="1" applyFont="1" applyAlignment="1" applyProtection="1">
      <alignment vertical="center"/>
      <protection hidden="1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0" fontId="17" fillId="0" borderId="1" xfId="1" applyNumberFormat="1" applyFont="1" applyBorder="1" applyAlignment="1" applyProtection="1">
      <alignment horizontal="center" vertical="center"/>
      <protection locked="0"/>
    </xf>
    <xf numFmtId="3" fontId="17" fillId="0" borderId="1" xfId="1" applyNumberFormat="1" applyFont="1" applyBorder="1" applyAlignment="1" applyProtection="1">
      <alignment horizontal="center" vertical="center"/>
      <protection locked="0"/>
    </xf>
    <xf numFmtId="3" fontId="17" fillId="8" borderId="1" xfId="1" applyNumberFormat="1" applyFont="1" applyFill="1" applyBorder="1" applyAlignment="1" applyProtection="1">
      <alignment horizontal="center" vertical="center"/>
      <protection locked="0"/>
    </xf>
    <xf numFmtId="0" fontId="50" fillId="8" borderId="1" xfId="1" applyNumberFormat="1" applyFont="1" applyFill="1" applyBorder="1" applyAlignment="1" applyProtection="1">
      <alignment horizontal="center" vertical="center"/>
      <protection hidden="1"/>
    </xf>
    <xf numFmtId="0" fontId="50" fillId="8" borderId="1" xfId="1" applyNumberFormat="1" applyFont="1" applyFill="1" applyBorder="1" applyAlignment="1" applyProtection="1">
      <alignment vertical="center"/>
      <protection hidden="1"/>
    </xf>
    <xf numFmtId="3" fontId="51" fillId="8" borderId="1" xfId="1" applyNumberFormat="1" applyFont="1" applyFill="1" applyBorder="1" applyAlignment="1" applyProtection="1">
      <alignment horizontal="center" vertical="center"/>
      <protection hidden="1"/>
    </xf>
    <xf numFmtId="164" fontId="3" fillId="8" borderId="1" xfId="1" applyNumberFormat="1" applyFont="1" applyFill="1" applyBorder="1" applyAlignment="1" applyProtection="1">
      <alignment horizontal="center" vertical="center"/>
      <protection hidden="1"/>
    </xf>
    <xf numFmtId="164" fontId="17" fillId="8" borderId="1" xfId="1" applyNumberFormat="1" applyFont="1" applyFill="1" applyBorder="1" applyAlignment="1" applyProtection="1">
      <alignment horizontal="center" vertical="center"/>
      <protection hidden="1"/>
    </xf>
    <xf numFmtId="0" fontId="3" fillId="8" borderId="1" xfId="1" applyNumberFormat="1" applyFont="1" applyFill="1" applyBorder="1" applyAlignment="1" applyProtection="1">
      <alignment horizontal="center" vertical="center"/>
      <protection locked="0"/>
    </xf>
    <xf numFmtId="0" fontId="50" fillId="8" borderId="0" xfId="1" applyNumberFormat="1" applyFont="1" applyFill="1" applyAlignment="1" applyProtection="1">
      <alignment vertical="center"/>
      <protection hidden="1"/>
    </xf>
    <xf numFmtId="0" fontId="29" fillId="0" borderId="1" xfId="1" applyNumberFormat="1" applyFont="1" applyBorder="1" applyAlignment="1" applyProtection="1">
      <alignment vertical="center"/>
      <protection hidden="1"/>
    </xf>
    <xf numFmtId="164" fontId="29" fillId="0" borderId="1" xfId="1" applyNumberFormat="1" applyFont="1" applyBorder="1" applyAlignment="1" applyProtection="1">
      <alignment horizontal="center" vertical="center"/>
      <protection hidden="1"/>
    </xf>
    <xf numFmtId="164" fontId="28" fillId="0" borderId="1" xfId="1" applyNumberFormat="1" applyFont="1" applyBorder="1" applyAlignment="1" applyProtection="1">
      <alignment horizontal="center" vertical="center"/>
      <protection hidden="1"/>
    </xf>
    <xf numFmtId="164" fontId="28" fillId="2" borderId="1" xfId="1" applyNumberFormat="1" applyFont="1" applyFill="1" applyBorder="1" applyAlignment="1" applyProtection="1">
      <alignment horizontal="center" vertical="center"/>
      <protection hidden="1"/>
    </xf>
    <xf numFmtId="0" fontId="37" fillId="0" borderId="1" xfId="1" applyNumberFormat="1" applyFont="1" applyBorder="1" applyAlignment="1" applyProtection="1">
      <alignment horizontal="center" vertical="center"/>
      <protection hidden="1"/>
    </xf>
    <xf numFmtId="0" fontId="36" fillId="0" borderId="1" xfId="1" applyNumberFormat="1" applyFont="1" applyBorder="1" applyAlignment="1" applyProtection="1">
      <alignment horizontal="center" vertical="center"/>
      <protection hidden="1"/>
    </xf>
    <xf numFmtId="0" fontId="52" fillId="0" borderId="0" xfId="1" applyNumberFormat="1" applyFont="1" applyAlignment="1" applyProtection="1">
      <alignment horizontal="center" wrapText="1"/>
      <protection hidden="1"/>
    </xf>
    <xf numFmtId="0" fontId="5" fillId="0" borderId="0" xfId="1" applyNumberFormat="1" applyFont="1" applyAlignment="1" applyProtection="1">
      <alignment horizontal="center" vertical="center"/>
      <protection hidden="1"/>
    </xf>
    <xf numFmtId="0" fontId="28" fillId="2" borderId="4" xfId="1" applyNumberFormat="1" applyFont="1" applyFill="1" applyBorder="1" applyAlignment="1" applyProtection="1">
      <alignment horizontal="center" vertical="center"/>
      <protection hidden="1"/>
    </xf>
    <xf numFmtId="164" fontId="37" fillId="0" borderId="1" xfId="1" applyNumberFormat="1" applyFont="1" applyBorder="1" applyAlignment="1" applyProtection="1">
      <alignment horizontal="center" vertical="center"/>
      <protection hidden="1"/>
    </xf>
    <xf numFmtId="164" fontId="36" fillId="0" borderId="1" xfId="1" applyNumberFormat="1" applyFont="1" applyBorder="1" applyAlignment="1" applyProtection="1">
      <alignment horizontal="center" vertical="center"/>
      <protection hidden="1"/>
    </xf>
    <xf numFmtId="164" fontId="36" fillId="2" borderId="1" xfId="1" applyNumberFormat="1" applyFont="1" applyFill="1" applyBorder="1" applyAlignment="1" applyProtection="1">
      <alignment horizontal="center" vertical="center"/>
      <protection hidden="1"/>
    </xf>
    <xf numFmtId="0" fontId="50" fillId="6" borderId="1" xfId="1" applyNumberFormat="1" applyFont="1" applyFill="1" applyBorder="1" applyAlignment="1" applyProtection="1">
      <alignment horizontal="center" vertical="center"/>
      <protection hidden="1"/>
    </xf>
    <xf numFmtId="0" fontId="50" fillId="6" borderId="1" xfId="1" applyNumberFormat="1" applyFont="1" applyFill="1" applyBorder="1" applyAlignment="1" applyProtection="1">
      <alignment vertical="center"/>
      <protection hidden="1"/>
    </xf>
    <xf numFmtId="3" fontId="51" fillId="6" borderId="1" xfId="1" applyNumberFormat="1" applyFont="1" applyFill="1" applyBorder="1" applyAlignment="1" applyProtection="1">
      <alignment horizontal="center" vertical="center"/>
      <protection hidden="1"/>
    </xf>
    <xf numFmtId="164" fontId="3" fillId="6" borderId="1" xfId="1" applyNumberFormat="1" applyFont="1" applyFill="1" applyBorder="1" applyAlignment="1" applyProtection="1">
      <alignment horizontal="center" vertical="center"/>
      <protection hidden="1"/>
    </xf>
    <xf numFmtId="164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50" fillId="6" borderId="0" xfId="1" applyNumberFormat="1" applyFont="1" applyFill="1" applyAlignment="1" applyProtection="1">
      <alignment vertical="center"/>
      <protection hidden="1"/>
    </xf>
    <xf numFmtId="0" fontId="29" fillId="0" borderId="1" xfId="1" applyNumberFormat="1" applyFont="1" applyBorder="1" applyAlignment="1" applyProtection="1">
      <alignment vertical="center" wrapText="1"/>
      <protection hidden="1"/>
    </xf>
    <xf numFmtId="0" fontId="25" fillId="0" borderId="1" xfId="1" applyNumberFormat="1" applyFont="1" applyBorder="1" applyAlignment="1" applyProtection="1">
      <alignment horizontal="center" vertical="center" wrapText="1"/>
      <protection hidden="1"/>
    </xf>
    <xf numFmtId="0" fontId="54" fillId="0" borderId="1" xfId="0" applyFont="1" applyBorder="1" applyAlignment="1">
      <alignment horizontal="center" vertical="center"/>
    </xf>
    <xf numFmtId="167" fontId="54" fillId="0" borderId="1" xfId="0" applyNumberFormat="1" applyFont="1" applyBorder="1" applyAlignment="1">
      <alignment horizontal="center" vertical="center"/>
    </xf>
    <xf numFmtId="168" fontId="54" fillId="0" borderId="1" xfId="0" applyNumberFormat="1" applyFont="1" applyBorder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/>
      <protection hidden="1"/>
    </xf>
    <xf numFmtId="0" fontId="50" fillId="0" borderId="1" xfId="1" applyNumberFormat="1" applyFont="1" applyBorder="1" applyAlignment="1" applyProtection="1">
      <alignment horizontal="left" vertical="center"/>
      <protection hidden="1"/>
    </xf>
    <xf numFmtId="3" fontId="50" fillId="0" borderId="1" xfId="1" applyNumberFormat="1" applyFont="1" applyBorder="1" applyAlignment="1" applyProtection="1">
      <alignment horizontal="center" vertical="center"/>
      <protection hidden="1"/>
    </xf>
    <xf numFmtId="0" fontId="51" fillId="0" borderId="1" xfId="1" applyNumberFormat="1" applyFont="1" applyBorder="1" applyAlignment="1" applyProtection="1">
      <alignment horizontal="center" vertical="center"/>
      <protection hidden="1"/>
    </xf>
    <xf numFmtId="0" fontId="2" fillId="0" borderId="0" xfId="1" applyNumberFormat="1" applyFont="1" applyProtection="1">
      <protection locked="0"/>
    </xf>
    <xf numFmtId="0" fontId="2" fillId="0" borderId="0" xfId="1" applyNumberFormat="1" applyFont="1" applyAlignment="1" applyProtection="1">
      <protection locked="0"/>
    </xf>
    <xf numFmtId="0" fontId="4" fillId="0" borderId="0" xfId="1" applyNumberFormat="1" applyFont="1" applyProtection="1">
      <protection locked="0"/>
    </xf>
    <xf numFmtId="0" fontId="5" fillId="0" borderId="0" xfId="1" applyNumberFormat="1" applyFont="1" applyAlignment="1" applyProtection="1">
      <alignment horizontal="center" vertical="center"/>
      <protection locked="0"/>
    </xf>
    <xf numFmtId="0" fontId="8" fillId="0" borderId="0" xfId="1" applyNumberFormat="1" applyFont="1" applyAlignment="1" applyProtection="1">
      <protection locked="0"/>
    </xf>
    <xf numFmtId="0" fontId="9" fillId="0" borderId="0" xfId="1" applyNumberFormat="1" applyFont="1" applyAlignment="1" applyProtection="1">
      <alignment horizontal="center"/>
      <protection locked="0"/>
    </xf>
    <xf numFmtId="0" fontId="9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NumberFormat="1" applyFont="1" applyProtection="1">
      <protection locked="0"/>
    </xf>
    <xf numFmtId="169" fontId="7" fillId="0" borderId="0" xfId="1" applyNumberFormat="1" applyFont="1" applyAlignment="1" applyProtection="1">
      <alignment horizontal="left"/>
      <protection locked="0"/>
    </xf>
    <xf numFmtId="0" fontId="5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NumberFormat="1" applyFont="1" applyBorder="1" applyAlignment="1" applyProtection="1">
      <alignment horizontal="center" vertical="center"/>
      <protection locked="0"/>
    </xf>
    <xf numFmtId="0" fontId="49" fillId="0" borderId="1" xfId="1" applyNumberFormat="1" applyFont="1" applyBorder="1" applyAlignment="1" applyProtection="1">
      <alignment horizontal="center" vertical="center"/>
      <protection locked="0"/>
    </xf>
    <xf numFmtId="0" fontId="49" fillId="0" borderId="1" xfId="1" applyNumberFormat="1" applyFont="1" applyBorder="1" applyAlignment="1" applyProtection="1">
      <alignment horizontal="left" vertical="center"/>
      <protection locked="0"/>
    </xf>
    <xf numFmtId="3" fontId="49" fillId="0" borderId="1" xfId="1" applyNumberFormat="1" applyFont="1" applyBorder="1" applyAlignment="1" applyProtection="1">
      <alignment horizontal="center" vertical="center"/>
      <protection locked="0"/>
    </xf>
    <xf numFmtId="3" fontId="16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0" fontId="49" fillId="0" borderId="5" xfId="1" applyNumberFormat="1" applyFont="1" applyBorder="1" applyAlignment="1" applyProtection="1">
      <alignment vertical="center"/>
      <protection locked="0"/>
    </xf>
    <xf numFmtId="3" fontId="16" fillId="2" borderId="1" xfId="1" applyNumberFormat="1" applyFont="1" applyFill="1" applyBorder="1" applyAlignment="1" applyProtection="1">
      <alignment horizontal="center" vertical="center"/>
      <protection hidden="1"/>
    </xf>
    <xf numFmtId="164" fontId="7" fillId="2" borderId="1" xfId="1" applyNumberFormat="1" applyFont="1" applyFill="1" applyBorder="1" applyAlignment="1" applyProtection="1">
      <alignment horizontal="center" vertical="center"/>
      <protection hidden="1"/>
    </xf>
    <xf numFmtId="0" fontId="57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0" fontId="47" fillId="0" borderId="5" xfId="1" applyNumberFormat="1" applyFont="1" applyBorder="1" applyAlignment="1" applyProtection="1">
      <alignment horizontal="center" vertical="center"/>
      <protection hidden="1"/>
    </xf>
    <xf numFmtId="0" fontId="58" fillId="0" borderId="0" xfId="0" applyFont="1"/>
    <xf numFmtId="0" fontId="59" fillId="0" borderId="0" xfId="0" applyFont="1"/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3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3" fontId="60" fillId="0" borderId="1" xfId="0" applyNumberFormat="1" applyFont="1" applyBorder="1" applyAlignment="1">
      <alignment horizontal="center" vertical="center"/>
    </xf>
    <xf numFmtId="4" fontId="60" fillId="0" borderId="1" xfId="0" applyNumberFormat="1" applyFont="1" applyBorder="1" applyAlignment="1">
      <alignment horizontal="center" vertical="center"/>
    </xf>
    <xf numFmtId="0" fontId="62" fillId="0" borderId="0" xfId="0" applyFont="1"/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64" fillId="0" borderId="1" xfId="0" applyFont="1" applyBorder="1"/>
    <xf numFmtId="0" fontId="59" fillId="10" borderId="1" xfId="0" applyFont="1" applyFill="1" applyBorder="1" applyAlignment="1">
      <alignment horizontal="center"/>
    </xf>
    <xf numFmtId="0" fontId="59" fillId="10" borderId="1" xfId="0" applyFont="1" applyFill="1" applyBorder="1" applyAlignment="1">
      <alignment horizontal="center" wrapText="1"/>
    </xf>
    <xf numFmtId="0" fontId="67" fillId="0" borderId="1" xfId="0" applyFont="1" applyBorder="1"/>
    <xf numFmtId="164" fontId="64" fillId="0" borderId="1" xfId="0" applyNumberFormat="1" applyFont="1" applyBorder="1" applyAlignment="1">
      <alignment horizontal="center" vertical="center"/>
    </xf>
    <xf numFmtId="164" fontId="68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65" fontId="68" fillId="0" borderId="1" xfId="0" applyNumberFormat="1" applyFont="1" applyBorder="1" applyAlignment="1">
      <alignment horizontal="center" vertical="center"/>
    </xf>
    <xf numFmtId="0" fontId="67" fillId="0" borderId="0" xfId="0" applyFont="1"/>
    <xf numFmtId="0" fontId="68" fillId="0" borderId="1" xfId="0" applyFont="1" applyBorder="1" applyAlignment="1">
      <alignment horizontal="center" vertical="center"/>
    </xf>
    <xf numFmtId="4" fontId="66" fillId="11" borderId="1" xfId="0" applyNumberFormat="1" applyFont="1" applyFill="1" applyBorder="1" applyAlignment="1">
      <alignment horizontal="center"/>
    </xf>
    <xf numFmtId="0" fontId="66" fillId="11" borderId="1" xfId="0" applyFont="1" applyFill="1" applyBorder="1" applyAlignment="1">
      <alignment horizontal="center"/>
    </xf>
    <xf numFmtId="0" fontId="66" fillId="11" borderId="1" xfId="0" applyFont="1" applyFill="1" applyBorder="1" applyAlignment="1">
      <alignment horizontal="center" wrapText="1"/>
    </xf>
    <xf numFmtId="4" fontId="66" fillId="11" borderId="1" xfId="0" applyNumberFormat="1" applyFont="1" applyFill="1" applyBorder="1" applyAlignment="1">
      <alignment horizontal="center" wrapText="1"/>
    </xf>
    <xf numFmtId="0" fontId="69" fillId="10" borderId="1" xfId="0" applyFont="1" applyFill="1" applyBorder="1" applyAlignment="1"/>
    <xf numFmtId="0" fontId="69" fillId="10" borderId="1" xfId="0" applyFont="1" applyFill="1" applyBorder="1" applyAlignment="1">
      <alignment wrapText="1"/>
    </xf>
    <xf numFmtId="0" fontId="69" fillId="10" borderId="1" xfId="0" applyFont="1" applyFill="1" applyBorder="1"/>
    <xf numFmtId="0" fontId="68" fillId="0" borderId="3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wrapText="1"/>
    </xf>
    <xf numFmtId="0" fontId="59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 wrapText="1"/>
    </xf>
    <xf numFmtId="0" fontId="66" fillId="11" borderId="1" xfId="0" applyFont="1" applyFill="1" applyBorder="1" applyAlignment="1">
      <alignment wrapText="1"/>
    </xf>
    <xf numFmtId="0" fontId="64" fillId="0" borderId="1" xfId="0" applyFont="1" applyBorder="1" applyAlignment="1">
      <alignment horizontal="center" vertical="center" wrapText="1"/>
    </xf>
    <xf numFmtId="0" fontId="5" fillId="0" borderId="0" xfId="1" applyNumberFormat="1" applyFont="1" applyAlignment="1" applyProtection="1">
      <alignment horizontal="center" vertical="center"/>
      <protection hidden="1"/>
    </xf>
    <xf numFmtId="0" fontId="51" fillId="0" borderId="1" xfId="1" applyNumberFormat="1" applyFont="1" applyBorder="1" applyAlignment="1" applyProtection="1">
      <alignment horizontal="center" vertical="center"/>
      <protection hidden="1"/>
    </xf>
    <xf numFmtId="0" fontId="51" fillId="2" borderId="2" xfId="1" applyNumberFormat="1" applyFont="1" applyFill="1" applyBorder="1" applyAlignment="1" applyProtection="1">
      <alignment horizontal="center" vertical="center"/>
      <protection hidden="1"/>
    </xf>
    <xf numFmtId="0" fontId="51" fillId="2" borderId="3" xfId="1" applyNumberFormat="1" applyFont="1" applyFill="1" applyBorder="1" applyAlignment="1" applyProtection="1">
      <alignment horizontal="center" vertical="center"/>
      <protection hidden="1"/>
    </xf>
    <xf numFmtId="0" fontId="51" fillId="2" borderId="4" xfId="1" applyNumberFormat="1" applyFont="1" applyFill="1" applyBorder="1" applyAlignment="1" applyProtection="1">
      <alignment horizontal="center" vertical="center"/>
      <protection hidden="1"/>
    </xf>
    <xf numFmtId="0" fontId="51" fillId="0" borderId="5" xfId="1" applyNumberFormat="1" applyFont="1" applyBorder="1" applyAlignment="1" applyProtection="1">
      <alignment horizontal="center" vertical="center"/>
      <protection hidden="1"/>
    </xf>
    <xf numFmtId="0" fontId="51" fillId="0" borderId="6" xfId="1" applyNumberFormat="1" applyFont="1" applyBorder="1" applyAlignment="1" applyProtection="1">
      <alignment horizontal="center" vertical="center"/>
      <protection hidden="1"/>
    </xf>
    <xf numFmtId="0" fontId="17" fillId="0" borderId="5" xfId="1" applyNumberFormat="1" applyFont="1" applyBorder="1" applyAlignment="1" applyProtection="1">
      <alignment horizontal="center" vertical="center" wrapText="1"/>
      <protection hidden="1"/>
    </xf>
    <xf numFmtId="0" fontId="17" fillId="0" borderId="6" xfId="1" applyNumberFormat="1" applyFont="1" applyBorder="1" applyAlignment="1" applyProtection="1">
      <alignment horizontal="center" vertical="center" wrapText="1"/>
      <protection hidden="1"/>
    </xf>
    <xf numFmtId="0" fontId="51" fillId="0" borderId="5" xfId="1" applyNumberFormat="1" applyFont="1" applyBorder="1" applyAlignment="1" applyProtection="1">
      <alignment horizontal="center" vertical="center" wrapText="1"/>
      <protection hidden="1"/>
    </xf>
    <xf numFmtId="0" fontId="51" fillId="0" borderId="6" xfId="1" applyNumberFormat="1" applyFont="1" applyBorder="1" applyAlignment="1" applyProtection="1">
      <alignment horizontal="center" vertical="center" wrapText="1"/>
      <protection hidden="1"/>
    </xf>
    <xf numFmtId="0" fontId="50" fillId="0" borderId="5" xfId="1" applyNumberFormat="1" applyFont="1" applyBorder="1" applyAlignment="1" applyProtection="1">
      <alignment horizontal="left" vertical="center"/>
      <protection hidden="1"/>
    </xf>
    <xf numFmtId="0" fontId="50" fillId="0" borderId="6" xfId="1" applyNumberFormat="1" applyFont="1" applyBorder="1" applyAlignment="1" applyProtection="1">
      <alignment horizontal="left" vertical="center"/>
      <protection hidden="1"/>
    </xf>
    <xf numFmtId="0" fontId="11" fillId="0" borderId="1" xfId="1" applyNumberFormat="1" applyFont="1" applyBorder="1" applyAlignment="1" applyProtection="1">
      <alignment horizontal="center" vertical="center"/>
      <protection hidden="1"/>
    </xf>
    <xf numFmtId="0" fontId="12" fillId="0" borderId="5" xfId="1" applyNumberFormat="1" applyFont="1" applyBorder="1" applyAlignment="1" applyProtection="1">
      <alignment horizontal="left" vertical="center"/>
      <protection hidden="1"/>
    </xf>
    <xf numFmtId="0" fontId="12" fillId="0" borderId="6" xfId="1" applyNumberFormat="1" applyFont="1" applyBorder="1" applyAlignment="1" applyProtection="1">
      <alignment horizontal="left" vertical="center"/>
      <protection hidden="1"/>
    </xf>
    <xf numFmtId="0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13" fillId="2" borderId="3" xfId="1" applyNumberFormat="1" applyFont="1" applyFill="1" applyBorder="1" applyAlignment="1" applyProtection="1">
      <alignment horizontal="center" vertical="center"/>
      <protection hidden="1"/>
    </xf>
    <xf numFmtId="0" fontId="13" fillId="2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Alignment="1" applyProtection="1">
      <alignment horizontal="center"/>
      <protection hidden="1"/>
    </xf>
    <xf numFmtId="0" fontId="7" fillId="0" borderId="2" xfId="1" applyNumberFormat="1" applyFont="1" applyBorder="1" applyAlignment="1" applyProtection="1">
      <alignment horizontal="center" vertical="center"/>
      <protection hidden="1"/>
    </xf>
    <xf numFmtId="0" fontId="7" fillId="0" borderId="3" xfId="1" applyNumberFormat="1" applyFont="1" applyBorder="1" applyAlignment="1" applyProtection="1">
      <alignment horizontal="center" vertical="center"/>
      <protection hidden="1"/>
    </xf>
    <xf numFmtId="0" fontId="7" fillId="0" borderId="4" xfId="1" applyNumberFormat="1" applyFont="1" applyBorder="1" applyAlignment="1" applyProtection="1">
      <alignment horizontal="center" vertical="center"/>
      <protection hidden="1"/>
    </xf>
    <xf numFmtId="0" fontId="11" fillId="0" borderId="5" xfId="1" applyNumberFormat="1" applyFont="1" applyBorder="1" applyAlignment="1" applyProtection="1">
      <alignment horizontal="center" vertical="center"/>
      <protection hidden="1"/>
    </xf>
    <xf numFmtId="0" fontId="11" fillId="0" borderId="6" xfId="1" applyNumberFormat="1" applyFont="1" applyBorder="1" applyAlignment="1" applyProtection="1">
      <alignment horizontal="center" vertical="center"/>
      <protection hidden="1"/>
    </xf>
    <xf numFmtId="0" fontId="4" fillId="0" borderId="5" xfId="1" applyNumberFormat="1" applyFont="1" applyBorder="1" applyAlignment="1" applyProtection="1">
      <alignment horizontal="center" vertical="center" wrapText="1"/>
      <protection hidden="1"/>
    </xf>
    <xf numFmtId="0" fontId="4" fillId="0" borderId="6" xfId="1" applyNumberFormat="1" applyFont="1" applyBorder="1" applyAlignment="1" applyProtection="1">
      <alignment horizontal="center" vertical="center" wrapText="1"/>
      <protection hidden="1"/>
    </xf>
    <xf numFmtId="0" fontId="11" fillId="0" borderId="5" xfId="1" applyNumberFormat="1" applyFont="1" applyBorder="1" applyAlignment="1" applyProtection="1">
      <alignment horizontal="center" vertical="center" wrapText="1"/>
      <protection hidden="1"/>
    </xf>
    <xf numFmtId="0" fontId="11" fillId="0" borderId="6" xfId="1" applyNumberFormat="1" applyFont="1" applyBorder="1" applyAlignment="1" applyProtection="1">
      <alignment horizontal="center" vertical="center" wrapText="1"/>
      <protection hidden="1"/>
    </xf>
    <xf numFmtId="0" fontId="11" fillId="0" borderId="2" xfId="1" applyNumberFormat="1" applyFont="1" applyBorder="1" applyAlignment="1" applyProtection="1">
      <alignment horizontal="center" vertical="center"/>
      <protection hidden="1"/>
    </xf>
    <xf numFmtId="0" fontId="11" fillId="0" borderId="3" xfId="1" applyNumberFormat="1" applyFont="1" applyBorder="1" applyAlignment="1" applyProtection="1">
      <alignment horizontal="center" vertical="center"/>
      <protection hidden="1"/>
    </xf>
    <xf numFmtId="0" fontId="11" fillId="0" borderId="4" xfId="1" applyNumberFormat="1" applyFont="1" applyBorder="1" applyAlignment="1" applyProtection="1">
      <alignment horizontal="center" vertical="center"/>
      <protection hidden="1"/>
    </xf>
    <xf numFmtId="0" fontId="50" fillId="8" borderId="5" xfId="1" applyNumberFormat="1" applyFont="1" applyFill="1" applyBorder="1" applyAlignment="1" applyProtection="1">
      <alignment vertical="center"/>
      <protection hidden="1"/>
    </xf>
    <xf numFmtId="0" fontId="50" fillId="8" borderId="6" xfId="1" applyNumberFormat="1" applyFont="1" applyFill="1" applyBorder="1" applyAlignment="1" applyProtection="1">
      <alignment vertical="center"/>
      <protection hidden="1"/>
    </xf>
    <xf numFmtId="0" fontId="50" fillId="0" borderId="5" xfId="1" applyNumberFormat="1" applyFont="1" applyBorder="1" applyAlignment="1" applyProtection="1">
      <alignment vertical="center"/>
      <protection hidden="1"/>
    </xf>
    <xf numFmtId="0" fontId="50" fillId="0" borderId="6" xfId="1" applyNumberFormat="1" applyFont="1" applyBorder="1" applyAlignment="1" applyProtection="1">
      <alignment vertical="center"/>
      <protection hidden="1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47" fillId="0" borderId="5" xfId="1" applyNumberFormat="1" applyFont="1" applyBorder="1" applyAlignment="1" applyProtection="1">
      <alignment horizontal="center" vertical="center"/>
      <protection hidden="1"/>
    </xf>
    <xf numFmtId="0" fontId="47" fillId="0" borderId="6" xfId="1" applyNumberFormat="1" applyFont="1" applyBorder="1" applyAlignment="1" applyProtection="1">
      <alignment horizontal="center" vertical="center"/>
      <protection hidden="1"/>
    </xf>
    <xf numFmtId="0" fontId="9" fillId="0" borderId="5" xfId="1" applyNumberFormat="1" applyFont="1" applyBorder="1" applyAlignment="1" applyProtection="1">
      <alignment horizontal="center" vertical="center" wrapText="1"/>
      <protection hidden="1"/>
    </xf>
    <xf numFmtId="0" fontId="9" fillId="0" borderId="6" xfId="1" applyNumberFormat="1" applyFont="1" applyBorder="1" applyAlignment="1" applyProtection="1">
      <alignment horizontal="center" vertical="center" wrapText="1"/>
      <protection hidden="1"/>
    </xf>
    <xf numFmtId="0" fontId="47" fillId="0" borderId="1" xfId="1" applyNumberFormat="1" applyFont="1" applyBorder="1" applyAlignment="1" applyProtection="1">
      <alignment horizontal="center" vertical="center"/>
      <protection hidden="1"/>
    </xf>
    <xf numFmtId="0" fontId="50" fillId="6" borderId="5" xfId="1" applyNumberFormat="1" applyFont="1" applyFill="1" applyBorder="1" applyAlignment="1" applyProtection="1">
      <alignment vertical="center"/>
      <protection hidden="1"/>
    </xf>
    <xf numFmtId="0" fontId="50" fillId="6" borderId="6" xfId="1" applyNumberFormat="1" applyFont="1" applyFill="1" applyBorder="1" applyAlignment="1" applyProtection="1">
      <alignment vertical="center"/>
      <protection hidden="1"/>
    </xf>
    <xf numFmtId="0" fontId="47" fillId="0" borderId="2" xfId="1" applyNumberFormat="1" applyFont="1" applyBorder="1" applyAlignment="1" applyProtection="1">
      <alignment horizontal="center" vertical="center"/>
      <protection hidden="1"/>
    </xf>
    <xf numFmtId="0" fontId="47" fillId="0" borderId="3" xfId="1" applyNumberFormat="1" applyFont="1" applyBorder="1" applyAlignment="1" applyProtection="1">
      <alignment horizontal="center" vertical="center"/>
      <protection hidden="1"/>
    </xf>
    <xf numFmtId="0" fontId="47" fillId="0" borderId="4" xfId="1" applyNumberFormat="1" applyFont="1" applyBorder="1" applyAlignment="1" applyProtection="1">
      <alignment horizontal="center" vertical="center"/>
      <protection hidden="1"/>
    </xf>
    <xf numFmtId="0" fontId="47" fillId="0" borderId="5" xfId="1" applyNumberFormat="1" applyFont="1" applyBorder="1" applyAlignment="1" applyProtection="1">
      <alignment horizontal="center" vertical="center" wrapText="1"/>
      <protection hidden="1"/>
    </xf>
    <xf numFmtId="0" fontId="47" fillId="0" borderId="6" xfId="1" applyNumberFormat="1" applyFont="1" applyBorder="1" applyAlignment="1" applyProtection="1">
      <alignment horizontal="center" vertical="center" wrapText="1"/>
      <protection hidden="1"/>
    </xf>
    <xf numFmtId="0" fontId="28" fillId="2" borderId="2" xfId="1" applyNumberFormat="1" applyFont="1" applyFill="1" applyBorder="1" applyAlignment="1" applyProtection="1">
      <alignment horizontal="center" vertical="center"/>
      <protection hidden="1"/>
    </xf>
    <xf numFmtId="0" fontId="28" fillId="2" borderId="4" xfId="1" applyNumberFormat="1" applyFont="1" applyFill="1" applyBorder="1" applyAlignment="1" applyProtection="1">
      <alignment horizontal="center" vertical="center"/>
      <protection hidden="1"/>
    </xf>
    <xf numFmtId="0" fontId="52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NumberFormat="1" applyFont="1" applyAlignment="1" applyProtection="1">
      <alignment horizontal="center" wrapText="1"/>
      <protection hidden="1"/>
    </xf>
    <xf numFmtId="0" fontId="28" fillId="0" borderId="1" xfId="1" applyNumberFormat="1" applyFont="1" applyBorder="1" applyAlignment="1" applyProtection="1">
      <alignment horizontal="center" vertical="center"/>
      <protection hidden="1"/>
    </xf>
    <xf numFmtId="0" fontId="25" fillId="0" borderId="2" xfId="1" applyNumberFormat="1" applyFont="1" applyBorder="1" applyAlignment="1" applyProtection="1">
      <alignment horizontal="center" vertical="center"/>
      <protection hidden="1"/>
    </xf>
    <xf numFmtId="0" fontId="25" fillId="0" borderId="4" xfId="1" applyNumberFormat="1" applyFont="1" applyBorder="1" applyAlignment="1" applyProtection="1">
      <alignment horizontal="center" vertical="center"/>
      <protection hidden="1"/>
    </xf>
    <xf numFmtId="0" fontId="28" fillId="0" borderId="5" xfId="1" applyNumberFormat="1" applyFont="1" applyBorder="1" applyAlignment="1" applyProtection="1">
      <alignment horizontal="center" vertical="center" wrapText="1"/>
      <protection hidden="1"/>
    </xf>
    <xf numFmtId="0" fontId="28" fillId="0" borderId="7" xfId="1" applyNumberFormat="1" applyFont="1" applyBorder="1" applyAlignment="1" applyProtection="1">
      <alignment horizontal="center" vertical="center" wrapText="1"/>
      <protection hidden="1"/>
    </xf>
    <xf numFmtId="0" fontId="28" fillId="0" borderId="6" xfId="1" applyNumberFormat="1" applyFont="1" applyBorder="1" applyAlignment="1" applyProtection="1">
      <alignment horizontal="center" vertical="center" wrapText="1"/>
      <protection hidden="1"/>
    </xf>
    <xf numFmtId="0" fontId="28" fillId="0" borderId="5" xfId="1" applyNumberFormat="1" applyFont="1" applyBorder="1" applyAlignment="1" applyProtection="1">
      <alignment horizontal="center" vertical="center"/>
      <protection hidden="1"/>
    </xf>
    <xf numFmtId="0" fontId="28" fillId="0" borderId="7" xfId="1" applyNumberFormat="1" applyFont="1" applyBorder="1" applyAlignment="1" applyProtection="1">
      <alignment horizontal="center" vertical="center"/>
      <protection hidden="1"/>
    </xf>
    <xf numFmtId="0" fontId="28" fillId="0" borderId="6" xfId="1" applyNumberFormat="1" applyFont="1" applyBorder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center" vertical="center" wrapText="1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1" fillId="0" borderId="5" xfId="1" applyFont="1" applyBorder="1" applyAlignment="1" applyProtection="1">
      <alignment horizontal="center" vertical="center"/>
      <protection hidden="1"/>
    </xf>
    <xf numFmtId="0" fontId="11" fillId="0" borderId="6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11" fillId="0" borderId="2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0" borderId="4" xfId="1" applyFont="1" applyBorder="1" applyAlignment="1" applyProtection="1">
      <alignment horizontal="center" vertical="center"/>
      <protection hidden="1"/>
    </xf>
    <xf numFmtId="0" fontId="12" fillId="0" borderId="5" xfId="1" applyFont="1" applyBorder="1" applyAlignment="1" applyProtection="1">
      <alignment horizontal="left" vertical="center"/>
      <protection hidden="1"/>
    </xf>
    <xf numFmtId="0" fontId="12" fillId="0" borderId="6" xfId="1" applyFont="1" applyBorder="1" applyAlignment="1" applyProtection="1">
      <alignment horizontal="left" vertical="center"/>
      <protection hidden="1"/>
    </xf>
    <xf numFmtId="0" fontId="12" fillId="0" borderId="5" xfId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 applyProtection="1">
      <alignment horizontal="center" vertical="center"/>
      <protection hidden="1"/>
    </xf>
    <xf numFmtId="164" fontId="14" fillId="0" borderId="5" xfId="1" applyNumberFormat="1" applyFont="1" applyBorder="1" applyAlignment="1" applyProtection="1">
      <alignment horizontal="center" vertical="center"/>
      <protection hidden="1"/>
    </xf>
    <xf numFmtId="164" fontId="14" fillId="0" borderId="6" xfId="1" applyNumberFormat="1" applyFont="1" applyBorder="1" applyAlignment="1" applyProtection="1">
      <alignment horizontal="center" vertical="center"/>
      <protection hidden="1"/>
    </xf>
    <xf numFmtId="0" fontId="13" fillId="0" borderId="2" xfId="1" applyFont="1" applyBorder="1" applyAlignment="1" applyProtection="1">
      <alignment horizontal="center" vertical="center"/>
      <protection hidden="1"/>
    </xf>
    <xf numFmtId="0" fontId="13" fillId="0" borderId="3" xfId="1" applyFont="1" applyBorder="1" applyAlignment="1" applyProtection="1">
      <alignment horizontal="center" vertical="center"/>
      <protection hidden="1"/>
    </xf>
    <xf numFmtId="0" fontId="13" fillId="0" borderId="4" xfId="1" applyFont="1" applyBorder="1" applyAlignment="1" applyProtection="1">
      <alignment horizontal="center" vertical="center"/>
      <protection hidden="1"/>
    </xf>
    <xf numFmtId="164" fontId="15" fillId="0" borderId="5" xfId="1" applyNumberFormat="1" applyFont="1" applyBorder="1" applyAlignment="1" applyProtection="1">
      <alignment horizontal="center" vertical="center"/>
      <protection hidden="1"/>
    </xf>
    <xf numFmtId="164" fontId="15" fillId="0" borderId="6" xfId="1" applyNumberFormat="1" applyFont="1" applyBorder="1" applyAlignment="1" applyProtection="1">
      <alignment horizontal="center" vertical="center"/>
      <protection hidden="1"/>
    </xf>
    <xf numFmtId="0" fontId="47" fillId="0" borderId="2" xfId="1" applyFont="1" applyBorder="1" applyAlignment="1" applyProtection="1">
      <alignment horizontal="center" vertical="center"/>
      <protection hidden="1"/>
    </xf>
    <xf numFmtId="0" fontId="47" fillId="0" borderId="3" xfId="1" applyFont="1" applyBorder="1" applyAlignment="1" applyProtection="1">
      <alignment horizontal="center" vertical="center"/>
      <protection hidden="1"/>
    </xf>
    <xf numFmtId="0" fontId="47" fillId="0" borderId="4" xfId="1" applyFont="1" applyBorder="1" applyAlignment="1" applyProtection="1">
      <alignment horizontal="center" vertical="center"/>
      <protection hidden="1"/>
    </xf>
    <xf numFmtId="0" fontId="47" fillId="0" borderId="1" xfId="1" applyFont="1" applyBorder="1" applyAlignment="1" applyProtection="1">
      <alignment horizontal="center" vertical="center"/>
      <protection hidden="1"/>
    </xf>
    <xf numFmtId="164" fontId="26" fillId="0" borderId="5" xfId="1" applyNumberFormat="1" applyFont="1" applyBorder="1" applyAlignment="1" applyProtection="1">
      <alignment horizontal="center" vertical="center"/>
      <protection hidden="1"/>
    </xf>
    <xf numFmtId="164" fontId="26" fillId="0" borderId="6" xfId="1" applyNumberFormat="1" applyFont="1" applyBorder="1" applyAlignment="1" applyProtection="1">
      <alignment horizontal="center" vertical="center"/>
      <protection hidden="1"/>
    </xf>
    <xf numFmtId="0" fontId="25" fillId="0" borderId="5" xfId="1" applyFont="1" applyBorder="1" applyAlignment="1" applyProtection="1">
      <alignment horizontal="left" vertical="center"/>
      <protection hidden="1"/>
    </xf>
    <xf numFmtId="0" fontId="25" fillId="0" borderId="6" xfId="1" applyFont="1" applyBorder="1" applyAlignment="1" applyProtection="1">
      <alignment horizontal="left" vertical="center"/>
      <protection hidden="1"/>
    </xf>
    <xf numFmtId="0" fontId="25" fillId="3" borderId="5" xfId="1" applyFont="1" applyFill="1" applyBorder="1" applyAlignment="1" applyProtection="1">
      <alignment horizontal="left" vertical="center"/>
      <protection hidden="1"/>
    </xf>
    <xf numFmtId="0" fontId="25" fillId="3" borderId="6" xfId="1" applyFont="1" applyFill="1" applyBorder="1" applyAlignment="1" applyProtection="1">
      <alignment horizontal="left" vertical="center"/>
      <protection hidden="1"/>
    </xf>
    <xf numFmtId="0" fontId="25" fillId="0" borderId="5" xfId="1" applyFont="1" applyBorder="1" applyAlignment="1" applyProtection="1">
      <alignment horizontal="center" vertical="center"/>
      <protection hidden="1"/>
    </xf>
    <xf numFmtId="0" fontId="25" fillId="0" borderId="6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/>
      <protection hidden="1"/>
    </xf>
    <xf numFmtId="0" fontId="39" fillId="7" borderId="5" xfId="0" applyFont="1" applyFill="1" applyBorder="1" applyAlignment="1" applyProtection="1">
      <alignment horizontal="center" vertical="center" wrapText="1"/>
      <protection hidden="1"/>
    </xf>
    <xf numFmtId="0" fontId="39" fillId="7" borderId="7" xfId="0" applyFont="1" applyFill="1" applyBorder="1" applyAlignment="1" applyProtection="1">
      <alignment horizontal="center" vertical="center" wrapText="1"/>
      <protection hidden="1"/>
    </xf>
    <xf numFmtId="0" fontId="39" fillId="7" borderId="6" xfId="0" applyFont="1" applyFill="1" applyBorder="1" applyAlignment="1" applyProtection="1">
      <alignment horizontal="center" vertical="center" wrapText="1"/>
      <protection hidden="1"/>
    </xf>
    <xf numFmtId="0" fontId="30" fillId="6" borderId="1" xfId="1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6" borderId="10" xfId="0" applyFont="1" applyFill="1" applyBorder="1" applyAlignment="1" applyProtection="1">
      <alignment horizontal="center" vertical="center"/>
      <protection hidden="1"/>
    </xf>
    <xf numFmtId="0" fontId="30" fillId="6" borderId="11" xfId="0" applyFont="1" applyFill="1" applyBorder="1" applyAlignment="1" applyProtection="1">
      <alignment horizontal="center" vertical="center"/>
      <protection hidden="1"/>
    </xf>
    <xf numFmtId="0" fontId="30" fillId="6" borderId="1" xfId="0" applyFont="1" applyFill="1" applyBorder="1" applyAlignment="1" applyProtection="1">
      <alignment horizontal="center" vertical="center"/>
      <protection hidden="1"/>
    </xf>
    <xf numFmtId="0" fontId="39" fillId="7" borderId="1" xfId="0" applyFont="1" applyFill="1" applyBorder="1" applyAlignment="1" applyProtection="1">
      <alignment horizontal="center" vertical="center"/>
      <protection hidden="1"/>
    </xf>
    <xf numFmtId="0" fontId="39" fillId="3" borderId="1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1" xfId="1" applyNumberFormat="1" applyFont="1" applyBorder="1" applyAlignment="1" applyProtection="1">
      <alignment horizontal="center" vertical="center"/>
      <protection hidden="1"/>
    </xf>
    <xf numFmtId="0" fontId="45" fillId="0" borderId="0" xfId="1" applyFont="1" applyAlignment="1" applyProtection="1">
      <alignment horizontal="center" vertical="center"/>
      <protection hidden="1"/>
    </xf>
    <xf numFmtId="0" fontId="43" fillId="0" borderId="5" xfId="1" applyFont="1" applyBorder="1" applyAlignment="1" applyProtection="1">
      <alignment horizontal="center" vertical="center"/>
      <protection locked="0"/>
    </xf>
    <xf numFmtId="0" fontId="43" fillId="0" borderId="6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7" fillId="0" borderId="7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23" fillId="0" borderId="2" xfId="1" applyFont="1" applyBorder="1" applyAlignment="1" applyProtection="1">
      <alignment horizontal="center" vertical="center"/>
      <protection hidden="1"/>
    </xf>
    <xf numFmtId="0" fontId="23" fillId="0" borderId="3" xfId="1" applyFont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hidden="1"/>
    </xf>
    <xf numFmtId="0" fontId="51" fillId="0" borderId="1" xfId="1" applyNumberFormat="1" applyFont="1" applyBorder="1" applyAlignment="1" applyProtection="1">
      <alignment horizontal="center" vertical="center"/>
      <protection locked="0"/>
    </xf>
    <xf numFmtId="0" fontId="17" fillId="0" borderId="2" xfId="1" applyNumberFormat="1" applyFont="1" applyBorder="1" applyAlignment="1" applyProtection="1">
      <alignment horizontal="center" vertical="center"/>
      <protection locked="0"/>
    </xf>
    <xf numFmtId="0" fontId="17" fillId="0" borderId="3" xfId="1" applyNumberFormat="1" applyFont="1" applyBorder="1" applyAlignment="1" applyProtection="1">
      <alignment horizontal="center" vertical="center"/>
      <protection locked="0"/>
    </xf>
    <xf numFmtId="0" fontId="17" fillId="0" borderId="4" xfId="1" applyNumberFormat="1" applyFont="1" applyBorder="1" applyAlignment="1" applyProtection="1">
      <alignment horizontal="center" vertical="center"/>
      <protection locked="0"/>
    </xf>
    <xf numFmtId="0" fontId="5" fillId="0" borderId="0" xfId="1" applyNumberFormat="1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horizontal="center"/>
      <protection locked="0"/>
    </xf>
    <xf numFmtId="0" fontId="51" fillId="0" borderId="5" xfId="1" applyNumberFormat="1" applyFont="1" applyBorder="1" applyAlignment="1" applyProtection="1">
      <alignment horizontal="center" vertical="center" wrapText="1"/>
      <protection locked="0"/>
    </xf>
    <xf numFmtId="0" fontId="51" fillId="0" borderId="6" xfId="1" applyNumberFormat="1" applyFont="1" applyBorder="1" applyAlignment="1" applyProtection="1">
      <alignment horizontal="center" vertical="center" wrapText="1"/>
      <protection locked="0"/>
    </xf>
    <xf numFmtId="0" fontId="51" fillId="0" borderId="2" xfId="1" applyNumberFormat="1" applyFont="1" applyBorder="1" applyAlignment="1" applyProtection="1">
      <alignment horizontal="center" vertical="center"/>
      <protection locked="0"/>
    </xf>
    <xf numFmtId="0" fontId="51" fillId="0" borderId="3" xfId="1" applyNumberFormat="1" applyFont="1" applyBorder="1" applyAlignment="1" applyProtection="1">
      <alignment horizontal="center" vertical="center"/>
      <protection locked="0"/>
    </xf>
    <xf numFmtId="0" fontId="51" fillId="0" borderId="4" xfId="1" applyNumberFormat="1" applyFont="1" applyBorder="1" applyAlignment="1" applyProtection="1">
      <alignment horizontal="center" vertical="center"/>
      <protection locked="0"/>
    </xf>
    <xf numFmtId="0" fontId="49" fillId="0" borderId="5" xfId="1" applyNumberFormat="1" applyFont="1" applyBorder="1" applyAlignment="1" applyProtection="1">
      <alignment horizontal="left" vertical="center"/>
      <protection locked="0"/>
    </xf>
    <xf numFmtId="0" fontId="49" fillId="0" borderId="6" xfId="1" applyNumberFormat="1" applyFont="1" applyBorder="1" applyAlignment="1" applyProtection="1">
      <alignment horizontal="left" vertical="center"/>
      <protection locked="0"/>
    </xf>
    <xf numFmtId="0" fontId="16" fillId="2" borderId="2" xfId="1" applyNumberFormat="1" applyFont="1" applyFill="1" applyBorder="1" applyAlignment="1" applyProtection="1">
      <alignment horizontal="center" vertical="center"/>
      <protection locked="0"/>
    </xf>
    <xf numFmtId="0" fontId="16" fillId="2" borderId="3" xfId="1" applyNumberFormat="1" applyFont="1" applyFill="1" applyBorder="1" applyAlignment="1" applyProtection="1">
      <alignment horizontal="center" vertical="center"/>
      <protection locked="0"/>
    </xf>
    <xf numFmtId="0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51" fillId="0" borderId="5" xfId="1" applyNumberFormat="1" applyFont="1" applyBorder="1" applyAlignment="1" applyProtection="1">
      <alignment horizontal="center" vertical="center"/>
      <protection locked="0"/>
    </xf>
    <xf numFmtId="0" fontId="51" fillId="0" borderId="6" xfId="1" applyNumberFormat="1" applyFont="1" applyBorder="1" applyAlignment="1" applyProtection="1">
      <alignment horizontal="center" vertical="center"/>
      <protection locked="0"/>
    </xf>
    <xf numFmtId="0" fontId="17" fillId="0" borderId="5" xfId="1" applyNumberFormat="1" applyFont="1" applyBorder="1" applyAlignment="1" applyProtection="1">
      <alignment horizontal="center" vertical="center" wrapText="1"/>
      <protection locked="0"/>
    </xf>
    <xf numFmtId="0" fontId="17" fillId="0" borderId="6" xfId="1" applyNumberFormat="1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  <protection hidden="1"/>
    </xf>
    <xf numFmtId="0" fontId="60" fillId="0" borderId="1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wrapText="1"/>
    </xf>
  </cellXfs>
  <cellStyles count="9">
    <cellStyle name="Milliers 2" xfId="2"/>
    <cellStyle name="Normal" xfId="0" builtinId="0"/>
    <cellStyle name="Normal 2" xfId="1"/>
    <cellStyle name="Normal 2 2" xfId="3"/>
    <cellStyle name="Normal 3" xfId="4"/>
    <cellStyle name="Normal 3 2" xfId="5"/>
    <cellStyle name="Normal 4" xfId="8"/>
    <cellStyle name="Normal 5" xfId="6"/>
    <cellStyle name="Pourcentage 2" xfId="7"/>
  </cellStyles>
  <dxfs count="63"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/>
      </font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meDeDistribution%20GVT%202013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YBI\Downloads\ProgrammeDeDistribution%20GVT%202013-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ureau/Ann&#233;eScolaire%202012-2013/PlanDistributionPam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YBI\Downloads\Users\HP\Desktop\Bureau\Ann&#233;eScolaire%202012-2013\PlanDistributionPam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YBI\Downloads\ProgrammeDeDistributionPrimaire_PAM1%202014-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meDeDistributionPrimaire_PAM1%202014-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OUL%20Patrice/Desktop/Divers/Ann&#233;eScolaire%202013-2014/Audit/Enlevement%202012/PlanDistributionPateAlimentai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YBI\Downloads\Users\EBOUL%20Patrice\Desktop\Divers\Ann&#233;eScolaire%202013-2014\Audit\Enlevement%202012\PlanDistributionPateAlimentai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ème Dist Gvt 2013-2014"/>
      <sheetName val="2ème Dist Gvt 2013-2014 (3)"/>
      <sheetName val="2ème Dist Gvt 2013-2014 (2)"/>
      <sheetName val="3ème dotation gvt"/>
      <sheetName val="Dotation Micronutriment"/>
      <sheetName val="DotationMicroParAxe"/>
      <sheetName val="Dotation Micronutriment (7)"/>
      <sheetName val="Dotation Micronutriment (8)"/>
      <sheetName val="Dotation Micronutriment (9)"/>
      <sheetName val="Dotation Micronutriment (5)"/>
      <sheetName val="Dotation Micronutriment (6)"/>
      <sheetName val="GrilleAbidjan"/>
      <sheetName val="GrilleAbidjan (2)"/>
      <sheetName val="1ère Dotation Gvt Pc Samassi"/>
      <sheetName val="1ère Dotation Gvt Pc (2)"/>
      <sheetName val="1ère Dotation Gvt Pc (3)"/>
      <sheetName val="Fournisseurs"/>
      <sheetName val="Plan Distribution Provisoire"/>
      <sheetName val="Cap Logistique"/>
      <sheetName val="Mikili Transport"/>
      <sheetName val="Plan Gle de Distribution (2)"/>
      <sheetName val="Enlevement"/>
      <sheetName val="Abengourou"/>
      <sheetName val="Aboisso"/>
      <sheetName val="Adzopé"/>
      <sheetName val="Agboville"/>
      <sheetName val="Bouaké"/>
      <sheetName val="Bongouanou"/>
      <sheetName val="Bouaflé"/>
      <sheetName val="Dabou"/>
      <sheetName val="Danané"/>
      <sheetName val="Daoukro"/>
      <sheetName val="Daloa"/>
      <sheetName val="Dimbokro"/>
      <sheetName val="Divo"/>
      <sheetName val="Gagnoa"/>
      <sheetName val="Katiola"/>
      <sheetName val="Man"/>
      <sheetName val="Odienné"/>
      <sheetName val="Soubre"/>
      <sheetName val="Sinfra"/>
      <sheetName val="San-Pédro"/>
      <sheetName val="Tiassalé"/>
      <sheetName val="Yakro"/>
      <sheetName val="Yopougon"/>
    </sheetNames>
    <sheetDataSet>
      <sheetData sheetId="0">
        <row r="9">
          <cell r="E9">
            <v>9</v>
          </cell>
          <cell r="J9">
            <v>150</v>
          </cell>
          <cell r="K9">
            <v>10</v>
          </cell>
          <cell r="L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ème Dist Gvt 2013-2014"/>
      <sheetName val="2ème Dist Gvt 2013-2014 (3)"/>
      <sheetName val="2ème Dist Gvt 2013-2014 (2)"/>
      <sheetName val="3ème dotation gvt"/>
      <sheetName val="Dotation Micronutriment"/>
      <sheetName val="DotationMicroParAxe"/>
      <sheetName val="Dotation Micronutriment (7)"/>
      <sheetName val="Dotation Micronutriment (8)"/>
      <sheetName val="Dotation Micronutriment (9)"/>
      <sheetName val="Dotation Micronutriment (5)"/>
      <sheetName val="Dotation Micronutriment (6)"/>
      <sheetName val="GrilleAbidjan"/>
      <sheetName val="GrilleAbidjan (2)"/>
      <sheetName val="1ère Dotation Gvt Pc Samassi"/>
      <sheetName val="1ère Dotation Gvt Pc (2)"/>
      <sheetName val="1ère Dotation Gvt Pc (3)"/>
      <sheetName val="Fournisseurs"/>
      <sheetName val="Plan Distribution Provisoire"/>
      <sheetName val="Cap Logistique"/>
      <sheetName val="Mikili Transport"/>
      <sheetName val="Plan Gle de Distribution (2)"/>
      <sheetName val="Enlevement"/>
      <sheetName val="Abengourou"/>
      <sheetName val="Aboisso"/>
      <sheetName val="Adzopé"/>
      <sheetName val="Agboville"/>
      <sheetName val="Bouaké"/>
      <sheetName val="Bongouanou"/>
      <sheetName val="Bouaflé"/>
      <sheetName val="Dabou"/>
      <sheetName val="Danané"/>
      <sheetName val="Daoukro"/>
      <sheetName val="Daloa"/>
      <sheetName val="Dimbokro"/>
      <sheetName val="Divo"/>
      <sheetName val="Gagnoa"/>
      <sheetName val="Katiola"/>
      <sheetName val="Man"/>
      <sheetName val="Odienné"/>
      <sheetName val="Soubre"/>
      <sheetName val="Sinfra"/>
      <sheetName val="San-Pédro"/>
      <sheetName val="Tiassalé"/>
      <sheetName val="Yakro"/>
      <sheetName val="Yopougon"/>
    </sheetNames>
    <sheetDataSet>
      <sheetData sheetId="0">
        <row r="9">
          <cell r="E9">
            <v>9</v>
          </cell>
          <cell r="J9">
            <v>150</v>
          </cell>
          <cell r="K9">
            <v>10</v>
          </cell>
          <cell r="L9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tation Pam Dren"/>
      <sheetName val="Dotation Pam Pc"/>
      <sheetName val="Dotation Pasef Dren"/>
      <sheetName val="Dotation Pasef Pc"/>
      <sheetName val="Dotation Gvt Pc"/>
      <sheetName val="Dotation Gvt Pc nouveau"/>
    </sheetNames>
    <sheetDataSet>
      <sheetData sheetId="0">
        <row r="11">
          <cell r="D11">
            <v>84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otation Pam Dren"/>
      <sheetName val="Dotation Pam Pc"/>
      <sheetName val="Dotation Pasef Dren"/>
      <sheetName val="Dotation Pasef Pc"/>
      <sheetName val="Dotation Gvt Pc"/>
      <sheetName val="Dotation Gvt Pc nouveau"/>
    </sheetNames>
    <sheetDataSet>
      <sheetData sheetId="0">
        <row r="11">
          <cell r="D11">
            <v>84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ème Dotation PAM"/>
      <sheetName val="1ème Dotation PAM (2)"/>
      <sheetName val="2ème Dotation PAM  A REALISER"/>
      <sheetName val="2ème Dotation PAM  A REALIS (2)"/>
      <sheetName val="2ème Dotation PAM  MIKILI"/>
      <sheetName val="2ème Dotation PAM  MIKILI (2)"/>
      <sheetName val="2ème Dotation PAM  GRAIN ARGENT"/>
      <sheetName val="2ème Dotation PAM  GRAIN AR (2)"/>
      <sheetName val="2ème Dotation PAM (Programme)"/>
      <sheetName val="1ème Dotation PAM (3)"/>
      <sheetName val="Reca 2ème distribution"/>
    </sheetNames>
    <sheetDataSet>
      <sheetData sheetId="0">
        <row r="11">
          <cell r="I11">
            <v>150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70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ème Dotation PAM"/>
      <sheetName val="1ème Dotation PAM (2)"/>
      <sheetName val="2ème Dotation PAM  A REALISER"/>
      <sheetName val="2ème Dotation PAM  A REALIS (2)"/>
      <sheetName val="2ème Dotation PAM  MIKILI"/>
      <sheetName val="2ème Dotation PAM  MIKILI (2)"/>
      <sheetName val="2ème Dotation PAM  GRAIN ARGENT"/>
      <sheetName val="2ème Dotation PAM  GRAIN AR (2)"/>
      <sheetName val="2ème Dotation PAM (Programme)"/>
      <sheetName val="1ème Dotation PAM (3)"/>
      <sheetName val="Reca 2ème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70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nnage"/>
      <sheetName val="Reception-Livraison"/>
      <sheetName val="Axe 1 16 jours"/>
      <sheetName val="Point livraison"/>
      <sheetName val="Feuil2"/>
    </sheetNames>
    <sheetDataSet>
      <sheetData sheetId="0" refreshError="1"/>
      <sheetData sheetId="1">
        <row r="32">
          <cell r="L32">
            <v>0</v>
          </cell>
        </row>
        <row r="54">
          <cell r="I54">
            <v>2.0640000000000001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nnage"/>
      <sheetName val="Reception-Livraison"/>
      <sheetName val="Axe 1 16 jours"/>
      <sheetName val="Point livraison"/>
      <sheetName val="Feuil2"/>
    </sheetNames>
    <sheetDataSet>
      <sheetData sheetId="0" refreshError="1"/>
      <sheetData sheetId="1">
        <row r="32">
          <cell r="L32">
            <v>0</v>
          </cell>
        </row>
        <row r="54">
          <cell r="I54">
            <v>2.0640000000000001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22"/>
  <sheetViews>
    <sheetView workbookViewId="0">
      <selection activeCell="I12" sqref="I12"/>
    </sheetView>
  </sheetViews>
  <sheetFormatPr baseColWidth="10" defaultRowHeight="14.25"/>
  <cols>
    <col min="1" max="1" width="6.28515625" style="29" customWidth="1"/>
    <col min="2" max="2" width="21" style="29" customWidth="1"/>
    <col min="3" max="3" width="18.5703125" style="29" customWidth="1"/>
    <col min="4" max="7" width="12.7109375" style="29" customWidth="1"/>
    <col min="8" max="16384" width="11.42578125" style="29"/>
  </cols>
  <sheetData>
    <row r="1" spans="1:9">
      <c r="A1" s="87"/>
      <c r="B1" s="85"/>
      <c r="C1" s="85"/>
      <c r="D1" s="85"/>
      <c r="E1" s="85"/>
      <c r="F1" s="85"/>
      <c r="G1" s="85"/>
    </row>
    <row r="2" spans="1:9">
      <c r="A2" s="87"/>
      <c r="B2" s="85"/>
      <c r="C2" s="85"/>
      <c r="D2" s="85"/>
      <c r="E2" s="85"/>
      <c r="F2" s="85"/>
      <c r="G2" s="85"/>
    </row>
    <row r="3" spans="1:9">
      <c r="A3" s="87"/>
      <c r="B3" s="85"/>
      <c r="C3" s="85"/>
      <c r="D3" s="85"/>
      <c r="E3" s="85"/>
      <c r="F3" s="85"/>
      <c r="G3" s="85"/>
    </row>
    <row r="4" spans="1:9" ht="22.5" customHeight="1">
      <c r="A4" s="270" t="s">
        <v>137</v>
      </c>
      <c r="B4" s="270"/>
      <c r="C4" s="270"/>
      <c r="D4" s="270"/>
      <c r="E4" s="270"/>
      <c r="F4" s="270"/>
      <c r="G4" s="270"/>
    </row>
    <row r="5" spans="1:9" ht="22.5" customHeight="1">
      <c r="A5" s="270" t="s">
        <v>156</v>
      </c>
      <c r="B5" s="270"/>
      <c r="C5" s="270"/>
      <c r="D5" s="270"/>
      <c r="E5" s="270"/>
      <c r="F5" s="270"/>
      <c r="G5" s="270"/>
    </row>
    <row r="6" spans="1:9" ht="22.5" customHeight="1">
      <c r="A6" s="210"/>
      <c r="B6" s="210"/>
      <c r="C6" s="210"/>
      <c r="D6" s="210"/>
      <c r="E6" s="210"/>
      <c r="F6" s="210"/>
      <c r="G6" s="210"/>
    </row>
    <row r="7" spans="1:9" ht="15" customHeight="1">
      <c r="A7" s="93"/>
      <c r="B7" s="85"/>
      <c r="C7" s="85"/>
      <c r="D7" s="85"/>
      <c r="E7" s="85"/>
      <c r="F7" s="85"/>
      <c r="G7" s="85"/>
    </row>
    <row r="8" spans="1:9" ht="21.75" customHeight="1">
      <c r="A8" s="275" t="s">
        <v>22</v>
      </c>
      <c r="B8" s="275" t="s">
        <v>23</v>
      </c>
      <c r="C8" s="277" t="s">
        <v>24</v>
      </c>
      <c r="D8" s="279" t="s">
        <v>25</v>
      </c>
      <c r="E8" s="271" t="s">
        <v>26</v>
      </c>
      <c r="F8" s="271"/>
      <c r="G8" s="271"/>
    </row>
    <row r="9" spans="1:9" ht="20.25" customHeight="1">
      <c r="A9" s="276"/>
      <c r="B9" s="276"/>
      <c r="C9" s="278"/>
      <c r="D9" s="280"/>
      <c r="E9" s="173" t="s">
        <v>28</v>
      </c>
      <c r="F9" s="173" t="s">
        <v>29</v>
      </c>
      <c r="G9" s="213" t="s">
        <v>30</v>
      </c>
    </row>
    <row r="10" spans="1:9" ht="21.95" customHeight="1">
      <c r="A10" s="173">
        <v>1</v>
      </c>
      <c r="B10" s="281" t="s">
        <v>0</v>
      </c>
      <c r="C10" s="211" t="s">
        <v>31</v>
      </c>
      <c r="D10" s="173">
        <v>150</v>
      </c>
      <c r="E10" s="212">
        <v>18373</v>
      </c>
      <c r="F10" s="212">
        <v>20550</v>
      </c>
      <c r="G10" s="166">
        <v>38923</v>
      </c>
    </row>
    <row r="11" spans="1:9" ht="21.95" customHeight="1">
      <c r="A11" s="173">
        <v>2</v>
      </c>
      <c r="B11" s="282"/>
      <c r="C11" s="85" t="s">
        <v>32</v>
      </c>
      <c r="D11" s="173">
        <v>228</v>
      </c>
      <c r="E11" s="212">
        <v>28104</v>
      </c>
      <c r="F11" s="212">
        <v>31104</v>
      </c>
      <c r="G11" s="166">
        <v>59208</v>
      </c>
    </row>
    <row r="12" spans="1:9" ht="21.95" customHeight="1">
      <c r="A12" s="173">
        <v>3</v>
      </c>
      <c r="B12" s="281" t="s">
        <v>1</v>
      </c>
      <c r="C12" s="211" t="s">
        <v>33</v>
      </c>
      <c r="D12" s="173">
        <v>82</v>
      </c>
      <c r="E12" s="212">
        <v>8460</v>
      </c>
      <c r="F12" s="212">
        <v>10048</v>
      </c>
      <c r="G12" s="166">
        <v>18508</v>
      </c>
    </row>
    <row r="13" spans="1:9" ht="21.95" customHeight="1">
      <c r="A13" s="173">
        <v>4</v>
      </c>
      <c r="B13" s="282"/>
      <c r="C13" s="211" t="s">
        <v>3</v>
      </c>
      <c r="D13" s="173">
        <v>29</v>
      </c>
      <c r="E13" s="212">
        <v>3649</v>
      </c>
      <c r="F13" s="212">
        <v>3842</v>
      </c>
      <c r="G13" s="166">
        <v>7491</v>
      </c>
    </row>
    <row r="14" spans="1:9" ht="21.95" customHeight="1">
      <c r="A14" s="173">
        <v>5</v>
      </c>
      <c r="B14" s="211" t="s">
        <v>8</v>
      </c>
      <c r="C14" s="211" t="s">
        <v>35</v>
      </c>
      <c r="D14" s="173">
        <v>92</v>
      </c>
      <c r="E14" s="212">
        <v>10098</v>
      </c>
      <c r="F14" s="212">
        <v>17127</v>
      </c>
      <c r="G14" s="166">
        <v>27225</v>
      </c>
      <c r="I14" s="5"/>
    </row>
    <row r="15" spans="1:9" ht="21.95" customHeight="1">
      <c r="A15" s="173">
        <v>6</v>
      </c>
      <c r="B15" s="211" t="s">
        <v>36</v>
      </c>
      <c r="C15" s="211" t="s">
        <v>37</v>
      </c>
      <c r="D15" s="173">
        <v>95</v>
      </c>
      <c r="E15" s="212">
        <v>12993</v>
      </c>
      <c r="F15" s="212">
        <v>14676</v>
      </c>
      <c r="G15" s="166">
        <v>27669</v>
      </c>
    </row>
    <row r="16" spans="1:9" ht="21.95" customHeight="1">
      <c r="A16" s="173">
        <v>7</v>
      </c>
      <c r="B16" s="211" t="s">
        <v>5</v>
      </c>
      <c r="C16" s="211" t="s">
        <v>38</v>
      </c>
      <c r="D16" s="173">
        <v>213</v>
      </c>
      <c r="E16" s="212">
        <v>32699</v>
      </c>
      <c r="F16" s="212">
        <v>36898</v>
      </c>
      <c r="G16" s="166">
        <v>69597</v>
      </c>
    </row>
    <row r="17" spans="1:7" ht="21.95" customHeight="1">
      <c r="A17" s="173">
        <v>8</v>
      </c>
      <c r="B17" s="211" t="s">
        <v>9</v>
      </c>
      <c r="C17" s="211" t="s">
        <v>39</v>
      </c>
      <c r="D17" s="173">
        <v>106</v>
      </c>
      <c r="E17" s="212">
        <v>12815</v>
      </c>
      <c r="F17" s="212">
        <v>14660</v>
      </c>
      <c r="G17" s="166">
        <v>27475</v>
      </c>
    </row>
    <row r="18" spans="1:7" ht="21.95" customHeight="1">
      <c r="A18" s="173">
        <v>9</v>
      </c>
      <c r="B18" s="211" t="s">
        <v>6</v>
      </c>
      <c r="C18" s="211" t="s">
        <v>40</v>
      </c>
      <c r="D18" s="173">
        <v>96</v>
      </c>
      <c r="E18" s="212">
        <v>16225</v>
      </c>
      <c r="F18" s="212">
        <v>20946</v>
      </c>
      <c r="G18" s="166">
        <v>37171</v>
      </c>
    </row>
    <row r="19" spans="1:7" ht="21.95" customHeight="1">
      <c r="A19" s="173">
        <v>10</v>
      </c>
      <c r="B19" s="211" t="s">
        <v>7</v>
      </c>
      <c r="C19" s="211" t="s">
        <v>41</v>
      </c>
      <c r="D19" s="173">
        <v>76</v>
      </c>
      <c r="E19" s="212">
        <v>7048</v>
      </c>
      <c r="F19" s="212">
        <v>9416</v>
      </c>
      <c r="G19" s="166">
        <v>16464</v>
      </c>
    </row>
    <row r="20" spans="1:7" ht="24.75" customHeight="1">
      <c r="A20" s="272" t="s">
        <v>42</v>
      </c>
      <c r="B20" s="273"/>
      <c r="C20" s="274"/>
      <c r="D20" s="169">
        <f t="shared" ref="D20:F20" si="0">SUM(D10:D19)</f>
        <v>1167</v>
      </c>
      <c r="E20" s="169">
        <f t="shared" si="0"/>
        <v>150464</v>
      </c>
      <c r="F20" s="169">
        <f t="shared" si="0"/>
        <v>179267</v>
      </c>
      <c r="G20" s="169">
        <f>SUM(G10:G19)</f>
        <v>329731</v>
      </c>
    </row>
    <row r="21" spans="1:7" ht="18" customHeight="1"/>
    <row r="22" spans="1:7" ht="18" customHeight="1">
      <c r="A22" s="30"/>
      <c r="B22" s="30"/>
      <c r="C22" s="30"/>
      <c r="D22" s="30"/>
      <c r="E22" s="30"/>
      <c r="F22" s="30"/>
      <c r="G22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4:G4"/>
    <mergeCell ref="E8:G8"/>
    <mergeCell ref="A5:G5"/>
    <mergeCell ref="A20:C20"/>
    <mergeCell ref="A8:A9"/>
    <mergeCell ref="B8:B9"/>
    <mergeCell ref="C8:C9"/>
    <mergeCell ref="D8:D9"/>
    <mergeCell ref="B10:B11"/>
    <mergeCell ref="B12:B13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headerFooter>
    <oddFooter>&amp;L&amp;"+,Normal"&amp;9Année scolaire 2015-2016&amp;C&amp;"+,Normal"&amp;9Liste Cantines&amp;R&amp;"+,Normal"&amp;9&amp;P/&amp;N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K22"/>
  <sheetViews>
    <sheetView topLeftCell="A3" workbookViewId="0">
      <selection activeCell="C23" sqref="C23"/>
    </sheetView>
  </sheetViews>
  <sheetFormatPr baseColWidth="10" defaultRowHeight="14.25"/>
  <cols>
    <col min="1" max="1" width="8" style="29" customWidth="1"/>
    <col min="2" max="2" width="31.85546875" style="29" customWidth="1"/>
    <col min="3" max="7" width="19.7109375" style="29" customWidth="1"/>
    <col min="8" max="16384" width="11.42578125" style="29"/>
  </cols>
  <sheetData>
    <row r="1" spans="1:9">
      <c r="A1" s="84" t="s">
        <v>10</v>
      </c>
      <c r="B1" s="85"/>
      <c r="C1" s="85"/>
      <c r="D1" s="86"/>
      <c r="E1" s="86"/>
      <c r="F1" s="289" t="s">
        <v>11</v>
      </c>
      <c r="G1" s="289"/>
    </row>
    <row r="2" spans="1:9">
      <c r="A2" s="84" t="s">
        <v>75</v>
      </c>
      <c r="B2" s="85"/>
      <c r="C2" s="85"/>
      <c r="D2" s="86"/>
      <c r="E2" s="86"/>
      <c r="F2" s="289" t="s">
        <v>13</v>
      </c>
      <c r="G2" s="289"/>
    </row>
    <row r="3" spans="1:9">
      <c r="A3" s="87" t="s">
        <v>73</v>
      </c>
      <c r="B3" s="85"/>
      <c r="C3" s="85"/>
      <c r="D3" s="85"/>
      <c r="E3" s="85"/>
      <c r="F3" s="85"/>
      <c r="G3" s="85"/>
    </row>
    <row r="4" spans="1:9">
      <c r="A4" s="87" t="s">
        <v>76</v>
      </c>
      <c r="B4" s="85"/>
      <c r="C4" s="85"/>
      <c r="D4" s="85"/>
      <c r="E4" s="85"/>
      <c r="F4" s="85"/>
      <c r="G4" s="85"/>
    </row>
    <row r="5" spans="1:9">
      <c r="A5" s="87" t="s">
        <v>15</v>
      </c>
      <c r="B5" s="85"/>
      <c r="C5" s="85"/>
      <c r="D5" s="85"/>
      <c r="E5" s="85"/>
      <c r="F5" s="85"/>
      <c r="G5" s="85"/>
    </row>
    <row r="6" spans="1:9" ht="22.5" customHeight="1">
      <c r="A6" s="270"/>
      <c r="B6" s="270"/>
      <c r="C6" s="270"/>
      <c r="D6" s="270"/>
      <c r="E6" s="270"/>
      <c r="F6" s="270"/>
      <c r="G6" s="270"/>
    </row>
    <row r="7" spans="1:9" ht="21.75" customHeight="1">
      <c r="A7" s="321" t="s">
        <v>147</v>
      </c>
      <c r="B7" s="321"/>
      <c r="C7" s="321"/>
      <c r="D7" s="321"/>
      <c r="E7" s="321"/>
      <c r="F7" s="321"/>
      <c r="G7" s="321"/>
    </row>
    <row r="8" spans="1:9" ht="40.5" customHeight="1">
      <c r="A8" s="322" t="s">
        <v>146</v>
      </c>
      <c r="B8" s="322"/>
      <c r="C8" s="322"/>
      <c r="D8" s="322"/>
      <c r="E8" s="322"/>
      <c r="F8" s="322"/>
      <c r="G8" s="322"/>
    </row>
    <row r="9" spans="1:9" ht="27.75" customHeight="1">
      <c r="A9" s="93"/>
      <c r="B9" s="85"/>
      <c r="C9" s="85"/>
      <c r="D9" s="85"/>
      <c r="E9" s="85"/>
      <c r="F9" s="85"/>
      <c r="G9" s="85"/>
    </row>
    <row r="10" spans="1:9" ht="30" customHeight="1">
      <c r="A10" s="329" t="s">
        <v>22</v>
      </c>
      <c r="B10" s="326" t="s">
        <v>98</v>
      </c>
      <c r="C10" s="323" t="s">
        <v>27</v>
      </c>
      <c r="D10" s="323"/>
      <c r="E10" s="323"/>
      <c r="F10" s="323"/>
      <c r="G10" s="323"/>
    </row>
    <row r="11" spans="1:9" ht="30" customHeight="1">
      <c r="A11" s="331"/>
      <c r="B11" s="328"/>
      <c r="C11" s="191" t="s">
        <v>17</v>
      </c>
      <c r="D11" s="191" t="s">
        <v>18</v>
      </c>
      <c r="E11" s="191" t="s">
        <v>111</v>
      </c>
      <c r="F11" s="191" t="s">
        <v>20</v>
      </c>
      <c r="G11" s="192" t="s">
        <v>30</v>
      </c>
    </row>
    <row r="12" spans="1:9" ht="30" customHeight="1">
      <c r="A12" s="42">
        <v>1</v>
      </c>
      <c r="B12" s="187" t="s">
        <v>31</v>
      </c>
      <c r="C12" s="188">
        <f>Mikili!E12+Mikili!E14+Mikili!E15</f>
        <v>221.50500000000002</v>
      </c>
      <c r="D12" s="188">
        <f>Mikili!F12+Mikili!F14+Mikili!F15</f>
        <v>14.766999999999999</v>
      </c>
      <c r="E12" s="188">
        <f>Mikili!G12+Mikili!G14+Mikili!G15</f>
        <v>44.301000000000002</v>
      </c>
      <c r="F12" s="188">
        <f>Mikili!H12+Mikili!H14+Mikili!H15</f>
        <v>7.3834999999999997</v>
      </c>
      <c r="G12" s="189">
        <f>SUM(C12:F12)</f>
        <v>287.95650000000006</v>
      </c>
      <c r="I12" s="164"/>
    </row>
    <row r="13" spans="1:9" ht="30" customHeight="1">
      <c r="A13" s="42">
        <v>2</v>
      </c>
      <c r="B13" s="187" t="s">
        <v>32</v>
      </c>
      <c r="C13" s="188">
        <f>Mikili!E13</f>
        <v>202.00874999999999</v>
      </c>
      <c r="D13" s="188">
        <f>Mikili!F13</f>
        <v>13.46725</v>
      </c>
      <c r="E13" s="188">
        <f>Mikili!G13</f>
        <v>40.40175</v>
      </c>
      <c r="F13" s="188">
        <f>Mikili!H13</f>
        <v>6.733625</v>
      </c>
      <c r="G13" s="189">
        <f>SUM(C13:F13)</f>
        <v>262.61137500000001</v>
      </c>
    </row>
    <row r="14" spans="1:9" ht="30" customHeight="1">
      <c r="A14" s="42">
        <v>3</v>
      </c>
      <c r="B14" s="187" t="s">
        <v>72</v>
      </c>
      <c r="C14" s="188">
        <f>Mikili!E16</f>
        <v>126.82125000000001</v>
      </c>
      <c r="D14" s="188">
        <f>Mikili!F16</f>
        <v>8.4547500000000007</v>
      </c>
      <c r="E14" s="188">
        <f>Mikili!G16</f>
        <v>25.364249999999998</v>
      </c>
      <c r="F14" s="188">
        <f>Mikili!H16</f>
        <v>4.2273750000000003</v>
      </c>
      <c r="G14" s="189">
        <f>SUM(C14:F14)</f>
        <v>164.867625</v>
      </c>
    </row>
    <row r="15" spans="1:9" ht="30" customHeight="1">
      <c r="A15" s="42">
        <v>4</v>
      </c>
      <c r="B15" s="187" t="s">
        <v>139</v>
      </c>
      <c r="C15" s="188">
        <f>Mikili!E17</f>
        <v>56.174999999999997</v>
      </c>
      <c r="D15" s="188">
        <f>Mikili!F17</f>
        <v>3.7450000000000001</v>
      </c>
      <c r="E15" s="188">
        <f>Mikili!G17</f>
        <v>11.234999999999999</v>
      </c>
      <c r="F15" s="188">
        <f>Mikili!H17</f>
        <v>1.8725000000000001</v>
      </c>
      <c r="G15" s="189">
        <f>SUM(C15:F15)</f>
        <v>73.027500000000003</v>
      </c>
    </row>
    <row r="16" spans="1:9" ht="30" customHeight="1">
      <c r="A16" s="319" t="s">
        <v>42</v>
      </c>
      <c r="B16" s="320"/>
      <c r="C16" s="190">
        <f>SUM(C12:C15)</f>
        <v>606.51</v>
      </c>
      <c r="D16" s="190">
        <f>SUM(D12:D15)</f>
        <v>40.433999999999997</v>
      </c>
      <c r="E16" s="190">
        <f>SUM(E12:E15)</f>
        <v>121.30200000000001</v>
      </c>
      <c r="F16" s="190">
        <f>SUM(F12:F15)</f>
        <v>20.216999999999999</v>
      </c>
      <c r="G16" s="190">
        <f>SUM(G12:G15)</f>
        <v>788.46300000000008</v>
      </c>
      <c r="I16" s="164"/>
    </row>
    <row r="17" spans="1:11" ht="18" customHeight="1"/>
    <row r="18" spans="1:11" ht="18" customHeight="1">
      <c r="A18" s="30"/>
      <c r="B18" s="30"/>
      <c r="C18" s="31"/>
      <c r="D18" s="31"/>
      <c r="E18" s="31"/>
      <c r="F18" s="31"/>
      <c r="K18" s="164"/>
    </row>
    <row r="19" spans="1:11">
      <c r="C19" s="29">
        <f>GrainArgent_Final!C15</f>
        <v>518.49</v>
      </c>
      <c r="I19" s="164"/>
    </row>
    <row r="22" spans="1:11">
      <c r="C22" s="38">
        <f>C16+C19</f>
        <v>1125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6:B16"/>
    <mergeCell ref="F1:G1"/>
    <mergeCell ref="F2:G2"/>
    <mergeCell ref="A6:G6"/>
    <mergeCell ref="A7:G7"/>
    <mergeCell ref="A8:G8"/>
    <mergeCell ref="A10:A11"/>
    <mergeCell ref="B10:B11"/>
    <mergeCell ref="C10:G10"/>
  </mergeCells>
  <conditionalFormatting sqref="C12:G16">
    <cfRule type="cellIs" dxfId="34" priority="3" operator="equal">
      <formula>0</formula>
    </cfRule>
  </conditionalFormatting>
  <conditionalFormatting sqref="C16:G16">
    <cfRule type="cellIs" dxfId="33" priority="1" operator="equal">
      <formula>0</formula>
    </cfRule>
    <cfRule type="cellIs" dxfId="32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K21"/>
  <sheetViews>
    <sheetView topLeftCell="A2" workbookViewId="0">
      <selection activeCell="B13" sqref="B13:F14"/>
    </sheetView>
  </sheetViews>
  <sheetFormatPr baseColWidth="10" defaultRowHeight="14.25"/>
  <cols>
    <col min="1" max="1" width="8" style="29" customWidth="1"/>
    <col min="2" max="2" width="31.85546875" style="29" customWidth="1"/>
    <col min="3" max="7" width="19.7109375" style="29" customWidth="1"/>
    <col min="8" max="16384" width="11.42578125" style="29"/>
  </cols>
  <sheetData>
    <row r="1" spans="1:9">
      <c r="A1" s="84" t="s">
        <v>10</v>
      </c>
      <c r="B1" s="85"/>
      <c r="C1" s="85"/>
      <c r="D1" s="86"/>
      <c r="E1" s="86"/>
      <c r="F1" s="289" t="s">
        <v>11</v>
      </c>
      <c r="G1" s="289"/>
    </row>
    <row r="2" spans="1:9">
      <c r="A2" s="84" t="s">
        <v>75</v>
      </c>
      <c r="B2" s="85"/>
      <c r="C2" s="85"/>
      <c r="D2" s="86"/>
      <c r="E2" s="86"/>
      <c r="F2" s="289" t="s">
        <v>13</v>
      </c>
      <c r="G2" s="289"/>
    </row>
    <row r="3" spans="1:9">
      <c r="A3" s="87" t="s">
        <v>73</v>
      </c>
      <c r="B3" s="85"/>
      <c r="C3" s="85"/>
      <c r="D3" s="85"/>
      <c r="E3" s="85"/>
      <c r="F3" s="85"/>
      <c r="G3" s="85"/>
    </row>
    <row r="4" spans="1:9">
      <c r="A4" s="87" t="s">
        <v>76</v>
      </c>
      <c r="B4" s="85"/>
      <c r="C4" s="85"/>
      <c r="D4" s="85"/>
      <c r="E4" s="85"/>
      <c r="F4" s="85"/>
      <c r="G4" s="85"/>
    </row>
    <row r="5" spans="1:9">
      <c r="A5" s="87" t="s">
        <v>15</v>
      </c>
      <c r="B5" s="85"/>
      <c r="C5" s="85"/>
      <c r="D5" s="85"/>
      <c r="E5" s="85"/>
      <c r="F5" s="85"/>
      <c r="G5" s="85"/>
    </row>
    <row r="6" spans="1:9" ht="22.5" customHeight="1">
      <c r="A6" s="270"/>
      <c r="B6" s="270"/>
      <c r="C6" s="270"/>
      <c r="D6" s="270"/>
      <c r="E6" s="270"/>
      <c r="F6" s="270"/>
      <c r="G6" s="270"/>
    </row>
    <row r="7" spans="1:9" ht="21.75" customHeight="1">
      <c r="A7" s="321" t="s">
        <v>147</v>
      </c>
      <c r="B7" s="321"/>
      <c r="C7" s="321"/>
      <c r="D7" s="321"/>
      <c r="E7" s="321"/>
      <c r="F7" s="321"/>
      <c r="G7" s="321"/>
    </row>
    <row r="8" spans="1:9" ht="40.5" customHeight="1">
      <c r="A8" s="322" t="s">
        <v>148</v>
      </c>
      <c r="B8" s="322"/>
      <c r="C8" s="322"/>
      <c r="D8" s="322"/>
      <c r="E8" s="322"/>
      <c r="F8" s="322"/>
      <c r="G8" s="322"/>
    </row>
    <row r="9" spans="1:9" ht="27" customHeight="1">
      <c r="A9" s="193"/>
      <c r="B9" s="193"/>
      <c r="C9" s="193"/>
      <c r="D9" s="193"/>
      <c r="E9" s="193"/>
      <c r="F9" s="193"/>
      <c r="G9" s="193"/>
    </row>
    <row r="10" spans="1:9" ht="27.75" customHeight="1">
      <c r="A10" s="93"/>
      <c r="B10" s="85"/>
      <c r="C10" s="85"/>
      <c r="D10" s="85"/>
      <c r="E10" s="85"/>
      <c r="F10" s="85"/>
      <c r="G10" s="85"/>
    </row>
    <row r="11" spans="1:9" ht="30" customHeight="1">
      <c r="A11" s="329" t="s">
        <v>22</v>
      </c>
      <c r="B11" s="326" t="s">
        <v>98</v>
      </c>
      <c r="C11" s="323" t="s">
        <v>27</v>
      </c>
      <c r="D11" s="323"/>
      <c r="E11" s="323"/>
      <c r="F11" s="323"/>
      <c r="G11" s="323"/>
    </row>
    <row r="12" spans="1:9" ht="30" customHeight="1">
      <c r="A12" s="331"/>
      <c r="B12" s="328"/>
      <c r="C12" s="191" t="s">
        <v>17</v>
      </c>
      <c r="D12" s="191" t="s">
        <v>18</v>
      </c>
      <c r="E12" s="191" t="s">
        <v>111</v>
      </c>
      <c r="F12" s="191" t="s">
        <v>20</v>
      </c>
      <c r="G12" s="192" t="s">
        <v>30</v>
      </c>
    </row>
    <row r="13" spans="1:9" ht="30" customHeight="1">
      <c r="A13" s="42">
        <v>1</v>
      </c>
      <c r="B13" s="187" t="s">
        <v>140</v>
      </c>
      <c r="C13" s="188">
        <f>GrainArgent!E12+GrainArgent!E13+GrainArgent!E15</f>
        <v>281.03250000000003</v>
      </c>
      <c r="D13" s="188">
        <f>GrainArgent!F12+GrainArgent!F13+GrainArgent!F15</f>
        <v>18.735500000000002</v>
      </c>
      <c r="E13" s="188">
        <f>GrainArgent!G12+GrainArgent!G13+GrainArgent!G15</f>
        <v>56.206499999999998</v>
      </c>
      <c r="F13" s="188">
        <f>GrainArgent!H12+GrainArgent!H13+GrainArgent!H15</f>
        <v>9.3677500000000009</v>
      </c>
      <c r="G13" s="189">
        <f>SUM(C13:F13)</f>
        <v>365.34225000000004</v>
      </c>
      <c r="I13" s="164"/>
    </row>
    <row r="14" spans="1:9" ht="30" customHeight="1">
      <c r="A14" s="42">
        <v>2</v>
      </c>
      <c r="B14" s="187" t="s">
        <v>38</v>
      </c>
      <c r="C14" s="188">
        <f>GrainArgent!E14</f>
        <v>237.45750000000001</v>
      </c>
      <c r="D14" s="188">
        <f>GrainArgent!F14</f>
        <v>15.830500000000001</v>
      </c>
      <c r="E14" s="188">
        <f>GrainArgent!G14</f>
        <v>47.491500000000002</v>
      </c>
      <c r="F14" s="188">
        <f>GrainArgent!H14</f>
        <v>7.9152500000000003</v>
      </c>
      <c r="G14" s="189">
        <f>SUM(C14:F14)</f>
        <v>308.69475</v>
      </c>
    </row>
    <row r="15" spans="1:9" ht="30" customHeight="1">
      <c r="A15" s="319" t="s">
        <v>42</v>
      </c>
      <c r="B15" s="320"/>
      <c r="C15" s="190">
        <f>SUM(C13:C14)</f>
        <v>518.49</v>
      </c>
      <c r="D15" s="190">
        <f>SUM(D13:D14)</f>
        <v>34.566000000000003</v>
      </c>
      <c r="E15" s="190">
        <f>SUM(E13:E14)</f>
        <v>103.69800000000001</v>
      </c>
      <c r="F15" s="190">
        <f>SUM(F13:F14)</f>
        <v>17.283000000000001</v>
      </c>
      <c r="G15" s="190">
        <f>SUM(G13:G14)</f>
        <v>674.03700000000003</v>
      </c>
      <c r="I15" s="164"/>
    </row>
    <row r="16" spans="1:9" ht="18" customHeight="1"/>
    <row r="17" spans="1:11" ht="18" customHeight="1">
      <c r="A17" s="30"/>
      <c r="B17" s="30"/>
      <c r="C17" s="31"/>
      <c r="D17" s="31"/>
      <c r="E17" s="31"/>
      <c r="F17" s="31"/>
      <c r="K17" s="164"/>
    </row>
    <row r="18" spans="1:11">
      <c r="I18" s="164"/>
    </row>
    <row r="19" spans="1:11">
      <c r="G19" s="38"/>
    </row>
    <row r="20" spans="1:11">
      <c r="C20" s="38"/>
    </row>
    <row r="21" spans="1:11">
      <c r="G21" s="5"/>
    </row>
  </sheetData>
  <sheetProtection formatCells="0" formatColumns="0" formatRows="0" insertColumns="0" insertRows="0" insertHyperlinks="0" deleteColumns="0" deleteRows="0" sort="0" autoFilter="0" pivotTables="0"/>
  <mergeCells count="9">
    <mergeCell ref="A15:B15"/>
    <mergeCell ref="F1:G1"/>
    <mergeCell ref="F2:G2"/>
    <mergeCell ref="A6:G6"/>
    <mergeCell ref="A7:G7"/>
    <mergeCell ref="A8:G8"/>
    <mergeCell ref="A11:A12"/>
    <mergeCell ref="B11:B12"/>
    <mergeCell ref="C11:G11"/>
  </mergeCells>
  <conditionalFormatting sqref="C13:G15">
    <cfRule type="cellIs" dxfId="31" priority="3" operator="equal">
      <formula>0</formula>
    </cfRule>
  </conditionalFormatting>
  <conditionalFormatting sqref="C15:G15">
    <cfRule type="cellIs" dxfId="30" priority="1" operator="equal">
      <formula>0</formula>
    </cfRule>
    <cfRule type="cellIs" dxfId="29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29"/>
  <sheetViews>
    <sheetView topLeftCell="A82" workbookViewId="0">
      <selection activeCell="F94" sqref="F94:F105"/>
    </sheetView>
  </sheetViews>
  <sheetFormatPr baseColWidth="10" defaultRowHeight="12.75"/>
  <cols>
    <col min="1" max="1" width="12.7109375" style="12" customWidth="1"/>
    <col min="2" max="3" width="14.7109375" style="12" customWidth="1"/>
    <col min="4" max="5" width="8.7109375" style="131" customWidth="1"/>
    <col min="6" max="6" width="9.7109375" style="12" customWidth="1"/>
    <col min="7" max="7" width="24.28515625" style="78" hidden="1" customWidth="1"/>
    <col min="8" max="8" width="22.5703125" style="78" hidden="1" customWidth="1"/>
    <col min="9" max="10" width="8.7109375" style="133" customWidth="1"/>
    <col min="11" max="11" width="9.7109375" style="12" customWidth="1"/>
    <col min="12" max="16384" width="11.42578125" style="12"/>
  </cols>
  <sheetData>
    <row r="1" spans="1:15" ht="12" customHeight="1">
      <c r="A1" s="44"/>
      <c r="B1" s="44"/>
      <c r="C1" s="44"/>
      <c r="D1" s="129"/>
      <c r="E1" s="129"/>
      <c r="F1" s="44"/>
      <c r="G1" s="108"/>
      <c r="H1" s="108"/>
      <c r="I1" s="132"/>
      <c r="J1" s="132"/>
      <c r="K1" s="44"/>
    </row>
    <row r="2" spans="1:15" ht="24.95" customHeight="1">
      <c r="A2" s="334" t="s">
        <v>49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14"/>
      <c r="M2" s="34"/>
      <c r="N2" s="34"/>
      <c r="O2" s="34"/>
    </row>
    <row r="3" spans="1:15" ht="24.95" customHeight="1">
      <c r="A3" s="334" t="s">
        <v>80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14"/>
      <c r="M3" s="34"/>
      <c r="N3" s="34"/>
      <c r="O3" s="34"/>
    </row>
    <row r="4" spans="1:15" ht="22.5" customHeight="1">
      <c r="A4" s="334" t="s">
        <v>91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M4" s="15"/>
      <c r="N4" s="15"/>
      <c r="O4" s="15"/>
    </row>
    <row r="5" spans="1:15" ht="15" customHeight="1">
      <c r="A5" s="45"/>
      <c r="B5" s="45"/>
      <c r="C5" s="45"/>
      <c r="D5" s="129"/>
      <c r="E5" s="129"/>
      <c r="F5" s="44"/>
      <c r="G5" s="108"/>
      <c r="H5" s="108"/>
      <c r="I5" s="132"/>
      <c r="J5" s="132"/>
      <c r="K5" s="44"/>
    </row>
    <row r="6" spans="1:15" ht="9.9499999999999993" customHeight="1">
      <c r="A6" s="44"/>
      <c r="B6" s="44"/>
      <c r="C6" s="44"/>
      <c r="D6" s="129"/>
      <c r="E6" s="129"/>
      <c r="F6" s="44"/>
      <c r="G6" s="108"/>
      <c r="H6" s="108"/>
      <c r="I6" s="132"/>
      <c r="J6" s="132"/>
      <c r="K6" s="44"/>
    </row>
    <row r="7" spans="1:15" ht="30" customHeight="1">
      <c r="A7" s="46" t="s">
        <v>47</v>
      </c>
      <c r="B7" s="46" t="s">
        <v>51</v>
      </c>
      <c r="C7" s="46" t="s">
        <v>59</v>
      </c>
      <c r="D7" s="46" t="s">
        <v>55</v>
      </c>
      <c r="E7" s="46" t="s">
        <v>52</v>
      </c>
      <c r="F7" s="46" t="s">
        <v>61</v>
      </c>
      <c r="G7" s="46" t="s">
        <v>89</v>
      </c>
      <c r="H7" s="46" t="s">
        <v>87</v>
      </c>
      <c r="I7" s="46" t="s">
        <v>53</v>
      </c>
      <c r="J7" s="46" t="s">
        <v>62</v>
      </c>
      <c r="K7" s="46" t="s">
        <v>63</v>
      </c>
    </row>
    <row r="8" spans="1:15" ht="18" customHeight="1">
      <c r="A8" s="56">
        <v>42086</v>
      </c>
      <c r="B8" s="57" t="s">
        <v>88</v>
      </c>
      <c r="C8" s="58" t="s">
        <v>33</v>
      </c>
      <c r="D8" s="59">
        <v>100258</v>
      </c>
      <c r="E8" s="59"/>
      <c r="F8" s="57" t="s">
        <v>17</v>
      </c>
      <c r="G8" s="110" t="str">
        <f>IF(ISTEXT(C8),IF(ISTEXT(F8),CONCATENATE(C8,"-",F8)))</f>
        <v>Bouna-Riz</v>
      </c>
      <c r="H8" s="110" t="str">
        <f>IF(ISTEXT(B8),IF(ISTEXT(F8),CONCATENATE(B8,"-",F8)))</f>
        <v>Grain_Argent-Riz</v>
      </c>
      <c r="I8" s="60">
        <v>800</v>
      </c>
      <c r="J8" s="60">
        <v>50</v>
      </c>
      <c r="K8" s="8">
        <f>(I8*J8)/1000</f>
        <v>40</v>
      </c>
    </row>
    <row r="9" spans="1:15" ht="18" customHeight="1">
      <c r="A9" s="56">
        <v>42086</v>
      </c>
      <c r="B9" s="57" t="s">
        <v>88</v>
      </c>
      <c r="C9" s="58" t="s">
        <v>32</v>
      </c>
      <c r="D9" s="59">
        <v>100259</v>
      </c>
      <c r="E9" s="59"/>
      <c r="F9" s="57" t="s">
        <v>17</v>
      </c>
      <c r="G9" s="110" t="str">
        <f t="shared" ref="G9:G44" si="0">IF(ISTEXT(C9),IF(ISTEXT(F9),CONCATENATE(C9,"-",F9)))</f>
        <v>Tanda-Riz</v>
      </c>
      <c r="H9" s="110" t="str">
        <f t="shared" ref="H9:H44" si="1">IF(ISTEXT(B9),IF(ISTEXT(F9),CONCATENATE(B9,"-",F9)))</f>
        <v>Grain_Argent-Riz</v>
      </c>
      <c r="I9" s="60">
        <v>640</v>
      </c>
      <c r="J9" s="60">
        <v>50</v>
      </c>
      <c r="K9" s="8">
        <f t="shared" ref="K9:K44" si="2">(I9*J9)/1000</f>
        <v>32</v>
      </c>
      <c r="N9" s="112"/>
    </row>
    <row r="10" spans="1:15" ht="18" customHeight="1">
      <c r="A10" s="56">
        <v>42086</v>
      </c>
      <c r="B10" s="57" t="s">
        <v>88</v>
      </c>
      <c r="C10" s="58" t="s">
        <v>32</v>
      </c>
      <c r="D10" s="59">
        <v>100260</v>
      </c>
      <c r="E10" s="59"/>
      <c r="F10" s="57" t="s">
        <v>17</v>
      </c>
      <c r="G10" s="110" t="str">
        <f t="shared" si="0"/>
        <v>Tanda-Riz</v>
      </c>
      <c r="H10" s="110" t="str">
        <f t="shared" si="1"/>
        <v>Grain_Argent-Riz</v>
      </c>
      <c r="I10" s="60">
        <v>640</v>
      </c>
      <c r="J10" s="60">
        <v>50</v>
      </c>
      <c r="K10" s="8">
        <f t="shared" si="2"/>
        <v>32</v>
      </c>
    </row>
    <row r="11" spans="1:15" ht="18" customHeight="1">
      <c r="A11" s="56">
        <v>42086</v>
      </c>
      <c r="B11" s="57" t="s">
        <v>88</v>
      </c>
      <c r="C11" s="58" t="s">
        <v>31</v>
      </c>
      <c r="D11" s="59">
        <v>261</v>
      </c>
      <c r="E11" s="59"/>
      <c r="F11" s="57" t="s">
        <v>17</v>
      </c>
      <c r="G11" s="110" t="str">
        <f t="shared" si="0"/>
        <v>Bondoukou-Riz</v>
      </c>
      <c r="H11" s="110" t="str">
        <f t="shared" si="1"/>
        <v>Grain_Argent-Riz</v>
      </c>
      <c r="I11" s="60">
        <v>800</v>
      </c>
      <c r="J11" s="60">
        <v>50</v>
      </c>
      <c r="K11" s="8">
        <f t="shared" si="2"/>
        <v>40</v>
      </c>
    </row>
    <row r="12" spans="1:15" ht="18" customHeight="1">
      <c r="A12" s="56">
        <v>42086</v>
      </c>
      <c r="B12" s="57" t="s">
        <v>88</v>
      </c>
      <c r="C12" s="58" t="s">
        <v>32</v>
      </c>
      <c r="D12" s="59">
        <v>262</v>
      </c>
      <c r="E12" s="59"/>
      <c r="F12" s="57" t="s">
        <v>17</v>
      </c>
      <c r="G12" s="110" t="str">
        <f t="shared" si="0"/>
        <v>Tanda-Riz</v>
      </c>
      <c r="H12" s="110" t="str">
        <f t="shared" si="1"/>
        <v>Grain_Argent-Riz</v>
      </c>
      <c r="I12" s="60">
        <v>640</v>
      </c>
      <c r="J12" s="60">
        <v>50</v>
      </c>
      <c r="K12" s="8">
        <f t="shared" si="2"/>
        <v>32</v>
      </c>
    </row>
    <row r="13" spans="1:15" ht="18" customHeight="1">
      <c r="A13" s="56">
        <v>42087</v>
      </c>
      <c r="B13" s="57" t="s">
        <v>88</v>
      </c>
      <c r="C13" s="58" t="s">
        <v>31</v>
      </c>
      <c r="D13" s="59">
        <v>263</v>
      </c>
      <c r="E13" s="59"/>
      <c r="F13" s="57" t="s">
        <v>17</v>
      </c>
      <c r="G13" s="110" t="str">
        <f t="shared" si="0"/>
        <v>Bondoukou-Riz</v>
      </c>
      <c r="H13" s="110" t="str">
        <f t="shared" si="1"/>
        <v>Grain_Argent-Riz</v>
      </c>
      <c r="I13" s="60">
        <v>800</v>
      </c>
      <c r="J13" s="60">
        <v>50</v>
      </c>
      <c r="K13" s="8">
        <f t="shared" si="2"/>
        <v>40</v>
      </c>
    </row>
    <row r="14" spans="1:15" ht="18" customHeight="1">
      <c r="A14" s="56">
        <v>42087</v>
      </c>
      <c r="B14" s="57" t="s">
        <v>88</v>
      </c>
      <c r="C14" s="58" t="s">
        <v>32</v>
      </c>
      <c r="D14" s="59">
        <v>264</v>
      </c>
      <c r="E14" s="59"/>
      <c r="F14" s="57" t="s">
        <v>17</v>
      </c>
      <c r="G14" s="110" t="str">
        <f t="shared" si="0"/>
        <v>Tanda-Riz</v>
      </c>
      <c r="H14" s="110" t="str">
        <f t="shared" si="1"/>
        <v>Grain_Argent-Riz</v>
      </c>
      <c r="I14" s="60">
        <v>640</v>
      </c>
      <c r="J14" s="60">
        <v>50</v>
      </c>
      <c r="K14" s="8">
        <f t="shared" si="2"/>
        <v>32</v>
      </c>
    </row>
    <row r="15" spans="1:15" ht="18" customHeight="1">
      <c r="A15" s="56">
        <v>42087</v>
      </c>
      <c r="B15" s="57" t="s">
        <v>88</v>
      </c>
      <c r="C15" s="58" t="s">
        <v>32</v>
      </c>
      <c r="D15" s="59">
        <v>265</v>
      </c>
      <c r="E15" s="59"/>
      <c r="F15" s="57" t="s">
        <v>17</v>
      </c>
      <c r="G15" s="110" t="str">
        <f t="shared" si="0"/>
        <v>Tanda-Riz</v>
      </c>
      <c r="H15" s="110" t="str">
        <f t="shared" si="1"/>
        <v>Grain_Argent-Riz</v>
      </c>
      <c r="I15" s="60">
        <v>640</v>
      </c>
      <c r="J15" s="60">
        <v>50</v>
      </c>
      <c r="K15" s="8">
        <f t="shared" si="2"/>
        <v>32</v>
      </c>
    </row>
    <row r="16" spans="1:15" ht="18" customHeight="1">
      <c r="A16" s="56">
        <v>42087</v>
      </c>
      <c r="B16" s="57" t="s">
        <v>88</v>
      </c>
      <c r="C16" s="58" t="s">
        <v>31</v>
      </c>
      <c r="D16" s="59">
        <v>266</v>
      </c>
      <c r="E16" s="59"/>
      <c r="F16" s="57" t="s">
        <v>17</v>
      </c>
      <c r="G16" s="110" t="str">
        <f t="shared" si="0"/>
        <v>Bondoukou-Riz</v>
      </c>
      <c r="H16" s="110" t="str">
        <f t="shared" si="1"/>
        <v>Grain_Argent-Riz</v>
      </c>
      <c r="I16" s="60">
        <v>800</v>
      </c>
      <c r="J16" s="60">
        <v>50</v>
      </c>
      <c r="K16" s="8">
        <f t="shared" si="2"/>
        <v>40</v>
      </c>
    </row>
    <row r="17" spans="1:14" ht="18" customHeight="1">
      <c r="A17" s="56">
        <v>42087</v>
      </c>
      <c r="B17" s="57" t="s">
        <v>88</v>
      </c>
      <c r="C17" s="58" t="s">
        <v>32</v>
      </c>
      <c r="D17" s="59">
        <v>267</v>
      </c>
      <c r="E17" s="59"/>
      <c r="F17" s="57" t="s">
        <v>17</v>
      </c>
      <c r="G17" s="110" t="str">
        <f t="shared" si="0"/>
        <v>Tanda-Riz</v>
      </c>
      <c r="H17" s="110" t="str">
        <f t="shared" si="1"/>
        <v>Grain_Argent-Riz</v>
      </c>
      <c r="I17" s="60">
        <v>640</v>
      </c>
      <c r="J17" s="60">
        <v>50</v>
      </c>
      <c r="K17" s="8">
        <f t="shared" si="2"/>
        <v>32</v>
      </c>
    </row>
    <row r="18" spans="1:14" ht="18" customHeight="1">
      <c r="A18" s="56">
        <v>42087</v>
      </c>
      <c r="B18" s="57" t="s">
        <v>88</v>
      </c>
      <c r="C18" s="58" t="s">
        <v>32</v>
      </c>
      <c r="D18" s="59">
        <v>268</v>
      </c>
      <c r="E18" s="59"/>
      <c r="F18" s="57" t="s">
        <v>17</v>
      </c>
      <c r="G18" s="110" t="str">
        <f t="shared" si="0"/>
        <v>Tanda-Riz</v>
      </c>
      <c r="H18" s="110" t="str">
        <f t="shared" si="1"/>
        <v>Grain_Argent-Riz</v>
      </c>
      <c r="I18" s="60">
        <v>640</v>
      </c>
      <c r="J18" s="60">
        <v>50</v>
      </c>
      <c r="K18" s="8">
        <f t="shared" si="2"/>
        <v>32</v>
      </c>
    </row>
    <row r="19" spans="1:14" ht="18" customHeight="1">
      <c r="A19" s="56">
        <v>42087</v>
      </c>
      <c r="B19" s="57" t="s">
        <v>88</v>
      </c>
      <c r="C19" s="58" t="s">
        <v>32</v>
      </c>
      <c r="D19" s="59">
        <v>269</v>
      </c>
      <c r="E19" s="59"/>
      <c r="F19" s="57" t="s">
        <v>17</v>
      </c>
      <c r="G19" s="110" t="str">
        <f t="shared" si="0"/>
        <v>Tanda-Riz</v>
      </c>
      <c r="H19" s="110" t="str">
        <f t="shared" si="1"/>
        <v>Grain_Argent-Riz</v>
      </c>
      <c r="I19" s="60">
        <v>640</v>
      </c>
      <c r="J19" s="60">
        <v>50</v>
      </c>
      <c r="K19" s="8">
        <f t="shared" si="2"/>
        <v>32</v>
      </c>
    </row>
    <row r="20" spans="1:14" ht="18" customHeight="1">
      <c r="A20" s="56">
        <v>42088</v>
      </c>
      <c r="B20" s="61" t="s">
        <v>81</v>
      </c>
      <c r="C20" s="62" t="s">
        <v>34</v>
      </c>
      <c r="D20" s="59">
        <v>272</v>
      </c>
      <c r="E20" s="59"/>
      <c r="F20" s="57" t="s">
        <v>17</v>
      </c>
      <c r="G20" s="110" t="str">
        <f t="shared" si="0"/>
        <v>Guiglo-Riz</v>
      </c>
      <c r="H20" s="110" t="str">
        <f t="shared" si="1"/>
        <v>Mikili-Riz</v>
      </c>
      <c r="I20" s="60">
        <v>800</v>
      </c>
      <c r="J20" s="60">
        <v>50</v>
      </c>
      <c r="K20" s="8">
        <f t="shared" si="2"/>
        <v>40</v>
      </c>
      <c r="N20" s="112"/>
    </row>
    <row r="21" spans="1:14" ht="18" customHeight="1">
      <c r="A21" s="56">
        <v>42088</v>
      </c>
      <c r="B21" s="61" t="s">
        <v>81</v>
      </c>
      <c r="C21" s="62" t="s">
        <v>34</v>
      </c>
      <c r="D21" s="59">
        <v>273</v>
      </c>
      <c r="E21" s="59"/>
      <c r="F21" s="57" t="s">
        <v>17</v>
      </c>
      <c r="G21" s="110" t="str">
        <f t="shared" si="0"/>
        <v>Guiglo-Riz</v>
      </c>
      <c r="H21" s="110" t="str">
        <f t="shared" si="1"/>
        <v>Mikili-Riz</v>
      </c>
      <c r="I21" s="60">
        <v>800</v>
      </c>
      <c r="J21" s="60">
        <v>50</v>
      </c>
      <c r="K21" s="8">
        <f t="shared" si="2"/>
        <v>40</v>
      </c>
    </row>
    <row r="22" spans="1:14" ht="18" customHeight="1">
      <c r="A22" s="56">
        <v>42088</v>
      </c>
      <c r="B22" s="57" t="s">
        <v>88</v>
      </c>
      <c r="C22" s="62" t="s">
        <v>34</v>
      </c>
      <c r="D22" s="59">
        <v>274</v>
      </c>
      <c r="E22" s="59"/>
      <c r="F22" s="57" t="s">
        <v>17</v>
      </c>
      <c r="G22" s="110" t="str">
        <f t="shared" si="0"/>
        <v>Guiglo-Riz</v>
      </c>
      <c r="H22" s="110" t="str">
        <f t="shared" si="1"/>
        <v>Grain_Argent-Riz</v>
      </c>
      <c r="I22" s="60">
        <v>740</v>
      </c>
      <c r="J22" s="60">
        <v>50</v>
      </c>
      <c r="K22" s="8">
        <f t="shared" si="2"/>
        <v>37</v>
      </c>
    </row>
    <row r="23" spans="1:14" ht="18" customHeight="1">
      <c r="A23" s="56">
        <v>42088</v>
      </c>
      <c r="B23" s="57" t="s">
        <v>88</v>
      </c>
      <c r="C23" s="62" t="s">
        <v>31</v>
      </c>
      <c r="D23" s="59">
        <v>275</v>
      </c>
      <c r="E23" s="59"/>
      <c r="F23" s="57" t="s">
        <v>17</v>
      </c>
      <c r="G23" s="110" t="str">
        <f t="shared" si="0"/>
        <v>Bondoukou-Riz</v>
      </c>
      <c r="H23" s="110" t="str">
        <f t="shared" si="1"/>
        <v>Grain_Argent-Riz</v>
      </c>
      <c r="I23" s="60">
        <v>800</v>
      </c>
      <c r="J23" s="60">
        <v>50</v>
      </c>
      <c r="K23" s="8">
        <f t="shared" si="2"/>
        <v>40</v>
      </c>
    </row>
    <row r="24" spans="1:14" ht="18" customHeight="1">
      <c r="A24" s="56">
        <v>42088</v>
      </c>
      <c r="B24" s="61" t="s">
        <v>81</v>
      </c>
      <c r="C24" s="62" t="s">
        <v>34</v>
      </c>
      <c r="D24" s="59">
        <v>276</v>
      </c>
      <c r="E24" s="59"/>
      <c r="F24" s="57" t="s">
        <v>17</v>
      </c>
      <c r="G24" s="110" t="str">
        <f t="shared" si="0"/>
        <v>Guiglo-Riz</v>
      </c>
      <c r="H24" s="110" t="str">
        <f t="shared" si="1"/>
        <v>Mikili-Riz</v>
      </c>
      <c r="I24" s="60">
        <v>838.46</v>
      </c>
      <c r="J24" s="60">
        <v>50</v>
      </c>
      <c r="K24" s="8">
        <f t="shared" si="2"/>
        <v>41.923000000000002</v>
      </c>
    </row>
    <row r="25" spans="1:14" ht="18" customHeight="1">
      <c r="A25" s="56">
        <v>42089</v>
      </c>
      <c r="B25" s="57" t="s">
        <v>88</v>
      </c>
      <c r="C25" s="62" t="s">
        <v>34</v>
      </c>
      <c r="D25" s="59">
        <v>277</v>
      </c>
      <c r="E25" s="59"/>
      <c r="F25" s="57" t="s">
        <v>17</v>
      </c>
      <c r="G25" s="110" t="str">
        <f t="shared" si="0"/>
        <v>Guiglo-Riz</v>
      </c>
      <c r="H25" s="110" t="str">
        <f t="shared" si="1"/>
        <v>Grain_Argent-Riz</v>
      </c>
      <c r="I25" s="60">
        <v>740</v>
      </c>
      <c r="J25" s="60">
        <v>50</v>
      </c>
      <c r="K25" s="8">
        <f t="shared" si="2"/>
        <v>37</v>
      </c>
    </row>
    <row r="26" spans="1:14" ht="18" customHeight="1">
      <c r="A26" s="56">
        <v>42089</v>
      </c>
      <c r="B26" s="57" t="s">
        <v>88</v>
      </c>
      <c r="C26" s="65" t="s">
        <v>34</v>
      </c>
      <c r="D26" s="59">
        <v>278</v>
      </c>
      <c r="E26" s="69"/>
      <c r="F26" s="67" t="s">
        <v>17</v>
      </c>
      <c r="G26" s="110" t="str">
        <f t="shared" si="0"/>
        <v>Guiglo-Riz</v>
      </c>
      <c r="H26" s="110" t="str">
        <f t="shared" si="1"/>
        <v>Grain_Argent-Riz</v>
      </c>
      <c r="I26" s="60">
        <v>740</v>
      </c>
      <c r="J26" s="60">
        <v>50</v>
      </c>
      <c r="K26" s="8">
        <f t="shared" si="2"/>
        <v>37</v>
      </c>
    </row>
    <row r="27" spans="1:14" ht="18" customHeight="1">
      <c r="A27" s="56">
        <v>42089</v>
      </c>
      <c r="B27" s="57" t="s">
        <v>88</v>
      </c>
      <c r="C27" s="65" t="s">
        <v>40</v>
      </c>
      <c r="D27" s="69">
        <v>279</v>
      </c>
      <c r="E27" s="69"/>
      <c r="F27" s="67" t="s">
        <v>17</v>
      </c>
      <c r="G27" s="110" t="str">
        <f t="shared" si="0"/>
        <v>Seguela-Riz</v>
      </c>
      <c r="H27" s="110" t="str">
        <f t="shared" si="1"/>
        <v>Grain_Argent-Riz</v>
      </c>
      <c r="I27" s="60">
        <v>680</v>
      </c>
      <c r="J27" s="60">
        <v>50</v>
      </c>
      <c r="K27" s="8">
        <f t="shared" si="2"/>
        <v>34</v>
      </c>
    </row>
    <row r="28" spans="1:14" ht="18" customHeight="1">
      <c r="A28" s="56">
        <v>42089</v>
      </c>
      <c r="B28" s="57" t="s">
        <v>88</v>
      </c>
      <c r="C28" s="62" t="s">
        <v>40</v>
      </c>
      <c r="D28" s="59">
        <v>283</v>
      </c>
      <c r="E28" s="59"/>
      <c r="F28" s="57" t="s">
        <v>17</v>
      </c>
      <c r="G28" s="110" t="str">
        <f t="shared" si="0"/>
        <v>Seguela-Riz</v>
      </c>
      <c r="H28" s="110" t="str">
        <f t="shared" si="1"/>
        <v>Grain_Argent-Riz</v>
      </c>
      <c r="I28" s="60">
        <v>760</v>
      </c>
      <c r="J28" s="60">
        <v>50</v>
      </c>
      <c r="K28" s="8">
        <f t="shared" si="2"/>
        <v>38</v>
      </c>
    </row>
    <row r="29" spans="1:14" ht="18" customHeight="1">
      <c r="A29" s="56">
        <v>42089</v>
      </c>
      <c r="B29" s="64" t="s">
        <v>81</v>
      </c>
      <c r="C29" s="65" t="s">
        <v>38</v>
      </c>
      <c r="D29" s="59">
        <v>280</v>
      </c>
      <c r="E29" s="69"/>
      <c r="F29" s="67" t="s">
        <v>17</v>
      </c>
      <c r="G29" s="110" t="str">
        <f t="shared" si="0"/>
        <v>Korhogo-Riz</v>
      </c>
      <c r="H29" s="110" t="str">
        <f t="shared" si="1"/>
        <v>Mikili-Riz</v>
      </c>
      <c r="I29" s="60">
        <v>800.14</v>
      </c>
      <c r="J29" s="60">
        <v>50</v>
      </c>
      <c r="K29" s="8">
        <f t="shared" si="2"/>
        <v>40.006999999999998</v>
      </c>
    </row>
    <row r="30" spans="1:14" ht="18" customHeight="1">
      <c r="A30" s="56">
        <v>42089</v>
      </c>
      <c r="B30" s="64" t="s">
        <v>81</v>
      </c>
      <c r="C30" s="65" t="s">
        <v>38</v>
      </c>
      <c r="D30" s="59">
        <v>282</v>
      </c>
      <c r="E30" s="69"/>
      <c r="F30" s="67" t="s">
        <v>17</v>
      </c>
      <c r="G30" s="110" t="str">
        <f t="shared" si="0"/>
        <v>Korhogo-Riz</v>
      </c>
      <c r="H30" s="110" t="str">
        <f t="shared" si="1"/>
        <v>Mikili-Riz</v>
      </c>
      <c r="I30" s="60">
        <v>800.14</v>
      </c>
      <c r="J30" s="60">
        <v>50</v>
      </c>
      <c r="K30" s="8">
        <f t="shared" si="2"/>
        <v>40.006999999999998</v>
      </c>
    </row>
    <row r="31" spans="1:14" ht="18" customHeight="1">
      <c r="A31" s="113">
        <v>42090</v>
      </c>
      <c r="B31" s="57" t="s">
        <v>88</v>
      </c>
      <c r="C31" s="65" t="s">
        <v>39</v>
      </c>
      <c r="D31" s="69">
        <v>284</v>
      </c>
      <c r="E31" s="69"/>
      <c r="F31" s="67" t="s">
        <v>17</v>
      </c>
      <c r="G31" s="110" t="str">
        <f t="shared" si="0"/>
        <v>Mankono-Riz</v>
      </c>
      <c r="H31" s="110" t="str">
        <f t="shared" si="1"/>
        <v>Grain_Argent-Riz</v>
      </c>
      <c r="I31" s="60">
        <v>680</v>
      </c>
      <c r="J31" s="60">
        <v>50</v>
      </c>
      <c r="K31" s="8">
        <f t="shared" si="2"/>
        <v>34</v>
      </c>
    </row>
    <row r="32" spans="1:14" ht="18" customHeight="1">
      <c r="A32" s="113">
        <v>42090</v>
      </c>
      <c r="B32" s="57" t="s">
        <v>88</v>
      </c>
      <c r="C32" s="65" t="s">
        <v>34</v>
      </c>
      <c r="D32" s="69">
        <v>285</v>
      </c>
      <c r="E32" s="69"/>
      <c r="F32" s="67" t="s">
        <v>82</v>
      </c>
      <c r="G32" s="110" t="str">
        <f t="shared" si="0"/>
        <v>Guiglo-RIZ</v>
      </c>
      <c r="H32" s="110" t="str">
        <f t="shared" si="1"/>
        <v>Grain_Argent-RIZ</v>
      </c>
      <c r="I32" s="60">
        <v>740</v>
      </c>
      <c r="J32" s="60">
        <v>50</v>
      </c>
      <c r="K32" s="8">
        <f t="shared" si="2"/>
        <v>37</v>
      </c>
    </row>
    <row r="33" spans="1:11" ht="18" customHeight="1">
      <c r="A33" s="113">
        <v>42090</v>
      </c>
      <c r="B33" s="57" t="s">
        <v>88</v>
      </c>
      <c r="C33" s="65" t="s">
        <v>39</v>
      </c>
      <c r="D33" s="69">
        <v>286</v>
      </c>
      <c r="E33" s="69"/>
      <c r="F33" s="67" t="s">
        <v>17</v>
      </c>
      <c r="G33" s="110" t="str">
        <f t="shared" si="0"/>
        <v>Mankono-Riz</v>
      </c>
      <c r="H33" s="110" t="str">
        <f t="shared" si="1"/>
        <v>Grain_Argent-Riz</v>
      </c>
      <c r="I33" s="60">
        <v>680</v>
      </c>
      <c r="J33" s="60">
        <v>50</v>
      </c>
      <c r="K33" s="8">
        <f t="shared" si="2"/>
        <v>34</v>
      </c>
    </row>
    <row r="34" spans="1:11" ht="18" customHeight="1">
      <c r="A34" s="113">
        <v>42090</v>
      </c>
      <c r="B34" s="57" t="s">
        <v>88</v>
      </c>
      <c r="C34" s="65" t="s">
        <v>39</v>
      </c>
      <c r="D34" s="59">
        <v>287</v>
      </c>
      <c r="E34" s="69"/>
      <c r="F34" s="67" t="s">
        <v>17</v>
      </c>
      <c r="G34" s="110" t="str">
        <f t="shared" si="0"/>
        <v>Mankono-Riz</v>
      </c>
      <c r="H34" s="110" t="str">
        <f t="shared" si="1"/>
        <v>Grain_Argent-Riz</v>
      </c>
      <c r="I34" s="60">
        <v>680</v>
      </c>
      <c r="J34" s="60">
        <v>50</v>
      </c>
      <c r="K34" s="8">
        <f t="shared" si="2"/>
        <v>34</v>
      </c>
    </row>
    <row r="35" spans="1:11" ht="18" customHeight="1">
      <c r="A35" s="113">
        <v>42090</v>
      </c>
      <c r="B35" s="57" t="s">
        <v>88</v>
      </c>
      <c r="C35" s="65" t="s">
        <v>34</v>
      </c>
      <c r="D35" s="59">
        <v>289</v>
      </c>
      <c r="E35" s="69"/>
      <c r="F35" s="67" t="s">
        <v>17</v>
      </c>
      <c r="G35" s="110" t="str">
        <f t="shared" si="0"/>
        <v>Guiglo-Riz</v>
      </c>
      <c r="H35" s="110" t="str">
        <f t="shared" si="1"/>
        <v>Grain_Argent-Riz</v>
      </c>
      <c r="I35" s="60">
        <v>740</v>
      </c>
      <c r="J35" s="60">
        <v>50</v>
      </c>
      <c r="K35" s="8">
        <f t="shared" si="2"/>
        <v>37</v>
      </c>
    </row>
    <row r="36" spans="1:11" ht="18" customHeight="1">
      <c r="A36" s="113">
        <v>42093</v>
      </c>
      <c r="B36" s="57" t="s">
        <v>88</v>
      </c>
      <c r="C36" s="65" t="s">
        <v>33</v>
      </c>
      <c r="D36" s="59">
        <v>290</v>
      </c>
      <c r="E36" s="69"/>
      <c r="F36" s="67" t="s">
        <v>17</v>
      </c>
      <c r="G36" s="110" t="str">
        <f t="shared" si="0"/>
        <v>Bouna-Riz</v>
      </c>
      <c r="H36" s="110" t="str">
        <f t="shared" si="1"/>
        <v>Grain_Argent-Riz</v>
      </c>
      <c r="I36" s="60">
        <v>594.55999999999995</v>
      </c>
      <c r="J36" s="60">
        <v>50</v>
      </c>
      <c r="K36" s="8">
        <f t="shared" si="2"/>
        <v>29.727999999999998</v>
      </c>
    </row>
    <row r="37" spans="1:11" ht="18" customHeight="1">
      <c r="A37" s="113">
        <v>42093</v>
      </c>
      <c r="B37" s="57" t="s">
        <v>88</v>
      </c>
      <c r="C37" s="65" t="s">
        <v>31</v>
      </c>
      <c r="D37" s="59">
        <v>292</v>
      </c>
      <c r="E37" s="69"/>
      <c r="F37" s="67" t="s">
        <v>69</v>
      </c>
      <c r="G37" s="110" t="str">
        <f t="shared" si="0"/>
        <v>Bondoukou-Pois_cassé</v>
      </c>
      <c r="H37" s="110" t="str">
        <f t="shared" si="1"/>
        <v>Grain_Argent-Pois_cassé</v>
      </c>
      <c r="I37" s="60">
        <v>539.66</v>
      </c>
      <c r="J37" s="60">
        <v>50</v>
      </c>
      <c r="K37" s="8">
        <f t="shared" si="2"/>
        <v>26.983000000000001</v>
      </c>
    </row>
    <row r="38" spans="1:11" ht="18" customHeight="1">
      <c r="A38" s="56">
        <v>42093</v>
      </c>
      <c r="B38" s="57" t="s">
        <v>88</v>
      </c>
      <c r="C38" s="62" t="s">
        <v>3</v>
      </c>
      <c r="D38" s="59">
        <v>291</v>
      </c>
      <c r="E38" s="69"/>
      <c r="F38" s="67" t="s">
        <v>17</v>
      </c>
      <c r="G38" s="110" t="str">
        <f t="shared" si="0"/>
        <v>Nassian-Riz</v>
      </c>
      <c r="H38" s="110" t="str">
        <f t="shared" si="1"/>
        <v>Grain_Argent-Riz</v>
      </c>
      <c r="I38" s="60">
        <v>600</v>
      </c>
      <c r="J38" s="60">
        <v>50</v>
      </c>
      <c r="K38" s="8">
        <f t="shared" si="2"/>
        <v>30</v>
      </c>
    </row>
    <row r="39" spans="1:11" ht="18" customHeight="1">
      <c r="A39" s="113">
        <v>42093</v>
      </c>
      <c r="B39" s="57" t="s">
        <v>88</v>
      </c>
      <c r="C39" s="65" t="s">
        <v>32</v>
      </c>
      <c r="D39" s="59">
        <v>294</v>
      </c>
      <c r="E39" s="69"/>
      <c r="F39" s="67" t="s">
        <v>17</v>
      </c>
      <c r="G39" s="110" t="str">
        <f t="shared" si="0"/>
        <v>Tanda-Riz</v>
      </c>
      <c r="H39" s="110" t="str">
        <f t="shared" si="1"/>
        <v>Grain_Argent-Riz</v>
      </c>
      <c r="I39" s="60">
        <v>71.739999999999995</v>
      </c>
      <c r="J39" s="60">
        <v>50</v>
      </c>
      <c r="K39" s="8">
        <f t="shared" si="2"/>
        <v>3.5869999999999997</v>
      </c>
    </row>
    <row r="40" spans="1:11" ht="18" customHeight="1">
      <c r="A40" s="113">
        <v>42093</v>
      </c>
      <c r="B40" s="57" t="s">
        <v>88</v>
      </c>
      <c r="C40" s="65" t="s">
        <v>32</v>
      </c>
      <c r="D40" s="59">
        <v>294</v>
      </c>
      <c r="E40" s="69"/>
      <c r="F40" s="67" t="s">
        <v>69</v>
      </c>
      <c r="G40" s="110" t="str">
        <f t="shared" si="0"/>
        <v>Tanda-Pois_cassé</v>
      </c>
      <c r="H40" s="110" t="str">
        <f t="shared" si="1"/>
        <v>Grain_Argent-Pois_cassé</v>
      </c>
      <c r="I40" s="60">
        <v>194.52</v>
      </c>
      <c r="J40" s="60">
        <v>50</v>
      </c>
      <c r="K40" s="8">
        <f t="shared" si="2"/>
        <v>9.7260000000000009</v>
      </c>
    </row>
    <row r="41" spans="1:11" ht="18" customHeight="1">
      <c r="A41" s="113">
        <v>42094</v>
      </c>
      <c r="B41" s="57" t="s">
        <v>88</v>
      </c>
      <c r="C41" s="65" t="s">
        <v>32</v>
      </c>
      <c r="D41" s="59">
        <v>295</v>
      </c>
      <c r="E41" s="69"/>
      <c r="F41" s="67" t="s">
        <v>69</v>
      </c>
      <c r="G41" s="110" t="str">
        <f t="shared" si="0"/>
        <v>Tanda-Pois_cassé</v>
      </c>
      <c r="H41" s="110" t="str">
        <f t="shared" si="1"/>
        <v>Grain_Argent-Pois_cassé</v>
      </c>
      <c r="I41" s="60">
        <v>740</v>
      </c>
      <c r="J41" s="60">
        <v>50</v>
      </c>
      <c r="K41" s="8">
        <f t="shared" si="2"/>
        <v>37</v>
      </c>
    </row>
    <row r="42" spans="1:11" ht="18" customHeight="1">
      <c r="A42" s="113">
        <v>42094</v>
      </c>
      <c r="B42" s="57" t="s">
        <v>88</v>
      </c>
      <c r="C42" s="65" t="s">
        <v>34</v>
      </c>
      <c r="D42" s="59">
        <v>297</v>
      </c>
      <c r="E42" s="69"/>
      <c r="F42" s="67" t="s">
        <v>17</v>
      </c>
      <c r="G42" s="110" t="str">
        <f t="shared" si="0"/>
        <v>Guiglo-Riz</v>
      </c>
      <c r="H42" s="110" t="str">
        <f t="shared" si="1"/>
        <v>Grain_Argent-Riz</v>
      </c>
      <c r="I42" s="60">
        <v>740</v>
      </c>
      <c r="J42" s="60">
        <v>50</v>
      </c>
      <c r="K42" s="8">
        <f t="shared" si="2"/>
        <v>37</v>
      </c>
    </row>
    <row r="43" spans="1:11" ht="18" customHeight="1">
      <c r="A43" s="113">
        <v>42094</v>
      </c>
      <c r="B43" s="57" t="s">
        <v>88</v>
      </c>
      <c r="C43" s="65" t="s">
        <v>39</v>
      </c>
      <c r="D43" s="59">
        <v>298</v>
      </c>
      <c r="E43" s="69"/>
      <c r="F43" s="67" t="s">
        <v>17</v>
      </c>
      <c r="G43" s="110" t="str">
        <f t="shared" si="0"/>
        <v>Mankono-Riz</v>
      </c>
      <c r="H43" s="110" t="str">
        <f t="shared" si="1"/>
        <v>Grain_Argent-Riz</v>
      </c>
      <c r="I43" s="60">
        <v>315.58</v>
      </c>
      <c r="J43" s="60">
        <v>50</v>
      </c>
      <c r="K43" s="8">
        <f t="shared" si="2"/>
        <v>15.779</v>
      </c>
    </row>
    <row r="44" spans="1:11" ht="18" customHeight="1">
      <c r="A44" s="113">
        <v>42094</v>
      </c>
      <c r="B44" s="57" t="s">
        <v>88</v>
      </c>
      <c r="C44" s="65" t="s">
        <v>39</v>
      </c>
      <c r="D44" s="59">
        <v>298</v>
      </c>
      <c r="E44" s="69"/>
      <c r="F44" s="67" t="s">
        <v>69</v>
      </c>
      <c r="G44" s="110" t="str">
        <f t="shared" si="0"/>
        <v>Mankono-Pois_cassé</v>
      </c>
      <c r="H44" s="110" t="str">
        <f t="shared" si="1"/>
        <v>Grain_Argent-Pois_cassé</v>
      </c>
      <c r="I44" s="60">
        <v>224</v>
      </c>
      <c r="J44" s="60">
        <v>50</v>
      </c>
      <c r="K44" s="8">
        <f t="shared" si="2"/>
        <v>11.2</v>
      </c>
    </row>
    <row r="45" spans="1:11" ht="18" customHeight="1">
      <c r="A45" s="70"/>
      <c r="B45" s="71"/>
      <c r="C45" s="72"/>
      <c r="D45" s="73"/>
      <c r="E45" s="130"/>
      <c r="F45" s="75"/>
      <c r="G45" s="109"/>
      <c r="H45" s="109"/>
      <c r="I45" s="77"/>
      <c r="J45" s="77"/>
      <c r="K45" s="37"/>
    </row>
    <row r="46" spans="1:11">
      <c r="B46" s="78"/>
      <c r="C46" s="79"/>
      <c r="K46" s="44"/>
    </row>
    <row r="47" spans="1:11" ht="18" customHeight="1">
      <c r="B47" s="78"/>
      <c r="C47" s="79"/>
      <c r="K47" s="44"/>
    </row>
    <row r="48" spans="1:11" ht="18" customHeight="1">
      <c r="A48" s="56">
        <v>42094</v>
      </c>
      <c r="B48" s="57" t="s">
        <v>81</v>
      </c>
      <c r="C48" s="58" t="s">
        <v>38</v>
      </c>
      <c r="D48" s="59">
        <v>296</v>
      </c>
      <c r="E48" s="59"/>
      <c r="F48" s="57" t="s">
        <v>17</v>
      </c>
      <c r="G48" s="110" t="str">
        <f t="shared" ref="G48:G90" si="3">IF(ISTEXT(C48),IF(ISTEXT(F48),CONCATENATE(C48,"-",F48)))</f>
        <v>Korhogo-Riz</v>
      </c>
      <c r="H48" s="110" t="str">
        <f>IF(ISTEXT(B48),IF(ISTEXT(F48),CONCATENATE(B48,"-",F48)))</f>
        <v>Mikili-Riz</v>
      </c>
      <c r="I48" s="60">
        <v>800.14</v>
      </c>
      <c r="J48" s="60">
        <v>50</v>
      </c>
      <c r="K48" s="8">
        <f>(I48*J48)/1000</f>
        <v>40.006999999999998</v>
      </c>
    </row>
    <row r="49" spans="1:14" ht="18" customHeight="1">
      <c r="A49" s="56">
        <v>42095</v>
      </c>
      <c r="B49" s="57" t="s">
        <v>88</v>
      </c>
      <c r="C49" s="58" t="s">
        <v>34</v>
      </c>
      <c r="D49" s="59">
        <v>299</v>
      </c>
      <c r="E49" s="59"/>
      <c r="F49" s="57" t="s">
        <v>17</v>
      </c>
      <c r="G49" s="110" t="str">
        <f t="shared" si="3"/>
        <v>Guiglo-Riz</v>
      </c>
      <c r="H49" s="110" t="str">
        <f t="shared" ref="H49:H84" si="4">IF(ISTEXT(B49),IF(ISTEXT(F49),CONCATENATE(B49,"-",F49)))</f>
        <v>Grain_Argent-Riz</v>
      </c>
      <c r="I49" s="60">
        <v>560.36</v>
      </c>
      <c r="J49" s="60">
        <v>50</v>
      </c>
      <c r="K49" s="8">
        <f t="shared" ref="K49:K90" si="5">(I49*J49)/1000</f>
        <v>28.018000000000001</v>
      </c>
    </row>
    <row r="50" spans="1:14" ht="18" customHeight="1">
      <c r="A50" s="56">
        <v>42095</v>
      </c>
      <c r="B50" s="57" t="s">
        <v>88</v>
      </c>
      <c r="C50" s="58" t="s">
        <v>34</v>
      </c>
      <c r="D50" s="59">
        <v>299</v>
      </c>
      <c r="E50" s="59"/>
      <c r="F50" s="57" t="s">
        <v>69</v>
      </c>
      <c r="G50" s="110" t="str">
        <f t="shared" si="3"/>
        <v>Guiglo-Pois_cassé</v>
      </c>
      <c r="H50" s="110" t="str">
        <f t="shared" si="4"/>
        <v>Grain_Argent-Pois_cassé</v>
      </c>
      <c r="I50" s="60">
        <v>179.64</v>
      </c>
      <c r="J50" s="60">
        <v>50</v>
      </c>
      <c r="K50" s="8">
        <f t="shared" si="5"/>
        <v>8.9819999999999993</v>
      </c>
    </row>
    <row r="51" spans="1:14" ht="18" customHeight="1">
      <c r="A51" s="56">
        <v>42095</v>
      </c>
      <c r="B51" s="57" t="s">
        <v>88</v>
      </c>
      <c r="C51" s="58" t="s">
        <v>40</v>
      </c>
      <c r="D51" s="59">
        <v>300</v>
      </c>
      <c r="E51" s="59"/>
      <c r="F51" s="57" t="s">
        <v>17</v>
      </c>
      <c r="G51" s="110" t="str">
        <f t="shared" si="3"/>
        <v>Seguela-Riz</v>
      </c>
      <c r="H51" s="110" t="str">
        <f t="shared" si="4"/>
        <v>Grain_Argent-Riz</v>
      </c>
      <c r="I51" s="60">
        <v>719.46</v>
      </c>
      <c r="J51" s="60">
        <v>50</v>
      </c>
      <c r="K51" s="8">
        <f t="shared" si="5"/>
        <v>35.972999999999999</v>
      </c>
    </row>
    <row r="52" spans="1:14" ht="18" customHeight="1">
      <c r="A52" s="56">
        <v>42095</v>
      </c>
      <c r="B52" s="57" t="s">
        <v>88</v>
      </c>
      <c r="C52" s="58" t="s">
        <v>34</v>
      </c>
      <c r="D52" s="59">
        <v>651</v>
      </c>
      <c r="E52" s="59"/>
      <c r="F52" s="57" t="s">
        <v>69</v>
      </c>
      <c r="G52" s="110" t="str">
        <f t="shared" si="3"/>
        <v>Guiglo-Pois_cassé</v>
      </c>
      <c r="H52" s="110" t="str">
        <f t="shared" si="4"/>
        <v>Grain_Argent-Pois_cassé</v>
      </c>
      <c r="I52" s="60">
        <v>401.5</v>
      </c>
      <c r="J52" s="60">
        <v>50</v>
      </c>
      <c r="K52" s="8">
        <f t="shared" si="5"/>
        <v>20.074999999999999</v>
      </c>
    </row>
    <row r="53" spans="1:14" ht="18" customHeight="1">
      <c r="A53" s="56">
        <v>42095</v>
      </c>
      <c r="B53" s="57" t="s">
        <v>88</v>
      </c>
      <c r="C53" s="58" t="s">
        <v>34</v>
      </c>
      <c r="D53" s="59">
        <v>652</v>
      </c>
      <c r="E53" s="59"/>
      <c r="F53" s="57" t="s">
        <v>69</v>
      </c>
      <c r="G53" s="110" t="str">
        <f t="shared" si="3"/>
        <v>Guiglo-Pois_cassé</v>
      </c>
      <c r="H53" s="110" t="str">
        <f t="shared" si="4"/>
        <v>Grain_Argent-Pois_cassé</v>
      </c>
      <c r="I53" s="60">
        <v>401.5</v>
      </c>
      <c r="J53" s="60">
        <v>50</v>
      </c>
      <c r="K53" s="8">
        <f t="shared" si="5"/>
        <v>20.074999999999999</v>
      </c>
    </row>
    <row r="54" spans="1:14" ht="18" customHeight="1">
      <c r="A54" s="56">
        <v>42096</v>
      </c>
      <c r="B54" s="57" t="s">
        <v>81</v>
      </c>
      <c r="C54" s="58" t="s">
        <v>37</v>
      </c>
      <c r="D54" s="59">
        <v>653</v>
      </c>
      <c r="E54" s="59"/>
      <c r="F54" s="57" t="s">
        <v>17</v>
      </c>
      <c r="G54" s="110" t="str">
        <f t="shared" si="3"/>
        <v>Ferkessedougou-Riz</v>
      </c>
      <c r="H54" s="110" t="str">
        <f t="shared" si="4"/>
        <v>Mikili-Riz</v>
      </c>
      <c r="I54" s="60">
        <v>800</v>
      </c>
      <c r="J54" s="60">
        <v>50</v>
      </c>
      <c r="K54" s="8">
        <f t="shared" si="5"/>
        <v>40</v>
      </c>
      <c r="N54" s="112"/>
    </row>
    <row r="55" spans="1:14" ht="18" customHeight="1">
      <c r="A55" s="56">
        <v>42096</v>
      </c>
      <c r="B55" s="57" t="s">
        <v>81</v>
      </c>
      <c r="C55" s="58" t="s">
        <v>37</v>
      </c>
      <c r="D55" s="59">
        <v>654</v>
      </c>
      <c r="E55" s="59"/>
      <c r="F55" s="57" t="s">
        <v>17</v>
      </c>
      <c r="G55" s="110" t="str">
        <f t="shared" si="3"/>
        <v>Ferkessedougou-Riz</v>
      </c>
      <c r="H55" s="110" t="str">
        <f t="shared" si="4"/>
        <v>Mikili-Riz</v>
      </c>
      <c r="I55" s="60">
        <v>800</v>
      </c>
      <c r="J55" s="60">
        <v>50</v>
      </c>
      <c r="K55" s="8">
        <f t="shared" si="5"/>
        <v>40</v>
      </c>
    </row>
    <row r="56" spans="1:14" ht="18" customHeight="1">
      <c r="A56" s="56">
        <v>42097</v>
      </c>
      <c r="B56" s="57" t="s">
        <v>88</v>
      </c>
      <c r="C56" s="58" t="s">
        <v>41</v>
      </c>
      <c r="D56" s="59">
        <v>655</v>
      </c>
      <c r="E56" s="59"/>
      <c r="F56" s="57" t="s">
        <v>17</v>
      </c>
      <c r="G56" s="110" t="str">
        <f t="shared" si="3"/>
        <v>Touba-Riz</v>
      </c>
      <c r="H56" s="110" t="str">
        <f t="shared" si="4"/>
        <v>Grain_Argent-Riz</v>
      </c>
      <c r="I56" s="60">
        <v>624.17999999999995</v>
      </c>
      <c r="J56" s="60">
        <v>50</v>
      </c>
      <c r="K56" s="8">
        <f t="shared" si="5"/>
        <v>31.208999999999996</v>
      </c>
    </row>
    <row r="57" spans="1:14" ht="18" customHeight="1">
      <c r="A57" s="56">
        <v>42097</v>
      </c>
      <c r="B57" s="57" t="s">
        <v>88</v>
      </c>
      <c r="C57" s="58" t="s">
        <v>41</v>
      </c>
      <c r="D57" s="59">
        <v>655</v>
      </c>
      <c r="E57" s="59"/>
      <c r="F57" s="57" t="s">
        <v>69</v>
      </c>
      <c r="G57" s="110" t="str">
        <f t="shared" si="3"/>
        <v>Touba-Pois_cassé</v>
      </c>
      <c r="H57" s="110" t="str">
        <f t="shared" si="4"/>
        <v>Grain_Argent-Pois_cassé</v>
      </c>
      <c r="I57" s="60">
        <v>120.36</v>
      </c>
      <c r="J57" s="60">
        <v>50</v>
      </c>
      <c r="K57" s="8">
        <f t="shared" si="5"/>
        <v>6.0179999999999998</v>
      </c>
    </row>
    <row r="58" spans="1:14" ht="18" customHeight="1">
      <c r="A58" s="56">
        <v>42097</v>
      </c>
      <c r="B58" s="57" t="s">
        <v>81</v>
      </c>
      <c r="C58" s="58" t="s">
        <v>38</v>
      </c>
      <c r="D58" s="59">
        <v>656</v>
      </c>
      <c r="E58" s="59"/>
      <c r="F58" s="57" t="s">
        <v>17</v>
      </c>
      <c r="G58" s="110" t="str">
        <f t="shared" si="3"/>
        <v>Korhogo-Riz</v>
      </c>
      <c r="H58" s="110" t="str">
        <f t="shared" si="4"/>
        <v>Mikili-Riz</v>
      </c>
      <c r="I58" s="60">
        <v>800.14</v>
      </c>
      <c r="J58" s="60">
        <v>50</v>
      </c>
      <c r="K58" s="8">
        <f t="shared" si="5"/>
        <v>40.006999999999998</v>
      </c>
    </row>
    <row r="59" spans="1:14" ht="18" customHeight="1">
      <c r="A59" s="56">
        <v>42097</v>
      </c>
      <c r="B59" s="57" t="s">
        <v>88</v>
      </c>
      <c r="C59" s="58" t="s">
        <v>41</v>
      </c>
      <c r="D59" s="59">
        <v>657</v>
      </c>
      <c r="E59" s="59"/>
      <c r="F59" s="57" t="s">
        <v>17</v>
      </c>
      <c r="G59" s="110" t="str">
        <f t="shared" si="3"/>
        <v>Touba-Riz</v>
      </c>
      <c r="H59" s="110" t="str">
        <f t="shared" si="4"/>
        <v>Grain_Argent-Riz</v>
      </c>
      <c r="I59" s="60">
        <v>600</v>
      </c>
      <c r="J59" s="60">
        <v>50</v>
      </c>
      <c r="K59" s="8">
        <f t="shared" si="5"/>
        <v>30</v>
      </c>
    </row>
    <row r="60" spans="1:14" ht="18" customHeight="1">
      <c r="A60" s="56">
        <v>42097</v>
      </c>
      <c r="B60" s="61" t="s">
        <v>88</v>
      </c>
      <c r="C60" s="62" t="s">
        <v>41</v>
      </c>
      <c r="D60" s="59">
        <v>657</v>
      </c>
      <c r="E60" s="59"/>
      <c r="F60" s="57" t="s">
        <v>69</v>
      </c>
      <c r="G60" s="110" t="str">
        <f t="shared" si="3"/>
        <v>Touba-Pois_cassé</v>
      </c>
      <c r="H60" s="110" t="str">
        <f t="shared" si="4"/>
        <v>Grain_Argent-Pois_cassé</v>
      </c>
      <c r="I60" s="60">
        <v>100</v>
      </c>
      <c r="J60" s="60">
        <v>50</v>
      </c>
      <c r="K60" s="8">
        <f t="shared" si="5"/>
        <v>5</v>
      </c>
    </row>
    <row r="61" spans="1:14" ht="18" customHeight="1">
      <c r="A61" s="56">
        <v>42097</v>
      </c>
      <c r="B61" s="61" t="s">
        <v>81</v>
      </c>
      <c r="C61" s="62" t="s">
        <v>38</v>
      </c>
      <c r="D61" s="59">
        <v>658</v>
      </c>
      <c r="E61" s="59"/>
      <c r="F61" s="57" t="s">
        <v>17</v>
      </c>
      <c r="G61" s="110" t="str">
        <f t="shared" si="3"/>
        <v>Korhogo-Riz</v>
      </c>
      <c r="H61" s="110" t="str">
        <f t="shared" si="4"/>
        <v>Mikili-Riz</v>
      </c>
      <c r="I61" s="60">
        <v>800.14</v>
      </c>
      <c r="J61" s="60">
        <v>50</v>
      </c>
      <c r="K61" s="8">
        <f t="shared" si="5"/>
        <v>40.006999999999998</v>
      </c>
    </row>
    <row r="62" spans="1:14" ht="18" customHeight="1">
      <c r="A62" s="56">
        <v>42101</v>
      </c>
      <c r="B62" s="61" t="s">
        <v>81</v>
      </c>
      <c r="C62" s="62" t="s">
        <v>38</v>
      </c>
      <c r="D62" s="59">
        <v>659</v>
      </c>
      <c r="E62" s="59"/>
      <c r="F62" s="57" t="s">
        <v>17</v>
      </c>
      <c r="G62" s="110" t="str">
        <f t="shared" si="3"/>
        <v>Korhogo-Riz</v>
      </c>
      <c r="H62" s="110" t="str">
        <f t="shared" si="4"/>
        <v>Mikili-Riz</v>
      </c>
      <c r="I62" s="60">
        <v>800.14</v>
      </c>
      <c r="J62" s="60">
        <v>50</v>
      </c>
      <c r="K62" s="8">
        <f t="shared" si="5"/>
        <v>40.006999999999998</v>
      </c>
    </row>
    <row r="63" spans="1:14" ht="18" customHeight="1">
      <c r="A63" s="56">
        <v>42101</v>
      </c>
      <c r="B63" s="61" t="s">
        <v>81</v>
      </c>
      <c r="C63" s="62" t="s">
        <v>38</v>
      </c>
      <c r="D63" s="59">
        <v>660</v>
      </c>
      <c r="E63" s="59"/>
      <c r="F63" s="57" t="s">
        <v>17</v>
      </c>
      <c r="G63" s="110" t="str">
        <f t="shared" si="3"/>
        <v>Korhogo-Riz</v>
      </c>
      <c r="H63" s="110" t="str">
        <f t="shared" si="4"/>
        <v>Mikili-Riz</v>
      </c>
      <c r="I63" s="60">
        <v>800.14</v>
      </c>
      <c r="J63" s="60">
        <v>50</v>
      </c>
      <c r="K63" s="8">
        <f t="shared" si="5"/>
        <v>40.006999999999998</v>
      </c>
    </row>
    <row r="64" spans="1:14" ht="18" customHeight="1">
      <c r="A64" s="56">
        <v>42101</v>
      </c>
      <c r="B64" s="61" t="s">
        <v>81</v>
      </c>
      <c r="C64" s="62" t="s">
        <v>38</v>
      </c>
      <c r="D64" s="59">
        <v>661</v>
      </c>
      <c r="E64" s="59"/>
      <c r="F64" s="57" t="s">
        <v>17</v>
      </c>
      <c r="G64" s="110" t="str">
        <f t="shared" si="3"/>
        <v>Korhogo-Riz</v>
      </c>
      <c r="H64" s="110" t="str">
        <f t="shared" si="4"/>
        <v>Mikili-Riz</v>
      </c>
      <c r="I64" s="60">
        <v>421.02</v>
      </c>
      <c r="J64" s="60">
        <v>50</v>
      </c>
      <c r="K64" s="8">
        <f t="shared" si="5"/>
        <v>21.050999999999998</v>
      </c>
    </row>
    <row r="65" spans="1:13" ht="18" customHeight="1">
      <c r="A65" s="56">
        <v>42101</v>
      </c>
      <c r="B65" s="64" t="s">
        <v>81</v>
      </c>
      <c r="C65" s="62" t="s">
        <v>37</v>
      </c>
      <c r="D65" s="59">
        <v>663</v>
      </c>
      <c r="E65" s="69"/>
      <c r="F65" s="67" t="s">
        <v>17</v>
      </c>
      <c r="G65" s="110" t="str">
        <f t="shared" si="3"/>
        <v>Ferkessedougou-Riz</v>
      </c>
      <c r="H65" s="110" t="str">
        <f t="shared" si="4"/>
        <v>Mikili-Riz</v>
      </c>
      <c r="I65" s="60">
        <v>630.36</v>
      </c>
      <c r="J65" s="60">
        <v>50</v>
      </c>
      <c r="K65" s="8">
        <f t="shared" si="5"/>
        <v>31.518000000000001</v>
      </c>
    </row>
    <row r="66" spans="1:13" ht="18" customHeight="1">
      <c r="A66" s="56">
        <v>42104</v>
      </c>
      <c r="B66" s="64" t="s">
        <v>88</v>
      </c>
      <c r="C66" s="62" t="s">
        <v>34</v>
      </c>
      <c r="D66" s="59">
        <v>664</v>
      </c>
      <c r="E66" s="69">
        <v>37773</v>
      </c>
      <c r="F66" s="67" t="s">
        <v>17</v>
      </c>
      <c r="G66" s="110" t="str">
        <f t="shared" si="3"/>
        <v>Guiglo-Riz</v>
      </c>
      <c r="H66" s="110" t="str">
        <f t="shared" si="4"/>
        <v>Grain_Argent-Riz</v>
      </c>
      <c r="I66" s="60">
        <v>900</v>
      </c>
      <c r="J66" s="60">
        <v>50</v>
      </c>
      <c r="K66" s="8">
        <f t="shared" si="5"/>
        <v>45</v>
      </c>
    </row>
    <row r="67" spans="1:13" ht="18" customHeight="1">
      <c r="A67" s="56">
        <v>42104</v>
      </c>
      <c r="B67" s="64" t="s">
        <v>88</v>
      </c>
      <c r="C67" s="62" t="s">
        <v>34</v>
      </c>
      <c r="D67" s="59">
        <v>665</v>
      </c>
      <c r="E67" s="69">
        <v>37773</v>
      </c>
      <c r="F67" s="67" t="s">
        <v>17</v>
      </c>
      <c r="G67" s="110" t="str">
        <f t="shared" si="3"/>
        <v>Guiglo-Riz</v>
      </c>
      <c r="H67" s="110" t="str">
        <f t="shared" si="4"/>
        <v>Grain_Argent-Riz</v>
      </c>
      <c r="I67" s="60">
        <v>420</v>
      </c>
      <c r="J67" s="60">
        <v>50</v>
      </c>
      <c r="K67" s="8">
        <f t="shared" si="5"/>
        <v>21</v>
      </c>
    </row>
    <row r="68" spans="1:13" ht="18" customHeight="1">
      <c r="A68" s="56">
        <v>42104</v>
      </c>
      <c r="B68" s="64" t="s">
        <v>88</v>
      </c>
      <c r="C68" s="62" t="s">
        <v>34</v>
      </c>
      <c r="D68" s="59">
        <v>666</v>
      </c>
      <c r="E68" s="69">
        <v>37773</v>
      </c>
      <c r="F68" s="67" t="s">
        <v>17</v>
      </c>
      <c r="G68" s="110" t="str">
        <f t="shared" si="3"/>
        <v>Guiglo-Riz</v>
      </c>
      <c r="H68" s="110" t="str">
        <f t="shared" si="4"/>
        <v>Grain_Argent-Riz</v>
      </c>
      <c r="I68" s="60">
        <v>900</v>
      </c>
      <c r="J68" s="60">
        <v>50</v>
      </c>
      <c r="K68" s="8">
        <f t="shared" si="5"/>
        <v>45</v>
      </c>
    </row>
    <row r="69" spans="1:13" ht="18" customHeight="1">
      <c r="A69" s="56">
        <v>42104</v>
      </c>
      <c r="B69" s="64" t="s">
        <v>88</v>
      </c>
      <c r="C69" s="62" t="s">
        <v>38</v>
      </c>
      <c r="D69" s="59">
        <v>667</v>
      </c>
      <c r="E69" s="69">
        <v>37580</v>
      </c>
      <c r="F69" s="67" t="s">
        <v>69</v>
      </c>
      <c r="G69" s="110" t="str">
        <f t="shared" si="3"/>
        <v>Korhogo-Pois_cassé</v>
      </c>
      <c r="H69" s="110" t="str">
        <f t="shared" si="4"/>
        <v>Grain_Argent-Pois_cassé</v>
      </c>
      <c r="I69" s="60">
        <v>800</v>
      </c>
      <c r="J69" s="60">
        <v>50</v>
      </c>
      <c r="K69" s="8">
        <f t="shared" si="5"/>
        <v>40</v>
      </c>
    </row>
    <row r="70" spans="1:13" ht="18" customHeight="1">
      <c r="A70" s="56">
        <v>42104</v>
      </c>
      <c r="B70" s="64" t="s">
        <v>88</v>
      </c>
      <c r="C70" s="62" t="s">
        <v>35</v>
      </c>
      <c r="D70" s="59">
        <v>668</v>
      </c>
      <c r="E70" s="69">
        <v>37773</v>
      </c>
      <c r="F70" s="67" t="s">
        <v>17</v>
      </c>
      <c r="G70" s="110" t="str">
        <f t="shared" si="3"/>
        <v>Boundiali-Riz</v>
      </c>
      <c r="H70" s="110" t="str">
        <f t="shared" si="4"/>
        <v>Grain_Argent-Riz</v>
      </c>
      <c r="I70" s="60">
        <v>700</v>
      </c>
      <c r="J70" s="60">
        <v>50</v>
      </c>
      <c r="K70" s="8">
        <f t="shared" si="5"/>
        <v>35</v>
      </c>
    </row>
    <row r="71" spans="1:13" ht="18" customHeight="1">
      <c r="A71" s="56">
        <v>42104</v>
      </c>
      <c r="B71" s="64" t="s">
        <v>88</v>
      </c>
      <c r="C71" s="62" t="s">
        <v>35</v>
      </c>
      <c r="D71" s="59">
        <v>669</v>
      </c>
      <c r="E71" s="69">
        <v>37773</v>
      </c>
      <c r="F71" s="67" t="s">
        <v>17</v>
      </c>
      <c r="G71" s="110" t="str">
        <f t="shared" si="3"/>
        <v>Boundiali-Riz</v>
      </c>
      <c r="H71" s="110" t="str">
        <f t="shared" si="4"/>
        <v>Grain_Argent-Riz</v>
      </c>
      <c r="I71" s="60">
        <v>700</v>
      </c>
      <c r="J71" s="60">
        <v>50</v>
      </c>
      <c r="K71" s="8">
        <f t="shared" si="5"/>
        <v>35</v>
      </c>
    </row>
    <row r="72" spans="1:13" ht="18" customHeight="1">
      <c r="A72" s="63">
        <v>42107</v>
      </c>
      <c r="B72" s="64" t="s">
        <v>88</v>
      </c>
      <c r="C72" s="65" t="s">
        <v>35</v>
      </c>
      <c r="D72" s="69">
        <v>670</v>
      </c>
      <c r="E72" s="69"/>
      <c r="F72" s="67" t="s">
        <v>17</v>
      </c>
      <c r="G72" s="110" t="str">
        <f t="shared" si="3"/>
        <v>Boundiali-Riz</v>
      </c>
      <c r="H72" s="110" t="str">
        <f t="shared" si="4"/>
        <v>Grain_Argent-Riz</v>
      </c>
      <c r="I72" s="60">
        <v>680</v>
      </c>
      <c r="J72" s="60">
        <v>50</v>
      </c>
      <c r="K72" s="8">
        <f t="shared" si="5"/>
        <v>34</v>
      </c>
      <c r="M72" s="128"/>
    </row>
    <row r="73" spans="1:13" ht="18" customHeight="1">
      <c r="A73" s="63">
        <v>42107</v>
      </c>
      <c r="B73" s="64" t="s">
        <v>88</v>
      </c>
      <c r="C73" s="65" t="s">
        <v>35</v>
      </c>
      <c r="D73" s="69">
        <v>672</v>
      </c>
      <c r="E73" s="69"/>
      <c r="F73" s="67" t="s">
        <v>17</v>
      </c>
      <c r="G73" s="110" t="str">
        <f t="shared" si="3"/>
        <v>Boundiali-Riz</v>
      </c>
      <c r="H73" s="110" t="str">
        <f t="shared" si="4"/>
        <v>Grain_Argent-Riz</v>
      </c>
      <c r="I73" s="60">
        <v>78.92</v>
      </c>
      <c r="J73" s="60">
        <v>50</v>
      </c>
      <c r="K73" s="8">
        <f t="shared" si="5"/>
        <v>3.9460000000000002</v>
      </c>
      <c r="M73" s="128"/>
    </row>
    <row r="74" spans="1:13" ht="18" customHeight="1">
      <c r="A74" s="63">
        <v>42107</v>
      </c>
      <c r="B74" s="64" t="s">
        <v>88</v>
      </c>
      <c r="C74" s="65" t="s">
        <v>35</v>
      </c>
      <c r="D74" s="59">
        <v>672</v>
      </c>
      <c r="E74" s="69"/>
      <c r="F74" s="67" t="s">
        <v>69</v>
      </c>
      <c r="G74" s="110" t="str">
        <f t="shared" si="3"/>
        <v>Boundiali-Pois_cassé</v>
      </c>
      <c r="H74" s="110" t="str">
        <f t="shared" si="4"/>
        <v>Grain_Argent-Pois_cassé</v>
      </c>
      <c r="I74" s="60">
        <v>388.6</v>
      </c>
      <c r="J74" s="60">
        <v>50</v>
      </c>
      <c r="K74" s="8">
        <f t="shared" si="5"/>
        <v>19.43</v>
      </c>
    </row>
    <row r="75" spans="1:13" ht="18" customHeight="1">
      <c r="A75" s="63">
        <v>42107</v>
      </c>
      <c r="B75" s="64" t="s">
        <v>88</v>
      </c>
      <c r="C75" s="65" t="s">
        <v>38</v>
      </c>
      <c r="D75" s="59">
        <v>673</v>
      </c>
      <c r="E75" s="69"/>
      <c r="F75" s="67" t="s">
        <v>69</v>
      </c>
      <c r="G75" s="110" t="str">
        <f t="shared" si="3"/>
        <v>Korhogo-Pois_cassé</v>
      </c>
      <c r="H75" s="110" t="str">
        <f t="shared" si="4"/>
        <v>Grain_Argent-Pois_cassé</v>
      </c>
      <c r="I75" s="60">
        <v>110.4</v>
      </c>
      <c r="J75" s="60">
        <v>50</v>
      </c>
      <c r="K75" s="8">
        <f t="shared" si="5"/>
        <v>5.52</v>
      </c>
    </row>
    <row r="76" spans="1:13" ht="18" customHeight="1">
      <c r="A76" s="63">
        <v>42107</v>
      </c>
      <c r="B76" s="64" t="s">
        <v>88</v>
      </c>
      <c r="C76" s="65" t="s">
        <v>37</v>
      </c>
      <c r="D76" s="59">
        <v>675</v>
      </c>
      <c r="E76" s="69"/>
      <c r="F76" s="67" t="s">
        <v>17</v>
      </c>
      <c r="G76" s="110" t="str">
        <f t="shared" si="3"/>
        <v>Ferkessedougou-Riz</v>
      </c>
      <c r="H76" s="110" t="str">
        <f t="shared" si="4"/>
        <v>Grain_Argent-Riz</v>
      </c>
      <c r="I76" s="60">
        <v>19.34</v>
      </c>
      <c r="J76" s="60">
        <v>50</v>
      </c>
      <c r="K76" s="8">
        <f t="shared" si="5"/>
        <v>0.96699999999999997</v>
      </c>
      <c r="M76" s="128"/>
    </row>
    <row r="77" spans="1:13" ht="18" customHeight="1">
      <c r="A77" s="63">
        <v>42107</v>
      </c>
      <c r="B77" s="61" t="s">
        <v>88</v>
      </c>
      <c r="C77" s="65" t="s">
        <v>37</v>
      </c>
      <c r="D77" s="59">
        <v>675</v>
      </c>
      <c r="E77" s="69"/>
      <c r="F77" s="67" t="s">
        <v>17</v>
      </c>
      <c r="G77" s="110" t="str">
        <f t="shared" si="3"/>
        <v>Ferkessedougou-Riz</v>
      </c>
      <c r="H77" s="110" t="str">
        <f t="shared" si="4"/>
        <v>Grain_Argent-Riz</v>
      </c>
      <c r="I77" s="60">
        <v>3.6</v>
      </c>
      <c r="J77" s="60">
        <v>30</v>
      </c>
      <c r="K77" s="8">
        <f t="shared" si="5"/>
        <v>0.108</v>
      </c>
    </row>
    <row r="78" spans="1:13" ht="18" customHeight="1">
      <c r="A78" s="63">
        <v>42107</v>
      </c>
      <c r="B78" s="61" t="s">
        <v>88</v>
      </c>
      <c r="C78" s="62" t="s">
        <v>37</v>
      </c>
      <c r="D78" s="59">
        <v>675</v>
      </c>
      <c r="E78" s="69"/>
      <c r="F78" s="66" t="s">
        <v>69</v>
      </c>
      <c r="G78" s="110" t="str">
        <f t="shared" si="3"/>
        <v>Ferkessedougou-Pois_cassé</v>
      </c>
      <c r="H78" s="110" t="str">
        <f t="shared" si="4"/>
        <v>Grain_Argent-Pois_cassé</v>
      </c>
      <c r="I78" s="60">
        <v>428.06</v>
      </c>
      <c r="J78" s="60">
        <v>50</v>
      </c>
      <c r="K78" s="8">
        <f t="shared" si="5"/>
        <v>21.402999999999999</v>
      </c>
    </row>
    <row r="79" spans="1:13" ht="18" customHeight="1">
      <c r="A79" s="63">
        <v>42107</v>
      </c>
      <c r="B79" s="61" t="s">
        <v>88</v>
      </c>
      <c r="C79" s="62" t="s">
        <v>38</v>
      </c>
      <c r="D79" s="59">
        <v>676</v>
      </c>
      <c r="E79" s="69"/>
      <c r="F79" s="66" t="s">
        <v>69</v>
      </c>
      <c r="G79" s="110" t="str">
        <f t="shared" si="3"/>
        <v>Korhogo-Pois_cassé</v>
      </c>
      <c r="H79" s="110" t="str">
        <f t="shared" si="4"/>
        <v>Grain_Argent-Pois_cassé</v>
      </c>
      <c r="I79" s="60">
        <v>173.6</v>
      </c>
      <c r="J79" s="60">
        <v>50</v>
      </c>
      <c r="K79" s="8">
        <f t="shared" si="5"/>
        <v>8.68</v>
      </c>
    </row>
    <row r="80" spans="1:13" ht="18" customHeight="1">
      <c r="A80" s="56">
        <v>42108</v>
      </c>
      <c r="B80" s="61" t="s">
        <v>88</v>
      </c>
      <c r="C80" s="62" t="s">
        <v>34</v>
      </c>
      <c r="D80" s="59"/>
      <c r="E80" s="69">
        <v>37530</v>
      </c>
      <c r="F80" s="66" t="s">
        <v>69</v>
      </c>
      <c r="G80" s="110" t="str">
        <f t="shared" si="3"/>
        <v>Guiglo-Pois_cassé</v>
      </c>
      <c r="H80" s="110" t="str">
        <f t="shared" si="4"/>
        <v>Grain_Argent-Pois_cassé</v>
      </c>
      <c r="I80" s="60">
        <v>740</v>
      </c>
      <c r="J80" s="60">
        <v>50</v>
      </c>
      <c r="K80" s="8">
        <f t="shared" si="5"/>
        <v>37</v>
      </c>
    </row>
    <row r="81" spans="1:11" ht="18" customHeight="1">
      <c r="A81" s="56">
        <v>42108</v>
      </c>
      <c r="B81" s="61" t="s">
        <v>88</v>
      </c>
      <c r="C81" s="62" t="s">
        <v>34</v>
      </c>
      <c r="D81" s="59"/>
      <c r="E81" s="69">
        <v>37530</v>
      </c>
      <c r="F81" s="66" t="s">
        <v>69</v>
      </c>
      <c r="G81" s="110" t="str">
        <f t="shared" si="3"/>
        <v>Guiglo-Pois_cassé</v>
      </c>
      <c r="H81" s="110" t="str">
        <f t="shared" si="4"/>
        <v>Grain_Argent-Pois_cassé</v>
      </c>
      <c r="I81" s="60">
        <v>46.02</v>
      </c>
      <c r="J81" s="60">
        <v>50</v>
      </c>
      <c r="K81" s="8">
        <f t="shared" si="5"/>
        <v>2.3010000000000002</v>
      </c>
    </row>
    <row r="82" spans="1:11" ht="18" customHeight="1">
      <c r="A82" s="56">
        <v>42108</v>
      </c>
      <c r="B82" s="61" t="s">
        <v>88</v>
      </c>
      <c r="C82" s="62" t="s">
        <v>34</v>
      </c>
      <c r="D82" s="59"/>
      <c r="E82" s="69">
        <v>30499</v>
      </c>
      <c r="F82" s="66" t="s">
        <v>69</v>
      </c>
      <c r="G82" s="110" t="str">
        <f t="shared" si="3"/>
        <v>Guiglo-Pois_cassé</v>
      </c>
      <c r="H82" s="110" t="str">
        <f t="shared" si="4"/>
        <v>Grain_Argent-Pois_cassé</v>
      </c>
      <c r="I82" s="60">
        <v>1.42</v>
      </c>
      <c r="J82" s="60">
        <v>50</v>
      </c>
      <c r="K82" s="8">
        <f t="shared" si="5"/>
        <v>7.0999999999999994E-2</v>
      </c>
    </row>
    <row r="83" spans="1:11" ht="18" customHeight="1">
      <c r="A83" s="56">
        <v>42108</v>
      </c>
      <c r="B83" s="61" t="s">
        <v>88</v>
      </c>
      <c r="C83" s="62" t="s">
        <v>39</v>
      </c>
      <c r="D83" s="59"/>
      <c r="E83" s="69">
        <v>37530</v>
      </c>
      <c r="F83" s="66" t="s">
        <v>69</v>
      </c>
      <c r="G83" s="110" t="str">
        <f t="shared" si="3"/>
        <v>Mankono-Pois_cassé</v>
      </c>
      <c r="H83" s="110" t="str">
        <f t="shared" si="4"/>
        <v>Grain_Argent-Pois_cassé</v>
      </c>
      <c r="I83" s="60">
        <v>200</v>
      </c>
      <c r="J83" s="60">
        <v>50</v>
      </c>
      <c r="K83" s="8">
        <f t="shared" si="5"/>
        <v>10</v>
      </c>
    </row>
    <row r="84" spans="1:11" ht="18" customHeight="1">
      <c r="A84" s="56">
        <v>42108</v>
      </c>
      <c r="B84" s="61" t="s">
        <v>88</v>
      </c>
      <c r="C84" s="62" t="s">
        <v>40</v>
      </c>
      <c r="D84" s="59"/>
      <c r="E84" s="69">
        <v>37530</v>
      </c>
      <c r="F84" s="66" t="s">
        <v>69</v>
      </c>
      <c r="G84" s="110" t="str">
        <f t="shared" si="3"/>
        <v>Seguela-Pois_cassé</v>
      </c>
      <c r="H84" s="110" t="str">
        <f t="shared" si="4"/>
        <v>Grain_Argent-Pois_cassé</v>
      </c>
      <c r="I84" s="60">
        <v>388.7</v>
      </c>
      <c r="J84" s="60">
        <v>50</v>
      </c>
      <c r="K84" s="8">
        <f t="shared" si="5"/>
        <v>19.434999999999999</v>
      </c>
    </row>
    <row r="85" spans="1:11" ht="18" customHeight="1">
      <c r="A85" s="63">
        <v>42116</v>
      </c>
      <c r="B85" s="64"/>
      <c r="C85" s="65" t="s">
        <v>35</v>
      </c>
      <c r="D85" s="59">
        <v>682</v>
      </c>
      <c r="E85" s="69"/>
      <c r="F85" s="66" t="s">
        <v>74</v>
      </c>
      <c r="G85" s="110" t="str">
        <f t="shared" si="3"/>
        <v>Boundiali-Datte</v>
      </c>
      <c r="H85" s="110" t="b">
        <f>IF(ISTEXT(B85),IF(ISTEXT(F85),CONCATENATE(B85,"-",F85)))</f>
        <v>0</v>
      </c>
      <c r="I85" s="60">
        <v>1819.3</v>
      </c>
      <c r="J85" s="60">
        <v>20</v>
      </c>
      <c r="K85" s="8">
        <f t="shared" si="5"/>
        <v>36.386000000000003</v>
      </c>
    </row>
    <row r="86" spans="1:11" ht="18" customHeight="1">
      <c r="A86" s="63">
        <v>42116</v>
      </c>
      <c r="B86" s="64"/>
      <c r="C86" s="65" t="s">
        <v>38</v>
      </c>
      <c r="D86" s="59">
        <v>684</v>
      </c>
      <c r="E86" s="69"/>
      <c r="F86" s="66" t="s">
        <v>74</v>
      </c>
      <c r="G86" s="110" t="str">
        <f t="shared" si="3"/>
        <v>Korhogo-Datte</v>
      </c>
      <c r="H86" s="110" t="b">
        <f t="shared" ref="H86:H136" si="6">IF(ISTEXT(B86),IF(ISTEXT(F86),CONCATENATE(B86,"-",F86)))</f>
        <v>0</v>
      </c>
      <c r="I86" s="60">
        <v>1791.5</v>
      </c>
      <c r="J86" s="60">
        <v>20</v>
      </c>
      <c r="K86" s="8">
        <f t="shared" si="5"/>
        <v>35.83</v>
      </c>
    </row>
    <row r="87" spans="1:11" ht="18" customHeight="1">
      <c r="A87" s="63">
        <v>42117</v>
      </c>
      <c r="B87" s="64"/>
      <c r="C87" s="65" t="s">
        <v>41</v>
      </c>
      <c r="D87" s="59">
        <v>685</v>
      </c>
      <c r="E87" s="69"/>
      <c r="F87" s="66" t="s">
        <v>74</v>
      </c>
      <c r="G87" s="110" t="str">
        <f t="shared" si="3"/>
        <v>Touba-Datte</v>
      </c>
      <c r="H87" s="110" t="b">
        <f t="shared" si="6"/>
        <v>0</v>
      </c>
      <c r="I87" s="60">
        <v>1456.8</v>
      </c>
      <c r="J87" s="60">
        <v>20</v>
      </c>
      <c r="K87" s="8">
        <f t="shared" si="5"/>
        <v>29.135999999999999</v>
      </c>
    </row>
    <row r="88" spans="1:11" ht="18" customHeight="1">
      <c r="A88" s="63">
        <v>42117</v>
      </c>
      <c r="B88" s="64"/>
      <c r="C88" s="65" t="s">
        <v>32</v>
      </c>
      <c r="D88" s="59">
        <v>686</v>
      </c>
      <c r="E88" s="69"/>
      <c r="F88" s="66" t="s">
        <v>74</v>
      </c>
      <c r="G88" s="110" t="str">
        <f t="shared" si="3"/>
        <v>Tanda-Datte</v>
      </c>
      <c r="H88" s="110" t="b">
        <f t="shared" si="6"/>
        <v>0</v>
      </c>
      <c r="I88" s="60">
        <v>1559.35</v>
      </c>
      <c r="J88" s="60">
        <v>20</v>
      </c>
      <c r="K88" s="8">
        <f t="shared" si="5"/>
        <v>31.187000000000001</v>
      </c>
    </row>
    <row r="89" spans="1:11" ht="18" customHeight="1">
      <c r="A89" s="63">
        <v>42118</v>
      </c>
      <c r="B89" s="64"/>
      <c r="C89" s="65" t="s">
        <v>31</v>
      </c>
      <c r="D89" s="59">
        <v>687</v>
      </c>
      <c r="E89" s="69"/>
      <c r="F89" s="66" t="s">
        <v>74</v>
      </c>
      <c r="G89" s="110" t="str">
        <f t="shared" si="3"/>
        <v>Bondoukou-Datte</v>
      </c>
      <c r="H89" s="110" t="b">
        <f t="shared" si="6"/>
        <v>0</v>
      </c>
      <c r="I89" s="60">
        <v>1516.1</v>
      </c>
      <c r="J89" s="60">
        <v>20</v>
      </c>
      <c r="K89" s="8">
        <f t="shared" si="5"/>
        <v>30.321999999999999</v>
      </c>
    </row>
    <row r="90" spans="1:11" ht="18" customHeight="1">
      <c r="A90" s="63">
        <v>42118</v>
      </c>
      <c r="B90" s="64"/>
      <c r="C90" s="65" t="s">
        <v>34</v>
      </c>
      <c r="D90" s="59">
        <v>688</v>
      </c>
      <c r="E90" s="69"/>
      <c r="F90" s="66" t="s">
        <v>74</v>
      </c>
      <c r="G90" s="110" t="str">
        <f t="shared" si="3"/>
        <v>Guiglo-Datte</v>
      </c>
      <c r="H90" s="110" t="b">
        <f t="shared" si="6"/>
        <v>0</v>
      </c>
      <c r="I90" s="60">
        <v>1641.7</v>
      </c>
      <c r="J90" s="60">
        <v>20</v>
      </c>
      <c r="K90" s="8">
        <f t="shared" si="5"/>
        <v>32.834000000000003</v>
      </c>
    </row>
    <row r="91" spans="1:11" ht="18" customHeight="1">
      <c r="B91" s="78"/>
      <c r="C91" s="79"/>
      <c r="H91" s="105"/>
      <c r="K91" s="44"/>
    </row>
    <row r="92" spans="1:11" ht="18" customHeight="1">
      <c r="B92" s="78"/>
      <c r="C92" s="79"/>
      <c r="H92" s="106"/>
      <c r="K92" s="44"/>
    </row>
    <row r="93" spans="1:11" ht="18" customHeight="1">
      <c r="B93" s="78"/>
      <c r="C93" s="79"/>
      <c r="H93" s="107"/>
      <c r="K93" s="44"/>
    </row>
    <row r="94" spans="1:11" ht="18" customHeight="1">
      <c r="A94" s="62">
        <v>42118</v>
      </c>
      <c r="B94" s="57"/>
      <c r="C94" s="58" t="s">
        <v>31</v>
      </c>
      <c r="D94" s="59">
        <v>689</v>
      </c>
      <c r="E94" s="59"/>
      <c r="F94" s="66" t="s">
        <v>74</v>
      </c>
      <c r="G94" s="110" t="str">
        <f t="shared" ref="G94:G136" si="7">IF(ISTEXT(C94),IF(ISTEXT(F94),CONCATENATE(C94,"-",F94)))</f>
        <v>Bondoukou-Datte</v>
      </c>
      <c r="H94" s="110" t="b">
        <f t="shared" si="6"/>
        <v>0</v>
      </c>
      <c r="I94" s="60">
        <v>1516</v>
      </c>
      <c r="J94" s="60">
        <v>20</v>
      </c>
      <c r="K94" s="8">
        <f>(I94*J94)/1000</f>
        <v>30.32</v>
      </c>
    </row>
    <row r="95" spans="1:11" ht="18" customHeight="1">
      <c r="A95" s="63">
        <v>42118</v>
      </c>
      <c r="B95" s="57"/>
      <c r="C95" s="58" t="s">
        <v>34</v>
      </c>
      <c r="D95" s="59">
        <v>690</v>
      </c>
      <c r="E95" s="59"/>
      <c r="F95" s="66" t="s">
        <v>74</v>
      </c>
      <c r="G95" s="110" t="str">
        <f t="shared" si="7"/>
        <v>Guiglo-Datte</v>
      </c>
      <c r="H95" s="110" t="b">
        <f t="shared" si="6"/>
        <v>0</v>
      </c>
      <c r="I95" s="60">
        <v>1641.6</v>
      </c>
      <c r="J95" s="60">
        <v>20</v>
      </c>
      <c r="K95" s="8">
        <f t="shared" ref="K95:K136" si="8">(I95*J95)/1000</f>
        <v>32.832000000000001</v>
      </c>
    </row>
    <row r="96" spans="1:11" ht="18" customHeight="1">
      <c r="A96" s="62">
        <v>42121</v>
      </c>
      <c r="B96" s="57"/>
      <c r="C96" s="58" t="s">
        <v>38</v>
      </c>
      <c r="D96" s="59">
        <v>691</v>
      </c>
      <c r="E96" s="59"/>
      <c r="F96" s="66" t="s">
        <v>74</v>
      </c>
      <c r="G96" s="110" t="str">
        <f t="shared" si="7"/>
        <v>Korhogo-Datte</v>
      </c>
      <c r="H96" s="110" t="b">
        <f t="shared" si="6"/>
        <v>0</v>
      </c>
      <c r="I96" s="60">
        <v>1791.6</v>
      </c>
      <c r="J96" s="60">
        <v>20</v>
      </c>
      <c r="K96" s="8">
        <f t="shared" si="8"/>
        <v>35.832000000000001</v>
      </c>
    </row>
    <row r="97" spans="1:11" ht="18" customHeight="1">
      <c r="A97" s="62">
        <v>42121</v>
      </c>
      <c r="B97" s="57"/>
      <c r="C97" s="58" t="s">
        <v>38</v>
      </c>
      <c r="D97" s="59">
        <v>692</v>
      </c>
      <c r="E97" s="59"/>
      <c r="F97" s="66" t="s">
        <v>74</v>
      </c>
      <c r="G97" s="110" t="str">
        <f t="shared" si="7"/>
        <v>Korhogo-Datte</v>
      </c>
      <c r="H97" s="110" t="b">
        <f t="shared" si="6"/>
        <v>0</v>
      </c>
      <c r="I97" s="60">
        <v>1791.5</v>
      </c>
      <c r="J97" s="60">
        <v>20</v>
      </c>
      <c r="K97" s="8">
        <f t="shared" si="8"/>
        <v>35.83</v>
      </c>
    </row>
    <row r="98" spans="1:11" ht="18" customHeight="1">
      <c r="A98" s="62">
        <v>42121</v>
      </c>
      <c r="B98" s="57"/>
      <c r="C98" s="58" t="s">
        <v>38</v>
      </c>
      <c r="D98" s="59">
        <v>693</v>
      </c>
      <c r="E98" s="59"/>
      <c r="F98" s="66" t="s">
        <v>74</v>
      </c>
      <c r="G98" s="110" t="str">
        <f t="shared" si="7"/>
        <v>Korhogo-Datte</v>
      </c>
      <c r="H98" s="110" t="b">
        <f t="shared" si="6"/>
        <v>0</v>
      </c>
      <c r="I98" s="60">
        <v>1791.5</v>
      </c>
      <c r="J98" s="60">
        <v>20</v>
      </c>
      <c r="K98" s="8">
        <f t="shared" si="8"/>
        <v>35.83</v>
      </c>
    </row>
    <row r="99" spans="1:11" ht="18" customHeight="1">
      <c r="A99" s="62">
        <v>42121</v>
      </c>
      <c r="B99" s="57"/>
      <c r="C99" s="58" t="s">
        <v>37</v>
      </c>
      <c r="D99" s="59">
        <v>695</v>
      </c>
      <c r="E99" s="59"/>
      <c r="F99" s="66" t="s">
        <v>74</v>
      </c>
      <c r="G99" s="110" t="str">
        <f t="shared" si="7"/>
        <v>Ferkessedougou-Datte</v>
      </c>
      <c r="H99" s="110" t="b">
        <f t="shared" si="6"/>
        <v>0</v>
      </c>
      <c r="I99" s="60">
        <v>1830</v>
      </c>
      <c r="J99" s="60">
        <v>20</v>
      </c>
      <c r="K99" s="8">
        <f t="shared" si="8"/>
        <v>36.6</v>
      </c>
    </row>
    <row r="100" spans="1:11" ht="18" customHeight="1">
      <c r="A100" s="62">
        <v>42122</v>
      </c>
      <c r="B100" s="57"/>
      <c r="C100" s="58" t="s">
        <v>34</v>
      </c>
      <c r="D100" s="59">
        <v>696</v>
      </c>
      <c r="E100" s="59"/>
      <c r="F100" s="66" t="s">
        <v>74</v>
      </c>
      <c r="G100" s="110" t="str">
        <f t="shared" si="7"/>
        <v>Guiglo-Datte</v>
      </c>
      <c r="H100" s="110" t="b">
        <f t="shared" si="6"/>
        <v>0</v>
      </c>
      <c r="I100" s="60">
        <v>1641.6</v>
      </c>
      <c r="J100" s="60">
        <v>20</v>
      </c>
      <c r="K100" s="8">
        <f t="shared" si="8"/>
        <v>32.832000000000001</v>
      </c>
    </row>
    <row r="101" spans="1:11" ht="18" customHeight="1">
      <c r="A101" s="62">
        <v>42122</v>
      </c>
      <c r="B101" s="57"/>
      <c r="C101" s="58" t="s">
        <v>40</v>
      </c>
      <c r="D101" s="59">
        <v>697</v>
      </c>
      <c r="E101" s="59"/>
      <c r="F101" s="66" t="s">
        <v>74</v>
      </c>
      <c r="G101" s="110" t="str">
        <f t="shared" si="7"/>
        <v>Seguela-Datte</v>
      </c>
      <c r="H101" s="110" t="b">
        <f t="shared" si="6"/>
        <v>0</v>
      </c>
      <c r="I101" s="60">
        <v>1819.7</v>
      </c>
      <c r="J101" s="60">
        <v>20</v>
      </c>
      <c r="K101" s="8">
        <f t="shared" si="8"/>
        <v>36.393999999999998</v>
      </c>
    </row>
    <row r="102" spans="1:11" ht="18" customHeight="1">
      <c r="A102" s="62">
        <v>42122</v>
      </c>
      <c r="B102" s="57"/>
      <c r="C102" s="58" t="s">
        <v>34</v>
      </c>
      <c r="D102" s="59">
        <v>698</v>
      </c>
      <c r="E102" s="59"/>
      <c r="F102" s="66" t="s">
        <v>74</v>
      </c>
      <c r="G102" s="110" t="str">
        <f t="shared" si="7"/>
        <v>Guiglo-Datte</v>
      </c>
      <c r="H102" s="110" t="b">
        <f t="shared" si="6"/>
        <v>0</v>
      </c>
      <c r="I102" s="60">
        <v>1641.6</v>
      </c>
      <c r="J102" s="60">
        <v>20</v>
      </c>
      <c r="K102" s="8">
        <f t="shared" si="8"/>
        <v>32.832000000000001</v>
      </c>
    </row>
    <row r="103" spans="1:11" ht="18" customHeight="1">
      <c r="A103" s="62">
        <v>42122</v>
      </c>
      <c r="B103" s="57"/>
      <c r="C103" s="58" t="s">
        <v>34</v>
      </c>
      <c r="D103" s="59">
        <v>699</v>
      </c>
      <c r="E103" s="59"/>
      <c r="F103" s="66" t="s">
        <v>74</v>
      </c>
      <c r="G103" s="110" t="str">
        <f t="shared" si="7"/>
        <v>Guiglo-Datte</v>
      </c>
      <c r="H103" s="110" t="b">
        <f t="shared" si="6"/>
        <v>0</v>
      </c>
      <c r="I103" s="60">
        <v>1641.6</v>
      </c>
      <c r="J103" s="60">
        <v>20</v>
      </c>
      <c r="K103" s="8">
        <f t="shared" si="8"/>
        <v>32.832000000000001</v>
      </c>
    </row>
    <row r="104" spans="1:11" ht="18" customHeight="1">
      <c r="A104" s="62">
        <v>42123</v>
      </c>
      <c r="B104" s="57"/>
      <c r="C104" s="58" t="s">
        <v>32</v>
      </c>
      <c r="D104" s="59">
        <v>700</v>
      </c>
      <c r="E104" s="59"/>
      <c r="F104" s="66" t="s">
        <v>74</v>
      </c>
      <c r="G104" s="110" t="str">
        <f t="shared" si="7"/>
        <v>Tanda-Datte</v>
      </c>
      <c r="H104" s="110" t="b">
        <f t="shared" si="6"/>
        <v>0</v>
      </c>
      <c r="I104" s="60">
        <v>1550</v>
      </c>
      <c r="J104" s="60">
        <v>20</v>
      </c>
      <c r="K104" s="8">
        <f t="shared" si="8"/>
        <v>31</v>
      </c>
    </row>
    <row r="105" spans="1:11" ht="18" customHeight="1">
      <c r="A105" s="62">
        <v>42123</v>
      </c>
      <c r="B105" s="57"/>
      <c r="C105" s="58" t="s">
        <v>32</v>
      </c>
      <c r="D105" s="59">
        <v>102251</v>
      </c>
      <c r="E105" s="59"/>
      <c r="F105" s="66" t="s">
        <v>74</v>
      </c>
      <c r="G105" s="110" t="str">
        <f t="shared" si="7"/>
        <v>Tanda-Datte</v>
      </c>
      <c r="H105" s="110" t="b">
        <f t="shared" si="6"/>
        <v>0</v>
      </c>
      <c r="I105" s="60">
        <v>1558.5</v>
      </c>
      <c r="J105" s="60">
        <v>20</v>
      </c>
      <c r="K105" s="8">
        <f t="shared" si="8"/>
        <v>31.17</v>
      </c>
    </row>
    <row r="106" spans="1:11" ht="18" customHeight="1">
      <c r="A106" s="56"/>
      <c r="B106" s="61"/>
      <c r="C106" s="62"/>
      <c r="D106" s="59"/>
      <c r="E106" s="59"/>
      <c r="F106" s="57"/>
      <c r="G106" s="110" t="b">
        <f t="shared" si="7"/>
        <v>0</v>
      </c>
      <c r="H106" s="110" t="b">
        <f t="shared" si="6"/>
        <v>0</v>
      </c>
      <c r="I106" s="60"/>
      <c r="J106" s="60">
        <v>20</v>
      </c>
      <c r="K106" s="8">
        <f t="shared" si="8"/>
        <v>0</v>
      </c>
    </row>
    <row r="107" spans="1:11" ht="18" customHeight="1">
      <c r="A107" s="56"/>
      <c r="B107" s="61"/>
      <c r="C107" s="62"/>
      <c r="D107" s="59"/>
      <c r="E107" s="59"/>
      <c r="F107" s="57"/>
      <c r="G107" s="110" t="b">
        <f t="shared" si="7"/>
        <v>0</v>
      </c>
      <c r="H107" s="110" t="b">
        <f t="shared" si="6"/>
        <v>0</v>
      </c>
      <c r="I107" s="60"/>
      <c r="J107" s="60">
        <v>20</v>
      </c>
      <c r="K107" s="8">
        <f t="shared" si="8"/>
        <v>0</v>
      </c>
    </row>
    <row r="108" spans="1:11" ht="18" customHeight="1">
      <c r="A108" s="56"/>
      <c r="B108" s="61"/>
      <c r="C108" s="62"/>
      <c r="D108" s="59"/>
      <c r="E108" s="59"/>
      <c r="F108" s="57"/>
      <c r="G108" s="110" t="b">
        <f t="shared" si="7"/>
        <v>0</v>
      </c>
      <c r="H108" s="110" t="b">
        <f t="shared" si="6"/>
        <v>0</v>
      </c>
      <c r="I108" s="60"/>
      <c r="J108" s="60">
        <v>20</v>
      </c>
      <c r="K108" s="8">
        <f t="shared" si="8"/>
        <v>0</v>
      </c>
    </row>
    <row r="109" spans="1:11" ht="18" customHeight="1">
      <c r="A109" s="56"/>
      <c r="B109" s="61"/>
      <c r="C109" s="62"/>
      <c r="D109" s="59"/>
      <c r="E109" s="59"/>
      <c r="F109" s="57"/>
      <c r="G109" s="110" t="b">
        <f t="shared" si="7"/>
        <v>0</v>
      </c>
      <c r="H109" s="110" t="b">
        <f t="shared" si="6"/>
        <v>0</v>
      </c>
      <c r="I109" s="60"/>
      <c r="J109" s="60">
        <v>20</v>
      </c>
      <c r="K109" s="8">
        <f t="shared" si="8"/>
        <v>0</v>
      </c>
    </row>
    <row r="110" spans="1:11" ht="18" customHeight="1">
      <c r="A110" s="56"/>
      <c r="B110" s="61"/>
      <c r="C110" s="62"/>
      <c r="D110" s="59"/>
      <c r="E110" s="59"/>
      <c r="F110" s="57"/>
      <c r="G110" s="110" t="b">
        <f t="shared" si="7"/>
        <v>0</v>
      </c>
      <c r="H110" s="110" t="b">
        <f t="shared" si="6"/>
        <v>0</v>
      </c>
      <c r="I110" s="60"/>
      <c r="J110" s="60"/>
      <c r="K110" s="8">
        <f t="shared" si="8"/>
        <v>0</v>
      </c>
    </row>
    <row r="111" spans="1:11" ht="18" customHeight="1">
      <c r="A111" s="63"/>
      <c r="B111" s="64"/>
      <c r="C111" s="62"/>
      <c r="D111" s="59"/>
      <c r="E111" s="69"/>
      <c r="F111" s="67"/>
      <c r="G111" s="110" t="b">
        <f t="shared" si="7"/>
        <v>0</v>
      </c>
      <c r="H111" s="110" t="b">
        <f t="shared" si="6"/>
        <v>0</v>
      </c>
      <c r="I111" s="60"/>
      <c r="J111" s="60"/>
      <c r="K111" s="8">
        <f t="shared" si="8"/>
        <v>0</v>
      </c>
    </row>
    <row r="112" spans="1:11" ht="18" customHeight="1">
      <c r="A112" s="63"/>
      <c r="B112" s="64"/>
      <c r="C112" s="62"/>
      <c r="D112" s="59"/>
      <c r="E112" s="69"/>
      <c r="F112" s="67"/>
      <c r="G112" s="110" t="b">
        <f t="shared" si="7"/>
        <v>0</v>
      </c>
      <c r="H112" s="110" t="b">
        <f t="shared" si="6"/>
        <v>0</v>
      </c>
      <c r="I112" s="60"/>
      <c r="J112" s="60"/>
      <c r="K112" s="8">
        <f t="shared" si="8"/>
        <v>0</v>
      </c>
    </row>
    <row r="113" spans="1:11" ht="18" customHeight="1">
      <c r="A113" s="56"/>
      <c r="B113" s="61"/>
      <c r="C113" s="62"/>
      <c r="D113" s="59"/>
      <c r="E113" s="59"/>
      <c r="F113" s="57"/>
      <c r="G113" s="110" t="b">
        <f t="shared" si="7"/>
        <v>0</v>
      </c>
      <c r="H113" s="110" t="b">
        <f t="shared" si="6"/>
        <v>0</v>
      </c>
      <c r="I113" s="60"/>
      <c r="J113" s="60"/>
      <c r="K113" s="8">
        <f t="shared" si="8"/>
        <v>0</v>
      </c>
    </row>
    <row r="114" spans="1:11" ht="18" customHeight="1">
      <c r="A114" s="63"/>
      <c r="B114" s="64"/>
      <c r="C114" s="62"/>
      <c r="D114" s="59"/>
      <c r="E114" s="69"/>
      <c r="F114" s="67"/>
      <c r="G114" s="110" t="b">
        <f t="shared" si="7"/>
        <v>0</v>
      </c>
      <c r="H114" s="110" t="b">
        <f t="shared" si="6"/>
        <v>0</v>
      </c>
      <c r="I114" s="60"/>
      <c r="J114" s="60"/>
      <c r="K114" s="8">
        <f t="shared" si="8"/>
        <v>0</v>
      </c>
    </row>
    <row r="115" spans="1:11" ht="18" customHeight="1">
      <c r="A115" s="63"/>
      <c r="B115" s="64"/>
      <c r="C115" s="62"/>
      <c r="D115" s="59"/>
      <c r="E115" s="69"/>
      <c r="F115" s="67"/>
      <c r="G115" s="110" t="b">
        <f t="shared" si="7"/>
        <v>0</v>
      </c>
      <c r="H115" s="110" t="b">
        <f t="shared" si="6"/>
        <v>0</v>
      </c>
      <c r="I115" s="60"/>
      <c r="J115" s="60"/>
      <c r="K115" s="8">
        <f t="shared" si="8"/>
        <v>0</v>
      </c>
    </row>
    <row r="116" spans="1:11" ht="18" customHeight="1">
      <c r="A116" s="63"/>
      <c r="B116" s="64"/>
      <c r="C116" s="62"/>
      <c r="D116" s="59"/>
      <c r="E116" s="69"/>
      <c r="F116" s="67"/>
      <c r="G116" s="110" t="b">
        <f t="shared" si="7"/>
        <v>0</v>
      </c>
      <c r="H116" s="110" t="b">
        <f t="shared" si="6"/>
        <v>0</v>
      </c>
      <c r="I116" s="60"/>
      <c r="J116" s="60"/>
      <c r="K116" s="8">
        <f t="shared" si="8"/>
        <v>0</v>
      </c>
    </row>
    <row r="117" spans="1:11" ht="18" customHeight="1">
      <c r="A117" s="63"/>
      <c r="B117" s="64"/>
      <c r="C117" s="62"/>
      <c r="D117" s="59"/>
      <c r="E117" s="69"/>
      <c r="F117" s="67"/>
      <c r="G117" s="110" t="b">
        <f t="shared" si="7"/>
        <v>0</v>
      </c>
      <c r="H117" s="110" t="b">
        <f t="shared" si="6"/>
        <v>0</v>
      </c>
      <c r="I117" s="60"/>
      <c r="J117" s="60"/>
      <c r="K117" s="8">
        <f t="shared" si="8"/>
        <v>0</v>
      </c>
    </row>
    <row r="118" spans="1:11" ht="18" customHeight="1">
      <c r="A118" s="63"/>
      <c r="B118" s="64"/>
      <c r="C118" s="65"/>
      <c r="D118" s="69"/>
      <c r="E118" s="69"/>
      <c r="F118" s="67"/>
      <c r="G118" s="110" t="b">
        <f t="shared" si="7"/>
        <v>0</v>
      </c>
      <c r="H118" s="110" t="b">
        <f t="shared" si="6"/>
        <v>0</v>
      </c>
      <c r="I118" s="60"/>
      <c r="J118" s="60"/>
      <c r="K118" s="8">
        <f t="shared" si="8"/>
        <v>0</v>
      </c>
    </row>
    <row r="119" spans="1:11" ht="18" customHeight="1">
      <c r="A119" s="63"/>
      <c r="B119" s="64"/>
      <c r="C119" s="65"/>
      <c r="D119" s="69"/>
      <c r="E119" s="69"/>
      <c r="F119" s="67"/>
      <c r="G119" s="110" t="b">
        <f t="shared" si="7"/>
        <v>0</v>
      </c>
      <c r="H119" s="110" t="b">
        <f t="shared" si="6"/>
        <v>0</v>
      </c>
      <c r="I119" s="60"/>
      <c r="J119" s="60"/>
      <c r="K119" s="8">
        <f t="shared" si="8"/>
        <v>0</v>
      </c>
    </row>
    <row r="120" spans="1:11" ht="18" customHeight="1">
      <c r="A120" s="63"/>
      <c r="B120" s="64"/>
      <c r="C120" s="65"/>
      <c r="D120" s="59"/>
      <c r="E120" s="69"/>
      <c r="F120" s="67"/>
      <c r="G120" s="110" t="b">
        <f t="shared" si="7"/>
        <v>0</v>
      </c>
      <c r="H120" s="110" t="b">
        <f>IF(ISTEXT(B120),IF(ISTEXT(F120),CONCATENATE(B120,"-",F120)))</f>
        <v>0</v>
      </c>
      <c r="I120" s="60"/>
      <c r="J120" s="60"/>
      <c r="K120" s="8">
        <f t="shared" si="8"/>
        <v>0</v>
      </c>
    </row>
    <row r="121" spans="1:11" ht="18" customHeight="1">
      <c r="A121" s="63"/>
      <c r="B121" s="64"/>
      <c r="C121" s="65"/>
      <c r="D121" s="59"/>
      <c r="E121" s="69"/>
      <c r="F121" s="67"/>
      <c r="G121" s="110" t="b">
        <f t="shared" si="7"/>
        <v>0</v>
      </c>
      <c r="H121" s="110" t="b">
        <f t="shared" si="6"/>
        <v>0</v>
      </c>
      <c r="I121" s="60"/>
      <c r="J121" s="60"/>
      <c r="K121" s="8">
        <f t="shared" si="8"/>
        <v>0</v>
      </c>
    </row>
    <row r="122" spans="1:11" ht="18" customHeight="1">
      <c r="A122" s="63"/>
      <c r="B122" s="64"/>
      <c r="C122" s="65"/>
      <c r="D122" s="59"/>
      <c r="E122" s="69"/>
      <c r="F122" s="67"/>
      <c r="G122" s="110" t="b">
        <f t="shared" si="7"/>
        <v>0</v>
      </c>
      <c r="H122" s="110" t="b">
        <f t="shared" si="6"/>
        <v>0</v>
      </c>
      <c r="I122" s="60"/>
      <c r="J122" s="60"/>
      <c r="K122" s="8">
        <f t="shared" si="8"/>
        <v>0</v>
      </c>
    </row>
    <row r="123" spans="1:11" ht="18" customHeight="1">
      <c r="A123" s="56"/>
      <c r="B123" s="61"/>
      <c r="C123" s="65"/>
      <c r="D123" s="59"/>
      <c r="E123" s="69"/>
      <c r="F123" s="67"/>
      <c r="G123" s="110" t="b">
        <f t="shared" si="7"/>
        <v>0</v>
      </c>
      <c r="H123" s="110" t="b">
        <f t="shared" si="6"/>
        <v>0</v>
      </c>
      <c r="I123" s="60"/>
      <c r="J123" s="60"/>
      <c r="K123" s="8">
        <f t="shared" si="8"/>
        <v>0</v>
      </c>
    </row>
    <row r="124" spans="1:11" ht="18" customHeight="1">
      <c r="A124" s="56"/>
      <c r="B124" s="61"/>
      <c r="C124" s="62"/>
      <c r="D124" s="59"/>
      <c r="E124" s="69"/>
      <c r="F124" s="66"/>
      <c r="G124" s="110" t="b">
        <f t="shared" si="7"/>
        <v>0</v>
      </c>
      <c r="H124" s="110" t="b">
        <f t="shared" si="6"/>
        <v>0</v>
      </c>
      <c r="I124" s="60"/>
      <c r="J124" s="60"/>
      <c r="K124" s="8">
        <f t="shared" si="8"/>
        <v>0</v>
      </c>
    </row>
    <row r="125" spans="1:11" ht="18" customHeight="1">
      <c r="A125" s="56"/>
      <c r="B125" s="61"/>
      <c r="C125" s="62"/>
      <c r="D125" s="59"/>
      <c r="E125" s="69"/>
      <c r="F125" s="66"/>
      <c r="G125" s="110" t="b">
        <f t="shared" si="7"/>
        <v>0</v>
      </c>
      <c r="H125" s="110" t="b">
        <f t="shared" si="6"/>
        <v>0</v>
      </c>
      <c r="I125" s="60"/>
      <c r="J125" s="60"/>
      <c r="K125" s="8">
        <f t="shared" si="8"/>
        <v>0</v>
      </c>
    </row>
    <row r="126" spans="1:11" ht="18" customHeight="1">
      <c r="A126" s="56"/>
      <c r="B126" s="61"/>
      <c r="C126" s="62"/>
      <c r="D126" s="59"/>
      <c r="E126" s="69"/>
      <c r="F126" s="66"/>
      <c r="G126" s="110" t="b">
        <f t="shared" si="7"/>
        <v>0</v>
      </c>
      <c r="H126" s="110" t="b">
        <f t="shared" si="6"/>
        <v>0</v>
      </c>
      <c r="I126" s="60"/>
      <c r="J126" s="60"/>
      <c r="K126" s="8">
        <f t="shared" si="8"/>
        <v>0</v>
      </c>
    </row>
    <row r="127" spans="1:11" ht="18" customHeight="1">
      <c r="A127" s="56"/>
      <c r="B127" s="61"/>
      <c r="C127" s="62"/>
      <c r="D127" s="59"/>
      <c r="E127" s="69"/>
      <c r="F127" s="66"/>
      <c r="G127" s="110" t="b">
        <f t="shared" si="7"/>
        <v>0</v>
      </c>
      <c r="H127" s="110" t="b">
        <f t="shared" si="6"/>
        <v>0</v>
      </c>
      <c r="I127" s="60"/>
      <c r="J127" s="60"/>
      <c r="K127" s="8">
        <f t="shared" si="8"/>
        <v>0</v>
      </c>
    </row>
    <row r="128" spans="1:11" ht="18" customHeight="1">
      <c r="A128" s="56"/>
      <c r="B128" s="61"/>
      <c r="C128" s="62"/>
      <c r="D128" s="59"/>
      <c r="E128" s="69"/>
      <c r="F128" s="66"/>
      <c r="G128" s="110" t="b">
        <f t="shared" si="7"/>
        <v>0</v>
      </c>
      <c r="H128" s="110" t="b">
        <f t="shared" si="6"/>
        <v>0</v>
      </c>
      <c r="I128" s="60"/>
      <c r="J128" s="60"/>
      <c r="K128" s="8">
        <f t="shared" si="8"/>
        <v>0</v>
      </c>
    </row>
    <row r="129" spans="1:11" ht="18" customHeight="1">
      <c r="A129" s="56"/>
      <c r="B129" s="61"/>
      <c r="C129" s="62"/>
      <c r="D129" s="59"/>
      <c r="E129" s="69"/>
      <c r="F129" s="66"/>
      <c r="G129" s="110" t="b">
        <f t="shared" si="7"/>
        <v>0</v>
      </c>
      <c r="H129" s="110" t="b">
        <f t="shared" si="6"/>
        <v>0</v>
      </c>
      <c r="I129" s="60"/>
      <c r="J129" s="60"/>
      <c r="K129" s="8">
        <f t="shared" si="8"/>
        <v>0</v>
      </c>
    </row>
    <row r="130" spans="1:11" ht="18" customHeight="1">
      <c r="A130" s="56"/>
      <c r="B130" s="61"/>
      <c r="C130" s="62"/>
      <c r="D130" s="59"/>
      <c r="E130" s="69"/>
      <c r="F130" s="66"/>
      <c r="G130" s="110" t="b">
        <f t="shared" si="7"/>
        <v>0</v>
      </c>
      <c r="H130" s="110" t="b">
        <f t="shared" si="6"/>
        <v>0</v>
      </c>
      <c r="I130" s="60"/>
      <c r="J130" s="60"/>
      <c r="K130" s="8">
        <f t="shared" si="8"/>
        <v>0</v>
      </c>
    </row>
    <row r="131" spans="1:11" ht="18" customHeight="1">
      <c r="A131" s="63"/>
      <c r="B131" s="64"/>
      <c r="C131" s="65"/>
      <c r="D131" s="59"/>
      <c r="E131" s="69"/>
      <c r="F131" s="66"/>
      <c r="G131" s="110" t="b">
        <f t="shared" si="7"/>
        <v>0</v>
      </c>
      <c r="H131" s="110" t="b">
        <f t="shared" si="6"/>
        <v>0</v>
      </c>
      <c r="I131" s="60"/>
      <c r="J131" s="60"/>
      <c r="K131" s="8">
        <f t="shared" si="8"/>
        <v>0</v>
      </c>
    </row>
    <row r="132" spans="1:11" ht="18" customHeight="1">
      <c r="A132" s="63"/>
      <c r="B132" s="64"/>
      <c r="C132" s="65"/>
      <c r="D132" s="59"/>
      <c r="E132" s="69"/>
      <c r="F132" s="66"/>
      <c r="G132" s="110" t="b">
        <f t="shared" si="7"/>
        <v>0</v>
      </c>
      <c r="H132" s="110" t="b">
        <f t="shared" si="6"/>
        <v>0</v>
      </c>
      <c r="I132" s="60"/>
      <c r="J132" s="60"/>
      <c r="K132" s="8">
        <f t="shared" si="8"/>
        <v>0</v>
      </c>
    </row>
    <row r="133" spans="1:11" ht="18" customHeight="1">
      <c r="A133" s="63"/>
      <c r="B133" s="64"/>
      <c r="C133" s="65"/>
      <c r="D133" s="59"/>
      <c r="E133" s="69"/>
      <c r="F133" s="66"/>
      <c r="G133" s="110" t="b">
        <f t="shared" si="7"/>
        <v>0</v>
      </c>
      <c r="H133" s="110" t="b">
        <f t="shared" si="6"/>
        <v>0</v>
      </c>
      <c r="I133" s="60"/>
      <c r="J133" s="60"/>
      <c r="K133" s="8">
        <f t="shared" si="8"/>
        <v>0</v>
      </c>
    </row>
    <row r="134" spans="1:11" ht="18" customHeight="1">
      <c r="A134" s="63"/>
      <c r="B134" s="64"/>
      <c r="C134" s="65"/>
      <c r="D134" s="59"/>
      <c r="E134" s="69"/>
      <c r="F134" s="66"/>
      <c r="G134" s="110" t="b">
        <f t="shared" si="7"/>
        <v>0</v>
      </c>
      <c r="H134" s="110" t="b">
        <f t="shared" si="6"/>
        <v>0</v>
      </c>
      <c r="I134" s="60"/>
      <c r="J134" s="60"/>
      <c r="K134" s="8">
        <f t="shared" si="8"/>
        <v>0</v>
      </c>
    </row>
    <row r="135" spans="1:11" ht="18" customHeight="1">
      <c r="A135" s="63"/>
      <c r="B135" s="64"/>
      <c r="C135" s="65"/>
      <c r="D135" s="59"/>
      <c r="E135" s="69"/>
      <c r="F135" s="66"/>
      <c r="G135" s="110" t="b">
        <f t="shared" si="7"/>
        <v>0</v>
      </c>
      <c r="H135" s="110" t="b">
        <f t="shared" si="6"/>
        <v>0</v>
      </c>
      <c r="I135" s="60"/>
      <c r="J135" s="60"/>
      <c r="K135" s="8">
        <f t="shared" si="8"/>
        <v>0</v>
      </c>
    </row>
    <row r="136" spans="1:11" ht="18" customHeight="1">
      <c r="A136" s="63"/>
      <c r="B136" s="64"/>
      <c r="C136" s="65"/>
      <c r="D136" s="59"/>
      <c r="E136" s="69"/>
      <c r="F136" s="66"/>
      <c r="G136" s="110" t="b">
        <f t="shared" si="7"/>
        <v>0</v>
      </c>
      <c r="H136" s="110" t="b">
        <f t="shared" si="6"/>
        <v>0</v>
      </c>
      <c r="I136" s="60"/>
      <c r="J136" s="60"/>
      <c r="K136" s="8">
        <f t="shared" si="8"/>
        <v>0</v>
      </c>
    </row>
    <row r="137" spans="1:11" ht="18" customHeight="1">
      <c r="B137" s="78"/>
      <c r="C137" s="79"/>
      <c r="K137" s="44"/>
    </row>
    <row r="138" spans="1:11" ht="18" customHeight="1">
      <c r="B138" s="78"/>
      <c r="C138" s="79"/>
      <c r="K138" s="44"/>
    </row>
    <row r="139" spans="1:11" ht="18" customHeight="1">
      <c r="B139" s="78"/>
      <c r="C139" s="79"/>
      <c r="K139" s="44"/>
    </row>
    <row r="140" spans="1:11" ht="18" customHeight="1">
      <c r="A140" s="66"/>
      <c r="B140" s="67"/>
      <c r="C140" s="81"/>
      <c r="D140" s="69"/>
      <c r="E140" s="69"/>
      <c r="F140" s="66"/>
      <c r="G140" s="110" t="b">
        <f t="shared" ref="G140:G182" si="9">IF(ISTEXT(C140),IF(ISTEXT(F140),CONCATENATE(C140,"-",F140)))</f>
        <v>0</v>
      </c>
      <c r="H140" s="110" t="b">
        <f t="shared" ref="H140:H182" si="10">IF(ISTEXT(B140),IF(ISTEXT(F140),CONCATENATE(B140,"-",F140)))</f>
        <v>0</v>
      </c>
      <c r="I140" s="59"/>
      <c r="J140" s="59"/>
      <c r="K140" s="47"/>
    </row>
    <row r="141" spans="1:11" ht="18" customHeight="1">
      <c r="A141" s="66"/>
      <c r="B141" s="67"/>
      <c r="C141" s="81"/>
      <c r="D141" s="69"/>
      <c r="E141" s="69"/>
      <c r="F141" s="66"/>
      <c r="G141" s="110" t="b">
        <f t="shared" si="9"/>
        <v>0</v>
      </c>
      <c r="H141" s="110" t="b">
        <f t="shared" si="10"/>
        <v>0</v>
      </c>
      <c r="I141" s="59"/>
      <c r="J141" s="59"/>
      <c r="K141" s="47"/>
    </row>
    <row r="142" spans="1:11" ht="18" customHeight="1">
      <c r="A142" s="66"/>
      <c r="B142" s="67"/>
      <c r="C142" s="81"/>
      <c r="D142" s="69"/>
      <c r="E142" s="69"/>
      <c r="F142" s="66"/>
      <c r="G142" s="110" t="b">
        <f t="shared" si="9"/>
        <v>0</v>
      </c>
      <c r="H142" s="110" t="b">
        <f t="shared" si="10"/>
        <v>0</v>
      </c>
      <c r="I142" s="59"/>
      <c r="J142" s="59"/>
      <c r="K142" s="47"/>
    </row>
    <row r="143" spans="1:11" ht="18" customHeight="1">
      <c r="A143" s="66"/>
      <c r="B143" s="67"/>
      <c r="C143" s="81"/>
      <c r="D143" s="69"/>
      <c r="E143" s="69"/>
      <c r="F143" s="66"/>
      <c r="G143" s="110" t="b">
        <f t="shared" si="9"/>
        <v>0</v>
      </c>
      <c r="H143" s="110" t="b">
        <f t="shared" si="10"/>
        <v>0</v>
      </c>
      <c r="I143" s="59"/>
      <c r="J143" s="59"/>
      <c r="K143" s="47"/>
    </row>
    <row r="144" spans="1:11" ht="18" customHeight="1">
      <c r="A144" s="66"/>
      <c r="B144" s="67"/>
      <c r="C144" s="81"/>
      <c r="D144" s="69"/>
      <c r="E144" s="69"/>
      <c r="F144" s="66"/>
      <c r="G144" s="110" t="b">
        <f t="shared" si="9"/>
        <v>0</v>
      </c>
      <c r="H144" s="110" t="b">
        <f t="shared" si="10"/>
        <v>0</v>
      </c>
      <c r="I144" s="59"/>
      <c r="J144" s="59"/>
      <c r="K144" s="47"/>
    </row>
    <row r="145" spans="1:11" ht="18" customHeight="1">
      <c r="A145" s="66"/>
      <c r="B145" s="67"/>
      <c r="C145" s="81"/>
      <c r="D145" s="69"/>
      <c r="E145" s="69"/>
      <c r="F145" s="66"/>
      <c r="G145" s="110" t="b">
        <f t="shared" si="9"/>
        <v>0</v>
      </c>
      <c r="H145" s="110" t="b">
        <f t="shared" si="10"/>
        <v>0</v>
      </c>
      <c r="I145" s="59"/>
      <c r="J145" s="59"/>
      <c r="K145" s="47"/>
    </row>
    <row r="146" spans="1:11" ht="18" customHeight="1">
      <c r="A146" s="66"/>
      <c r="B146" s="67"/>
      <c r="C146" s="81"/>
      <c r="D146" s="69"/>
      <c r="E146" s="69"/>
      <c r="F146" s="66"/>
      <c r="G146" s="110" t="b">
        <f t="shared" si="9"/>
        <v>0</v>
      </c>
      <c r="H146" s="110" t="b">
        <f t="shared" si="10"/>
        <v>0</v>
      </c>
      <c r="I146" s="59"/>
      <c r="J146" s="59"/>
      <c r="K146" s="47"/>
    </row>
    <row r="147" spans="1:11" ht="18" customHeight="1">
      <c r="A147" s="66"/>
      <c r="B147" s="67"/>
      <c r="C147" s="81"/>
      <c r="D147" s="69"/>
      <c r="E147" s="69"/>
      <c r="F147" s="66"/>
      <c r="G147" s="110" t="b">
        <f t="shared" si="9"/>
        <v>0</v>
      </c>
      <c r="H147" s="110" t="b">
        <f t="shared" si="10"/>
        <v>0</v>
      </c>
      <c r="I147" s="59"/>
      <c r="J147" s="59"/>
      <c r="K147" s="47"/>
    </row>
    <row r="148" spans="1:11" ht="18" customHeight="1">
      <c r="A148" s="66"/>
      <c r="B148" s="67"/>
      <c r="C148" s="81"/>
      <c r="D148" s="69"/>
      <c r="E148" s="69"/>
      <c r="F148" s="66"/>
      <c r="G148" s="110" t="b">
        <f t="shared" si="9"/>
        <v>0</v>
      </c>
      <c r="H148" s="110" t="b">
        <f t="shared" si="10"/>
        <v>0</v>
      </c>
      <c r="I148" s="59"/>
      <c r="J148" s="59"/>
      <c r="K148" s="47"/>
    </row>
    <row r="149" spans="1:11" ht="18" customHeight="1">
      <c r="A149" s="66"/>
      <c r="B149" s="67"/>
      <c r="C149" s="81"/>
      <c r="D149" s="69"/>
      <c r="E149" s="69"/>
      <c r="F149" s="66"/>
      <c r="G149" s="110" t="b">
        <f t="shared" si="9"/>
        <v>0</v>
      </c>
      <c r="H149" s="110" t="b">
        <f t="shared" si="10"/>
        <v>0</v>
      </c>
      <c r="I149" s="59"/>
      <c r="J149" s="59"/>
      <c r="K149" s="47"/>
    </row>
    <row r="150" spans="1:11" ht="18" customHeight="1">
      <c r="A150" s="66"/>
      <c r="B150" s="67"/>
      <c r="C150" s="81"/>
      <c r="D150" s="69"/>
      <c r="E150" s="69"/>
      <c r="F150" s="66"/>
      <c r="G150" s="110" t="b">
        <f t="shared" si="9"/>
        <v>0</v>
      </c>
      <c r="H150" s="110" t="b">
        <f t="shared" si="10"/>
        <v>0</v>
      </c>
      <c r="I150" s="59"/>
      <c r="J150" s="59"/>
      <c r="K150" s="47"/>
    </row>
    <row r="151" spans="1:11" ht="18" customHeight="1">
      <c r="A151" s="66"/>
      <c r="B151" s="67"/>
      <c r="C151" s="81"/>
      <c r="D151" s="69"/>
      <c r="E151" s="69"/>
      <c r="F151" s="66"/>
      <c r="G151" s="110" t="b">
        <f t="shared" si="9"/>
        <v>0</v>
      </c>
      <c r="H151" s="110" t="b">
        <f t="shared" si="10"/>
        <v>0</v>
      </c>
      <c r="I151" s="59"/>
      <c r="J151" s="59"/>
      <c r="K151" s="47"/>
    </row>
    <row r="152" spans="1:11" ht="18" customHeight="1">
      <c r="A152" s="66"/>
      <c r="B152" s="67"/>
      <c r="C152" s="81"/>
      <c r="D152" s="69"/>
      <c r="E152" s="69"/>
      <c r="F152" s="66"/>
      <c r="G152" s="110" t="b">
        <f t="shared" si="9"/>
        <v>0</v>
      </c>
      <c r="H152" s="110" t="b">
        <f t="shared" si="10"/>
        <v>0</v>
      </c>
      <c r="I152" s="59"/>
      <c r="J152" s="59"/>
      <c r="K152" s="47"/>
    </row>
    <row r="153" spans="1:11" ht="18" customHeight="1">
      <c r="A153" s="66"/>
      <c r="B153" s="67"/>
      <c r="C153" s="81"/>
      <c r="D153" s="69"/>
      <c r="E153" s="69"/>
      <c r="F153" s="66"/>
      <c r="G153" s="110" t="b">
        <f t="shared" si="9"/>
        <v>0</v>
      </c>
      <c r="H153" s="110" t="b">
        <f t="shared" si="10"/>
        <v>0</v>
      </c>
      <c r="I153" s="59"/>
      <c r="J153" s="59"/>
      <c r="K153" s="47"/>
    </row>
    <row r="154" spans="1:11" ht="18" customHeight="1">
      <c r="A154" s="66"/>
      <c r="B154" s="67"/>
      <c r="C154" s="81"/>
      <c r="D154" s="69"/>
      <c r="E154" s="69"/>
      <c r="F154" s="66"/>
      <c r="G154" s="110" t="b">
        <f t="shared" si="9"/>
        <v>0</v>
      </c>
      <c r="H154" s="110" t="b">
        <f t="shared" si="10"/>
        <v>0</v>
      </c>
      <c r="I154" s="59"/>
      <c r="J154" s="59"/>
      <c r="K154" s="47"/>
    </row>
    <row r="155" spans="1:11" ht="18" customHeight="1">
      <c r="A155" s="66"/>
      <c r="B155" s="67"/>
      <c r="C155" s="81"/>
      <c r="D155" s="69"/>
      <c r="E155" s="69"/>
      <c r="F155" s="66"/>
      <c r="G155" s="110" t="b">
        <f t="shared" si="9"/>
        <v>0</v>
      </c>
      <c r="H155" s="110" t="b">
        <f t="shared" si="10"/>
        <v>0</v>
      </c>
      <c r="I155" s="59"/>
      <c r="J155" s="59"/>
      <c r="K155" s="47"/>
    </row>
    <row r="156" spans="1:11" ht="18" customHeight="1">
      <c r="A156" s="66"/>
      <c r="B156" s="67"/>
      <c r="C156" s="81"/>
      <c r="D156" s="69"/>
      <c r="E156" s="69"/>
      <c r="F156" s="66"/>
      <c r="G156" s="110" t="b">
        <f t="shared" si="9"/>
        <v>0</v>
      </c>
      <c r="H156" s="110" t="b">
        <f t="shared" si="10"/>
        <v>0</v>
      </c>
      <c r="I156" s="59"/>
      <c r="J156" s="59"/>
      <c r="K156" s="47"/>
    </row>
    <row r="157" spans="1:11" ht="18" customHeight="1">
      <c r="A157" s="66"/>
      <c r="B157" s="67"/>
      <c r="C157" s="81"/>
      <c r="D157" s="69"/>
      <c r="E157" s="69"/>
      <c r="F157" s="66"/>
      <c r="G157" s="110" t="b">
        <f t="shared" si="9"/>
        <v>0</v>
      </c>
      <c r="H157" s="110" t="b">
        <f t="shared" si="10"/>
        <v>0</v>
      </c>
      <c r="I157" s="59"/>
      <c r="J157" s="59"/>
      <c r="K157" s="47"/>
    </row>
    <row r="158" spans="1:11" ht="18" customHeight="1">
      <c r="A158" s="66"/>
      <c r="B158" s="67"/>
      <c r="C158" s="81"/>
      <c r="D158" s="69"/>
      <c r="E158" s="69"/>
      <c r="F158" s="66"/>
      <c r="G158" s="110" t="b">
        <f t="shared" si="9"/>
        <v>0</v>
      </c>
      <c r="H158" s="110" t="b">
        <f t="shared" si="10"/>
        <v>0</v>
      </c>
      <c r="I158" s="59"/>
      <c r="J158" s="59"/>
      <c r="K158" s="47"/>
    </row>
    <row r="159" spans="1:11" ht="18" customHeight="1">
      <c r="A159" s="66"/>
      <c r="B159" s="67"/>
      <c r="C159" s="81"/>
      <c r="D159" s="69"/>
      <c r="E159" s="69"/>
      <c r="F159" s="66"/>
      <c r="G159" s="110" t="b">
        <f t="shared" si="9"/>
        <v>0</v>
      </c>
      <c r="H159" s="110" t="b">
        <f t="shared" si="10"/>
        <v>0</v>
      </c>
      <c r="I159" s="59"/>
      <c r="J159" s="59"/>
      <c r="K159" s="47"/>
    </row>
    <row r="160" spans="1:11" ht="18" customHeight="1">
      <c r="A160" s="66"/>
      <c r="B160" s="67"/>
      <c r="C160" s="81"/>
      <c r="D160" s="69"/>
      <c r="E160" s="69"/>
      <c r="F160" s="66"/>
      <c r="G160" s="110" t="b">
        <f t="shared" si="9"/>
        <v>0</v>
      </c>
      <c r="H160" s="110" t="b">
        <f t="shared" si="10"/>
        <v>0</v>
      </c>
      <c r="I160" s="59"/>
      <c r="J160" s="59"/>
      <c r="K160" s="47"/>
    </row>
    <row r="161" spans="1:11" ht="18" customHeight="1">
      <c r="A161" s="66"/>
      <c r="B161" s="67"/>
      <c r="C161" s="81"/>
      <c r="D161" s="69"/>
      <c r="E161" s="69"/>
      <c r="F161" s="66"/>
      <c r="G161" s="110" t="b">
        <f t="shared" si="9"/>
        <v>0</v>
      </c>
      <c r="H161" s="110" t="b">
        <f t="shared" si="10"/>
        <v>0</v>
      </c>
      <c r="I161" s="59"/>
      <c r="J161" s="59"/>
      <c r="K161" s="47"/>
    </row>
    <row r="162" spans="1:11" ht="18" customHeight="1">
      <c r="A162" s="66"/>
      <c r="B162" s="67"/>
      <c r="C162" s="81"/>
      <c r="D162" s="69"/>
      <c r="E162" s="69"/>
      <c r="F162" s="66"/>
      <c r="G162" s="110" t="b">
        <f t="shared" si="9"/>
        <v>0</v>
      </c>
      <c r="H162" s="110" t="b">
        <f t="shared" si="10"/>
        <v>0</v>
      </c>
      <c r="I162" s="59"/>
      <c r="J162" s="59"/>
      <c r="K162" s="47"/>
    </row>
    <row r="163" spans="1:11" ht="18" customHeight="1">
      <c r="A163" s="66"/>
      <c r="B163" s="67"/>
      <c r="C163" s="81"/>
      <c r="D163" s="69"/>
      <c r="E163" s="69"/>
      <c r="F163" s="66"/>
      <c r="G163" s="110" t="b">
        <f t="shared" si="9"/>
        <v>0</v>
      </c>
      <c r="H163" s="110" t="b">
        <f t="shared" si="10"/>
        <v>0</v>
      </c>
      <c r="I163" s="59"/>
      <c r="J163" s="59"/>
      <c r="K163" s="47"/>
    </row>
    <row r="164" spans="1:11" ht="18" customHeight="1">
      <c r="A164" s="66"/>
      <c r="B164" s="67"/>
      <c r="C164" s="81"/>
      <c r="D164" s="69"/>
      <c r="E164" s="69"/>
      <c r="F164" s="66"/>
      <c r="G164" s="110" t="b">
        <f t="shared" si="9"/>
        <v>0</v>
      </c>
      <c r="H164" s="110" t="b">
        <f t="shared" si="10"/>
        <v>0</v>
      </c>
      <c r="I164" s="59"/>
      <c r="J164" s="59"/>
      <c r="K164" s="47"/>
    </row>
    <row r="165" spans="1:11" ht="18" customHeight="1">
      <c r="A165" s="66"/>
      <c r="B165" s="67"/>
      <c r="C165" s="81"/>
      <c r="D165" s="69"/>
      <c r="E165" s="69"/>
      <c r="F165" s="66"/>
      <c r="G165" s="110" t="b">
        <f t="shared" si="9"/>
        <v>0</v>
      </c>
      <c r="H165" s="110" t="b">
        <f t="shared" si="10"/>
        <v>0</v>
      </c>
      <c r="I165" s="59"/>
      <c r="J165" s="59"/>
      <c r="K165" s="47"/>
    </row>
    <row r="166" spans="1:11" ht="18" customHeight="1">
      <c r="A166" s="66"/>
      <c r="B166" s="67"/>
      <c r="C166" s="81"/>
      <c r="D166" s="69"/>
      <c r="E166" s="69"/>
      <c r="F166" s="66"/>
      <c r="G166" s="110" t="b">
        <f t="shared" si="9"/>
        <v>0</v>
      </c>
      <c r="H166" s="110" t="b">
        <f t="shared" si="10"/>
        <v>0</v>
      </c>
      <c r="I166" s="59"/>
      <c r="J166" s="59"/>
      <c r="K166" s="47"/>
    </row>
    <row r="167" spans="1:11" ht="18" customHeight="1">
      <c r="A167" s="66"/>
      <c r="B167" s="67"/>
      <c r="C167" s="81"/>
      <c r="D167" s="69"/>
      <c r="E167" s="69"/>
      <c r="F167" s="66"/>
      <c r="G167" s="110" t="b">
        <f t="shared" si="9"/>
        <v>0</v>
      </c>
      <c r="H167" s="110" t="b">
        <f t="shared" si="10"/>
        <v>0</v>
      </c>
      <c r="I167" s="59"/>
      <c r="J167" s="59"/>
      <c r="K167" s="47"/>
    </row>
    <row r="168" spans="1:11" ht="18" customHeight="1">
      <c r="A168" s="66"/>
      <c r="B168" s="67"/>
      <c r="C168" s="81"/>
      <c r="D168" s="69"/>
      <c r="E168" s="69"/>
      <c r="F168" s="66"/>
      <c r="G168" s="110" t="b">
        <f t="shared" si="9"/>
        <v>0</v>
      </c>
      <c r="H168" s="110" t="b">
        <f t="shared" si="10"/>
        <v>0</v>
      </c>
      <c r="I168" s="59"/>
      <c r="J168" s="59"/>
      <c r="K168" s="47"/>
    </row>
    <row r="169" spans="1:11" ht="18" customHeight="1">
      <c r="A169" s="66"/>
      <c r="B169" s="67"/>
      <c r="C169" s="81"/>
      <c r="D169" s="69"/>
      <c r="E169" s="69"/>
      <c r="F169" s="66"/>
      <c r="G169" s="110" t="b">
        <f t="shared" si="9"/>
        <v>0</v>
      </c>
      <c r="H169" s="110" t="b">
        <f t="shared" si="10"/>
        <v>0</v>
      </c>
      <c r="I169" s="59"/>
      <c r="J169" s="59"/>
      <c r="K169" s="47"/>
    </row>
    <row r="170" spans="1:11" ht="18" customHeight="1">
      <c r="A170" s="66"/>
      <c r="B170" s="67"/>
      <c r="C170" s="81"/>
      <c r="D170" s="69"/>
      <c r="E170" s="69"/>
      <c r="F170" s="66"/>
      <c r="G170" s="110" t="b">
        <f t="shared" si="9"/>
        <v>0</v>
      </c>
      <c r="H170" s="110" t="b">
        <f t="shared" si="10"/>
        <v>0</v>
      </c>
      <c r="I170" s="59"/>
      <c r="J170" s="59"/>
      <c r="K170" s="47"/>
    </row>
    <row r="171" spans="1:11" ht="18" customHeight="1">
      <c r="A171" s="66"/>
      <c r="B171" s="67"/>
      <c r="C171" s="81"/>
      <c r="D171" s="69"/>
      <c r="E171" s="69"/>
      <c r="F171" s="66"/>
      <c r="G171" s="110" t="b">
        <f t="shared" si="9"/>
        <v>0</v>
      </c>
      <c r="H171" s="110" t="b">
        <f t="shared" si="10"/>
        <v>0</v>
      </c>
      <c r="I171" s="59"/>
      <c r="J171" s="59"/>
      <c r="K171" s="47"/>
    </row>
    <row r="172" spans="1:11" ht="18" customHeight="1">
      <c r="A172" s="66"/>
      <c r="B172" s="67"/>
      <c r="C172" s="81"/>
      <c r="D172" s="69"/>
      <c r="E172" s="69"/>
      <c r="F172" s="66"/>
      <c r="G172" s="110" t="b">
        <f t="shared" si="9"/>
        <v>0</v>
      </c>
      <c r="H172" s="110" t="b">
        <f t="shared" si="10"/>
        <v>0</v>
      </c>
      <c r="I172" s="59"/>
      <c r="J172" s="59"/>
      <c r="K172" s="47"/>
    </row>
    <row r="173" spans="1:11" ht="18" customHeight="1">
      <c r="A173" s="66"/>
      <c r="B173" s="67"/>
      <c r="C173" s="81"/>
      <c r="D173" s="69"/>
      <c r="E173" s="69"/>
      <c r="F173" s="66"/>
      <c r="G173" s="110" t="b">
        <f t="shared" si="9"/>
        <v>0</v>
      </c>
      <c r="H173" s="110" t="b">
        <f t="shared" si="10"/>
        <v>0</v>
      </c>
      <c r="I173" s="59"/>
      <c r="J173" s="59"/>
      <c r="K173" s="47"/>
    </row>
    <row r="174" spans="1:11" ht="18" customHeight="1">
      <c r="A174" s="66"/>
      <c r="B174" s="67"/>
      <c r="C174" s="81"/>
      <c r="D174" s="69"/>
      <c r="E174" s="69"/>
      <c r="F174" s="66"/>
      <c r="G174" s="110" t="b">
        <f t="shared" si="9"/>
        <v>0</v>
      </c>
      <c r="H174" s="110" t="b">
        <f t="shared" si="10"/>
        <v>0</v>
      </c>
      <c r="I174" s="59"/>
      <c r="J174" s="59"/>
      <c r="K174" s="47"/>
    </row>
    <row r="175" spans="1:11" ht="18" customHeight="1">
      <c r="A175" s="66"/>
      <c r="B175" s="67"/>
      <c r="C175" s="81"/>
      <c r="D175" s="69"/>
      <c r="E175" s="69"/>
      <c r="F175" s="66"/>
      <c r="G175" s="110" t="b">
        <f t="shared" si="9"/>
        <v>0</v>
      </c>
      <c r="H175" s="110" t="b">
        <f t="shared" si="10"/>
        <v>0</v>
      </c>
      <c r="I175" s="59"/>
      <c r="J175" s="59"/>
      <c r="K175" s="47"/>
    </row>
    <row r="176" spans="1:11" ht="18" customHeight="1">
      <c r="A176" s="66"/>
      <c r="B176" s="67"/>
      <c r="C176" s="81"/>
      <c r="D176" s="69"/>
      <c r="E176" s="69"/>
      <c r="F176" s="66"/>
      <c r="G176" s="110" t="b">
        <f t="shared" si="9"/>
        <v>0</v>
      </c>
      <c r="H176" s="110" t="b">
        <f t="shared" si="10"/>
        <v>0</v>
      </c>
      <c r="I176" s="59"/>
      <c r="J176" s="59"/>
      <c r="K176" s="47"/>
    </row>
    <row r="177" spans="1:11" ht="18" customHeight="1">
      <c r="A177" s="66"/>
      <c r="B177" s="67"/>
      <c r="C177" s="81"/>
      <c r="D177" s="69"/>
      <c r="E177" s="69"/>
      <c r="F177" s="66"/>
      <c r="G177" s="110" t="b">
        <f t="shared" si="9"/>
        <v>0</v>
      </c>
      <c r="H177" s="110" t="b">
        <f t="shared" si="10"/>
        <v>0</v>
      </c>
      <c r="I177" s="59"/>
      <c r="J177" s="59"/>
      <c r="K177" s="47"/>
    </row>
    <row r="178" spans="1:11" ht="18" customHeight="1">
      <c r="A178" s="66"/>
      <c r="B178" s="67"/>
      <c r="C178" s="81"/>
      <c r="D178" s="69"/>
      <c r="E178" s="69"/>
      <c r="F178" s="66"/>
      <c r="G178" s="110" t="b">
        <f t="shared" si="9"/>
        <v>0</v>
      </c>
      <c r="H178" s="110" t="b">
        <f t="shared" si="10"/>
        <v>0</v>
      </c>
      <c r="I178" s="59"/>
      <c r="J178" s="59"/>
      <c r="K178" s="47"/>
    </row>
    <row r="179" spans="1:11" ht="18" customHeight="1">
      <c r="A179" s="66"/>
      <c r="B179" s="67"/>
      <c r="C179" s="81"/>
      <c r="D179" s="69"/>
      <c r="E179" s="69"/>
      <c r="F179" s="66"/>
      <c r="G179" s="110" t="b">
        <f t="shared" si="9"/>
        <v>0</v>
      </c>
      <c r="H179" s="110" t="b">
        <f t="shared" si="10"/>
        <v>0</v>
      </c>
      <c r="I179" s="59"/>
      <c r="J179" s="59"/>
      <c r="K179" s="47"/>
    </row>
    <row r="180" spans="1:11" ht="18" customHeight="1">
      <c r="A180" s="66"/>
      <c r="B180" s="67"/>
      <c r="C180" s="81"/>
      <c r="D180" s="69"/>
      <c r="E180" s="69"/>
      <c r="F180" s="66"/>
      <c r="G180" s="110" t="b">
        <f t="shared" si="9"/>
        <v>0</v>
      </c>
      <c r="H180" s="110" t="b">
        <f t="shared" si="10"/>
        <v>0</v>
      </c>
      <c r="I180" s="59"/>
      <c r="J180" s="59"/>
      <c r="K180" s="47"/>
    </row>
    <row r="181" spans="1:11" ht="18" customHeight="1">
      <c r="A181" s="66"/>
      <c r="B181" s="67"/>
      <c r="C181" s="81"/>
      <c r="D181" s="69"/>
      <c r="E181" s="69"/>
      <c r="F181" s="66"/>
      <c r="G181" s="110" t="b">
        <f t="shared" si="9"/>
        <v>0</v>
      </c>
      <c r="H181" s="110" t="b">
        <f t="shared" si="10"/>
        <v>0</v>
      </c>
      <c r="I181" s="59"/>
      <c r="J181" s="59"/>
      <c r="K181" s="47"/>
    </row>
    <row r="182" spans="1:11" ht="18" customHeight="1">
      <c r="A182" s="66"/>
      <c r="B182" s="67"/>
      <c r="C182" s="81"/>
      <c r="D182" s="69"/>
      <c r="E182" s="69"/>
      <c r="F182" s="66"/>
      <c r="G182" s="110" t="b">
        <f t="shared" si="9"/>
        <v>0</v>
      </c>
      <c r="H182" s="110" t="b">
        <f t="shared" si="10"/>
        <v>0</v>
      </c>
      <c r="I182" s="59"/>
      <c r="J182" s="59"/>
      <c r="K182" s="47"/>
    </row>
    <row r="183" spans="1:11" ht="18" customHeight="1">
      <c r="B183" s="78"/>
      <c r="C183" s="79"/>
      <c r="K183" s="44"/>
    </row>
    <row r="184" spans="1:11" ht="18" customHeight="1">
      <c r="B184" s="78"/>
      <c r="C184" s="79"/>
      <c r="K184" s="44"/>
    </row>
    <row r="185" spans="1:11" ht="18" customHeight="1">
      <c r="B185" s="78"/>
      <c r="C185" s="79"/>
      <c r="K185" s="44"/>
    </row>
    <row r="186" spans="1:11" ht="18" customHeight="1">
      <c r="A186" s="62"/>
      <c r="B186" s="57"/>
      <c r="C186" s="58"/>
      <c r="D186" s="59"/>
      <c r="E186" s="59"/>
      <c r="F186" s="57"/>
      <c r="G186" s="110" t="b">
        <f t="shared" ref="G186:G228" si="11">IF(ISTEXT(C186),IF(ISTEXT(F186),CONCATENATE(C186,"-",F186)))</f>
        <v>0</v>
      </c>
      <c r="H186" s="110" t="b">
        <f t="shared" ref="H186:H228" si="12">IF(ISTEXT(B186),IF(ISTEXT(F186),CONCATENATE(B186,"-",F186)))</f>
        <v>0</v>
      </c>
      <c r="I186" s="60"/>
      <c r="J186" s="60"/>
      <c r="K186" s="8">
        <f>(I186*J186)/1000</f>
        <v>0</v>
      </c>
    </row>
    <row r="187" spans="1:11" ht="18" customHeight="1">
      <c r="A187" s="62"/>
      <c r="B187" s="57"/>
      <c r="C187" s="58"/>
      <c r="D187" s="59"/>
      <c r="E187" s="59"/>
      <c r="F187" s="57"/>
      <c r="G187" s="110" t="b">
        <f t="shared" si="11"/>
        <v>0</v>
      </c>
      <c r="H187" s="110" t="b">
        <f t="shared" si="12"/>
        <v>0</v>
      </c>
      <c r="I187" s="60"/>
      <c r="J187" s="60"/>
      <c r="K187" s="8">
        <f t="shared" ref="K187:K228" si="13">(I187*J187)/1000</f>
        <v>0</v>
      </c>
    </row>
    <row r="188" spans="1:11" ht="18" customHeight="1">
      <c r="A188" s="62"/>
      <c r="B188" s="57"/>
      <c r="C188" s="58"/>
      <c r="D188" s="59"/>
      <c r="E188" s="59"/>
      <c r="F188" s="57"/>
      <c r="G188" s="110" t="b">
        <f t="shared" si="11"/>
        <v>0</v>
      </c>
      <c r="H188" s="110" t="b">
        <f t="shared" si="12"/>
        <v>0</v>
      </c>
      <c r="I188" s="60"/>
      <c r="J188" s="60"/>
      <c r="K188" s="8">
        <f t="shared" si="13"/>
        <v>0</v>
      </c>
    </row>
    <row r="189" spans="1:11" ht="18" customHeight="1">
      <c r="A189" s="62"/>
      <c r="B189" s="57"/>
      <c r="C189" s="58"/>
      <c r="D189" s="59"/>
      <c r="E189" s="59"/>
      <c r="F189" s="57"/>
      <c r="G189" s="110" t="b">
        <f t="shared" si="11"/>
        <v>0</v>
      </c>
      <c r="H189" s="110" t="b">
        <f t="shared" si="12"/>
        <v>0</v>
      </c>
      <c r="I189" s="60"/>
      <c r="J189" s="60"/>
      <c r="K189" s="8">
        <f t="shared" si="13"/>
        <v>0</v>
      </c>
    </row>
    <row r="190" spans="1:11" ht="18" customHeight="1">
      <c r="A190" s="62"/>
      <c r="B190" s="57"/>
      <c r="C190" s="58"/>
      <c r="D190" s="59"/>
      <c r="E190" s="59"/>
      <c r="F190" s="57"/>
      <c r="G190" s="110" t="b">
        <f t="shared" si="11"/>
        <v>0</v>
      </c>
      <c r="H190" s="110" t="b">
        <f t="shared" si="12"/>
        <v>0</v>
      </c>
      <c r="I190" s="60"/>
      <c r="J190" s="60"/>
      <c r="K190" s="8">
        <f t="shared" si="13"/>
        <v>0</v>
      </c>
    </row>
    <row r="191" spans="1:11" ht="18" customHeight="1">
      <c r="A191" s="62"/>
      <c r="B191" s="57"/>
      <c r="C191" s="58"/>
      <c r="D191" s="59"/>
      <c r="E191" s="59"/>
      <c r="F191" s="57"/>
      <c r="G191" s="110" t="b">
        <f t="shared" si="11"/>
        <v>0</v>
      </c>
      <c r="H191" s="110" t="b">
        <f t="shared" si="12"/>
        <v>0</v>
      </c>
      <c r="I191" s="60"/>
      <c r="J191" s="60"/>
      <c r="K191" s="8">
        <f t="shared" si="13"/>
        <v>0</v>
      </c>
    </row>
    <row r="192" spans="1:11" ht="18" customHeight="1">
      <c r="A192" s="62"/>
      <c r="B192" s="57"/>
      <c r="C192" s="58"/>
      <c r="D192" s="59"/>
      <c r="E192" s="59"/>
      <c r="F192" s="57"/>
      <c r="G192" s="110" t="b">
        <f t="shared" si="11"/>
        <v>0</v>
      </c>
      <c r="H192" s="110" t="b">
        <f t="shared" si="12"/>
        <v>0</v>
      </c>
      <c r="I192" s="60"/>
      <c r="J192" s="60"/>
      <c r="K192" s="8">
        <f t="shared" si="13"/>
        <v>0</v>
      </c>
    </row>
    <row r="193" spans="1:11" ht="18" customHeight="1">
      <c r="A193" s="62"/>
      <c r="B193" s="57"/>
      <c r="C193" s="58"/>
      <c r="D193" s="59"/>
      <c r="E193" s="59"/>
      <c r="F193" s="57"/>
      <c r="G193" s="110" t="b">
        <f t="shared" si="11"/>
        <v>0</v>
      </c>
      <c r="H193" s="110" t="b">
        <f t="shared" si="12"/>
        <v>0</v>
      </c>
      <c r="I193" s="60"/>
      <c r="J193" s="60"/>
      <c r="K193" s="8">
        <f t="shared" si="13"/>
        <v>0</v>
      </c>
    </row>
    <row r="194" spans="1:11" ht="18" customHeight="1">
      <c r="A194" s="62"/>
      <c r="B194" s="57"/>
      <c r="C194" s="58"/>
      <c r="D194" s="59"/>
      <c r="E194" s="59"/>
      <c r="F194" s="57"/>
      <c r="G194" s="110" t="b">
        <f t="shared" si="11"/>
        <v>0</v>
      </c>
      <c r="H194" s="110" t="b">
        <f t="shared" si="12"/>
        <v>0</v>
      </c>
      <c r="I194" s="60"/>
      <c r="J194" s="60"/>
      <c r="K194" s="8">
        <f t="shared" si="13"/>
        <v>0</v>
      </c>
    </row>
    <row r="195" spans="1:11" ht="18" customHeight="1">
      <c r="A195" s="62"/>
      <c r="B195" s="57"/>
      <c r="C195" s="58"/>
      <c r="D195" s="59"/>
      <c r="E195" s="59"/>
      <c r="F195" s="57"/>
      <c r="G195" s="110" t="b">
        <f t="shared" si="11"/>
        <v>0</v>
      </c>
      <c r="H195" s="110" t="b">
        <f t="shared" si="12"/>
        <v>0</v>
      </c>
      <c r="I195" s="60"/>
      <c r="J195" s="60"/>
      <c r="K195" s="8">
        <f t="shared" si="13"/>
        <v>0</v>
      </c>
    </row>
    <row r="196" spans="1:11" ht="18" customHeight="1">
      <c r="A196" s="62"/>
      <c r="B196" s="57"/>
      <c r="C196" s="58"/>
      <c r="D196" s="59"/>
      <c r="E196" s="59"/>
      <c r="F196" s="57"/>
      <c r="G196" s="110" t="b">
        <f t="shared" si="11"/>
        <v>0</v>
      </c>
      <c r="H196" s="110" t="b">
        <f t="shared" si="12"/>
        <v>0</v>
      </c>
      <c r="I196" s="60"/>
      <c r="J196" s="60"/>
      <c r="K196" s="8">
        <f t="shared" si="13"/>
        <v>0</v>
      </c>
    </row>
    <row r="197" spans="1:11" ht="18" customHeight="1">
      <c r="A197" s="62"/>
      <c r="B197" s="57"/>
      <c r="C197" s="58"/>
      <c r="D197" s="59"/>
      <c r="E197" s="59"/>
      <c r="F197" s="57"/>
      <c r="G197" s="110" t="b">
        <f t="shared" si="11"/>
        <v>0</v>
      </c>
      <c r="H197" s="110" t="b">
        <f t="shared" si="12"/>
        <v>0</v>
      </c>
      <c r="I197" s="60"/>
      <c r="J197" s="60"/>
      <c r="K197" s="8">
        <f t="shared" si="13"/>
        <v>0</v>
      </c>
    </row>
    <row r="198" spans="1:11" ht="18" customHeight="1">
      <c r="A198" s="56"/>
      <c r="B198" s="61"/>
      <c r="C198" s="62"/>
      <c r="D198" s="59"/>
      <c r="E198" s="59"/>
      <c r="F198" s="57"/>
      <c r="G198" s="110" t="b">
        <f t="shared" si="11"/>
        <v>0</v>
      </c>
      <c r="H198" s="110" t="b">
        <f t="shared" si="12"/>
        <v>0</v>
      </c>
      <c r="I198" s="60"/>
      <c r="J198" s="60"/>
      <c r="K198" s="8">
        <f t="shared" si="13"/>
        <v>0</v>
      </c>
    </row>
    <row r="199" spans="1:11" ht="18" customHeight="1">
      <c r="A199" s="56"/>
      <c r="B199" s="61"/>
      <c r="C199" s="62"/>
      <c r="D199" s="59"/>
      <c r="E199" s="59"/>
      <c r="F199" s="57"/>
      <c r="G199" s="110" t="b">
        <f t="shared" si="11"/>
        <v>0</v>
      </c>
      <c r="H199" s="110" t="b">
        <f t="shared" si="12"/>
        <v>0</v>
      </c>
      <c r="I199" s="60"/>
      <c r="J199" s="60"/>
      <c r="K199" s="8">
        <f t="shared" si="13"/>
        <v>0</v>
      </c>
    </row>
    <row r="200" spans="1:11" ht="18" customHeight="1">
      <c r="A200" s="56"/>
      <c r="B200" s="61"/>
      <c r="C200" s="62"/>
      <c r="D200" s="59"/>
      <c r="E200" s="59"/>
      <c r="F200" s="57"/>
      <c r="G200" s="110" t="b">
        <f t="shared" si="11"/>
        <v>0</v>
      </c>
      <c r="H200" s="110" t="b">
        <f t="shared" si="12"/>
        <v>0</v>
      </c>
      <c r="I200" s="60"/>
      <c r="J200" s="60"/>
      <c r="K200" s="8">
        <f t="shared" si="13"/>
        <v>0</v>
      </c>
    </row>
    <row r="201" spans="1:11" ht="18" customHeight="1">
      <c r="A201" s="56"/>
      <c r="B201" s="61"/>
      <c r="C201" s="62"/>
      <c r="D201" s="59"/>
      <c r="E201" s="59"/>
      <c r="F201" s="57"/>
      <c r="G201" s="110" t="b">
        <f t="shared" si="11"/>
        <v>0</v>
      </c>
      <c r="H201" s="110" t="b">
        <f t="shared" si="12"/>
        <v>0</v>
      </c>
      <c r="I201" s="60"/>
      <c r="J201" s="60"/>
      <c r="K201" s="8">
        <f t="shared" si="13"/>
        <v>0</v>
      </c>
    </row>
    <row r="202" spans="1:11" ht="18" customHeight="1">
      <c r="A202" s="56"/>
      <c r="B202" s="61"/>
      <c r="C202" s="62"/>
      <c r="D202" s="59"/>
      <c r="E202" s="59"/>
      <c r="F202" s="57"/>
      <c r="G202" s="110" t="b">
        <f t="shared" si="11"/>
        <v>0</v>
      </c>
      <c r="H202" s="110" t="b">
        <f t="shared" si="12"/>
        <v>0</v>
      </c>
      <c r="I202" s="60"/>
      <c r="J202" s="60"/>
      <c r="K202" s="8">
        <f t="shared" si="13"/>
        <v>0</v>
      </c>
    </row>
    <row r="203" spans="1:11" ht="18" customHeight="1">
      <c r="A203" s="63"/>
      <c r="B203" s="64"/>
      <c r="C203" s="62"/>
      <c r="D203" s="59"/>
      <c r="E203" s="69"/>
      <c r="F203" s="67"/>
      <c r="G203" s="110" t="b">
        <f t="shared" si="11"/>
        <v>0</v>
      </c>
      <c r="H203" s="110" t="b">
        <f t="shared" si="12"/>
        <v>0</v>
      </c>
      <c r="I203" s="60"/>
      <c r="J203" s="60"/>
      <c r="K203" s="8">
        <f t="shared" si="13"/>
        <v>0</v>
      </c>
    </row>
    <row r="204" spans="1:11" ht="18" customHeight="1">
      <c r="A204" s="63"/>
      <c r="B204" s="64"/>
      <c r="C204" s="62"/>
      <c r="D204" s="59"/>
      <c r="E204" s="69"/>
      <c r="F204" s="67"/>
      <c r="G204" s="110" t="b">
        <f t="shared" si="11"/>
        <v>0</v>
      </c>
      <c r="H204" s="110" t="b">
        <f t="shared" si="12"/>
        <v>0</v>
      </c>
      <c r="I204" s="60"/>
      <c r="J204" s="60"/>
      <c r="K204" s="8">
        <f t="shared" si="13"/>
        <v>0</v>
      </c>
    </row>
    <row r="205" spans="1:11" ht="18" customHeight="1">
      <c r="A205" s="56"/>
      <c r="B205" s="61"/>
      <c r="C205" s="62"/>
      <c r="D205" s="59"/>
      <c r="E205" s="59"/>
      <c r="F205" s="57"/>
      <c r="G205" s="110" t="b">
        <f t="shared" si="11"/>
        <v>0</v>
      </c>
      <c r="H205" s="110" t="b">
        <f t="shared" si="12"/>
        <v>0</v>
      </c>
      <c r="I205" s="60"/>
      <c r="J205" s="60"/>
      <c r="K205" s="8">
        <f t="shared" si="13"/>
        <v>0</v>
      </c>
    </row>
    <row r="206" spans="1:11" ht="18" customHeight="1">
      <c r="A206" s="63"/>
      <c r="B206" s="64"/>
      <c r="C206" s="62"/>
      <c r="D206" s="59"/>
      <c r="E206" s="69"/>
      <c r="F206" s="67"/>
      <c r="G206" s="110" t="b">
        <f t="shared" si="11"/>
        <v>0</v>
      </c>
      <c r="H206" s="110" t="b">
        <f t="shared" si="12"/>
        <v>0</v>
      </c>
      <c r="I206" s="60"/>
      <c r="J206" s="60"/>
      <c r="K206" s="8">
        <f t="shared" si="13"/>
        <v>0</v>
      </c>
    </row>
    <row r="207" spans="1:11" ht="18" customHeight="1">
      <c r="A207" s="63"/>
      <c r="B207" s="64"/>
      <c r="C207" s="62"/>
      <c r="D207" s="59"/>
      <c r="E207" s="69"/>
      <c r="F207" s="67"/>
      <c r="G207" s="110" t="b">
        <f t="shared" si="11"/>
        <v>0</v>
      </c>
      <c r="H207" s="110" t="b">
        <f t="shared" si="12"/>
        <v>0</v>
      </c>
      <c r="I207" s="60"/>
      <c r="J207" s="60"/>
      <c r="K207" s="8">
        <f t="shared" si="13"/>
        <v>0</v>
      </c>
    </row>
    <row r="208" spans="1:11" ht="18" customHeight="1">
      <c r="A208" s="63"/>
      <c r="B208" s="64"/>
      <c r="C208" s="62"/>
      <c r="D208" s="59"/>
      <c r="E208" s="69"/>
      <c r="F208" s="67"/>
      <c r="G208" s="110" t="b">
        <f t="shared" si="11"/>
        <v>0</v>
      </c>
      <c r="H208" s="110" t="b">
        <f t="shared" si="12"/>
        <v>0</v>
      </c>
      <c r="I208" s="60"/>
      <c r="J208" s="60"/>
      <c r="K208" s="8">
        <f t="shared" si="13"/>
        <v>0</v>
      </c>
    </row>
    <row r="209" spans="1:11" ht="18" customHeight="1">
      <c r="A209" s="63"/>
      <c r="B209" s="64"/>
      <c r="C209" s="62"/>
      <c r="D209" s="59"/>
      <c r="E209" s="69"/>
      <c r="F209" s="67"/>
      <c r="G209" s="110" t="b">
        <f t="shared" si="11"/>
        <v>0</v>
      </c>
      <c r="H209" s="110" t="b">
        <f t="shared" si="12"/>
        <v>0</v>
      </c>
      <c r="I209" s="60"/>
      <c r="J209" s="60"/>
      <c r="K209" s="8">
        <f t="shared" si="13"/>
        <v>0</v>
      </c>
    </row>
    <row r="210" spans="1:11" ht="18" customHeight="1">
      <c r="A210" s="63"/>
      <c r="B210" s="64"/>
      <c r="C210" s="65"/>
      <c r="D210" s="69"/>
      <c r="E210" s="69"/>
      <c r="F210" s="67"/>
      <c r="G210" s="110" t="b">
        <f t="shared" si="11"/>
        <v>0</v>
      </c>
      <c r="H210" s="110" t="b">
        <f t="shared" si="12"/>
        <v>0</v>
      </c>
      <c r="I210" s="60"/>
      <c r="J210" s="60"/>
      <c r="K210" s="8">
        <f t="shared" si="13"/>
        <v>0</v>
      </c>
    </row>
    <row r="211" spans="1:11" ht="18" customHeight="1">
      <c r="A211" s="63"/>
      <c r="B211" s="64"/>
      <c r="C211" s="65"/>
      <c r="D211" s="69"/>
      <c r="E211" s="69"/>
      <c r="F211" s="67"/>
      <c r="G211" s="110" t="b">
        <f t="shared" si="11"/>
        <v>0</v>
      </c>
      <c r="H211" s="110" t="b">
        <f t="shared" si="12"/>
        <v>0</v>
      </c>
      <c r="I211" s="60"/>
      <c r="J211" s="60"/>
      <c r="K211" s="8">
        <f t="shared" si="13"/>
        <v>0</v>
      </c>
    </row>
    <row r="212" spans="1:11" ht="18" customHeight="1">
      <c r="A212" s="63"/>
      <c r="B212" s="64"/>
      <c r="C212" s="65"/>
      <c r="D212" s="59"/>
      <c r="E212" s="69"/>
      <c r="F212" s="67"/>
      <c r="G212" s="110" t="b">
        <f t="shared" si="11"/>
        <v>0</v>
      </c>
      <c r="H212" s="110" t="b">
        <f t="shared" si="12"/>
        <v>0</v>
      </c>
      <c r="I212" s="60"/>
      <c r="J212" s="60"/>
      <c r="K212" s="8">
        <f t="shared" si="13"/>
        <v>0</v>
      </c>
    </row>
    <row r="213" spans="1:11" ht="18" customHeight="1">
      <c r="A213" s="63"/>
      <c r="B213" s="64"/>
      <c r="C213" s="65"/>
      <c r="D213" s="59"/>
      <c r="E213" s="69"/>
      <c r="F213" s="67"/>
      <c r="G213" s="110" t="b">
        <f t="shared" si="11"/>
        <v>0</v>
      </c>
      <c r="H213" s="110" t="b">
        <f t="shared" si="12"/>
        <v>0</v>
      </c>
      <c r="I213" s="60"/>
      <c r="J213" s="60"/>
      <c r="K213" s="8">
        <f t="shared" si="13"/>
        <v>0</v>
      </c>
    </row>
    <row r="214" spans="1:11" ht="18" customHeight="1">
      <c r="A214" s="63"/>
      <c r="B214" s="64"/>
      <c r="C214" s="65"/>
      <c r="D214" s="59"/>
      <c r="E214" s="69"/>
      <c r="F214" s="67"/>
      <c r="G214" s="110" t="b">
        <f t="shared" si="11"/>
        <v>0</v>
      </c>
      <c r="H214" s="110" t="b">
        <f t="shared" si="12"/>
        <v>0</v>
      </c>
      <c r="I214" s="60"/>
      <c r="J214" s="60"/>
      <c r="K214" s="8">
        <f t="shared" si="13"/>
        <v>0</v>
      </c>
    </row>
    <row r="215" spans="1:11" ht="18" customHeight="1">
      <c r="A215" s="56"/>
      <c r="B215" s="61"/>
      <c r="C215" s="65"/>
      <c r="D215" s="59"/>
      <c r="E215" s="69"/>
      <c r="F215" s="67"/>
      <c r="G215" s="110" t="b">
        <f t="shared" si="11"/>
        <v>0</v>
      </c>
      <c r="H215" s="110" t="b">
        <f t="shared" si="12"/>
        <v>0</v>
      </c>
      <c r="I215" s="60"/>
      <c r="J215" s="60"/>
      <c r="K215" s="8">
        <f t="shared" si="13"/>
        <v>0</v>
      </c>
    </row>
    <row r="216" spans="1:11" ht="18" customHeight="1">
      <c r="A216" s="56"/>
      <c r="B216" s="61"/>
      <c r="C216" s="62"/>
      <c r="D216" s="59"/>
      <c r="E216" s="69"/>
      <c r="F216" s="66"/>
      <c r="G216" s="110" t="b">
        <f t="shared" si="11"/>
        <v>0</v>
      </c>
      <c r="H216" s="110" t="b">
        <f t="shared" si="12"/>
        <v>0</v>
      </c>
      <c r="I216" s="60"/>
      <c r="J216" s="60"/>
      <c r="K216" s="8">
        <f t="shared" si="13"/>
        <v>0</v>
      </c>
    </row>
    <row r="217" spans="1:11" ht="18" customHeight="1">
      <c r="A217" s="56"/>
      <c r="B217" s="61"/>
      <c r="C217" s="62"/>
      <c r="D217" s="59"/>
      <c r="E217" s="69"/>
      <c r="F217" s="66"/>
      <c r="G217" s="110" t="b">
        <f t="shared" si="11"/>
        <v>0</v>
      </c>
      <c r="H217" s="110" t="b">
        <f t="shared" si="12"/>
        <v>0</v>
      </c>
      <c r="I217" s="60"/>
      <c r="J217" s="60"/>
      <c r="K217" s="8">
        <f t="shared" si="13"/>
        <v>0</v>
      </c>
    </row>
    <row r="218" spans="1:11" ht="18" customHeight="1">
      <c r="A218" s="56"/>
      <c r="B218" s="61"/>
      <c r="C218" s="62"/>
      <c r="D218" s="59"/>
      <c r="E218" s="69"/>
      <c r="F218" s="66"/>
      <c r="G218" s="110" t="b">
        <f t="shared" si="11"/>
        <v>0</v>
      </c>
      <c r="H218" s="110" t="b">
        <f t="shared" si="12"/>
        <v>0</v>
      </c>
      <c r="I218" s="60"/>
      <c r="J218" s="60"/>
      <c r="K218" s="8">
        <f t="shared" si="13"/>
        <v>0</v>
      </c>
    </row>
    <row r="219" spans="1:11" ht="18" customHeight="1">
      <c r="A219" s="56"/>
      <c r="B219" s="61"/>
      <c r="C219" s="62"/>
      <c r="D219" s="59"/>
      <c r="E219" s="69"/>
      <c r="F219" s="66"/>
      <c r="G219" s="110" t="b">
        <f t="shared" si="11"/>
        <v>0</v>
      </c>
      <c r="H219" s="110" t="b">
        <f t="shared" si="12"/>
        <v>0</v>
      </c>
      <c r="I219" s="60"/>
      <c r="J219" s="60"/>
      <c r="K219" s="8">
        <f t="shared" si="13"/>
        <v>0</v>
      </c>
    </row>
    <row r="220" spans="1:11" ht="18" customHeight="1">
      <c r="A220" s="56"/>
      <c r="B220" s="61"/>
      <c r="C220" s="62"/>
      <c r="D220" s="59"/>
      <c r="E220" s="69"/>
      <c r="F220" s="66"/>
      <c r="G220" s="110" t="b">
        <f t="shared" si="11"/>
        <v>0</v>
      </c>
      <c r="H220" s="110" t="b">
        <f t="shared" si="12"/>
        <v>0</v>
      </c>
      <c r="I220" s="60"/>
      <c r="J220" s="60"/>
      <c r="K220" s="8">
        <f t="shared" si="13"/>
        <v>0</v>
      </c>
    </row>
    <row r="221" spans="1:11" ht="18" customHeight="1">
      <c r="A221" s="56"/>
      <c r="B221" s="61"/>
      <c r="C221" s="62"/>
      <c r="D221" s="59"/>
      <c r="E221" s="69"/>
      <c r="F221" s="66"/>
      <c r="G221" s="110" t="b">
        <f t="shared" si="11"/>
        <v>0</v>
      </c>
      <c r="H221" s="110" t="b">
        <f t="shared" si="12"/>
        <v>0</v>
      </c>
      <c r="I221" s="60"/>
      <c r="J221" s="60"/>
      <c r="K221" s="8">
        <f t="shared" si="13"/>
        <v>0</v>
      </c>
    </row>
    <row r="222" spans="1:11" ht="18" customHeight="1">
      <c r="A222" s="56"/>
      <c r="B222" s="61"/>
      <c r="C222" s="62"/>
      <c r="D222" s="59"/>
      <c r="E222" s="69"/>
      <c r="F222" s="66"/>
      <c r="G222" s="110" t="b">
        <f t="shared" si="11"/>
        <v>0</v>
      </c>
      <c r="H222" s="110" t="b">
        <f t="shared" si="12"/>
        <v>0</v>
      </c>
      <c r="I222" s="60"/>
      <c r="J222" s="60"/>
      <c r="K222" s="8">
        <f t="shared" si="13"/>
        <v>0</v>
      </c>
    </row>
    <row r="223" spans="1:11" ht="18" customHeight="1">
      <c r="A223" s="63"/>
      <c r="B223" s="64"/>
      <c r="C223" s="65"/>
      <c r="D223" s="59"/>
      <c r="E223" s="69"/>
      <c r="F223" s="66"/>
      <c r="G223" s="110" t="b">
        <f t="shared" si="11"/>
        <v>0</v>
      </c>
      <c r="H223" s="110" t="b">
        <f t="shared" si="12"/>
        <v>0</v>
      </c>
      <c r="I223" s="60"/>
      <c r="J223" s="60"/>
      <c r="K223" s="8">
        <f t="shared" si="13"/>
        <v>0</v>
      </c>
    </row>
    <row r="224" spans="1:11" ht="18" customHeight="1">
      <c r="A224" s="63"/>
      <c r="B224" s="64"/>
      <c r="C224" s="65"/>
      <c r="D224" s="59"/>
      <c r="E224" s="69"/>
      <c r="F224" s="66"/>
      <c r="G224" s="110" t="b">
        <f t="shared" si="11"/>
        <v>0</v>
      </c>
      <c r="H224" s="110" t="b">
        <f t="shared" si="12"/>
        <v>0</v>
      </c>
      <c r="I224" s="60"/>
      <c r="J224" s="60"/>
      <c r="K224" s="8">
        <f t="shared" si="13"/>
        <v>0</v>
      </c>
    </row>
    <row r="225" spans="1:11" ht="18" customHeight="1">
      <c r="A225" s="63"/>
      <c r="B225" s="64"/>
      <c r="C225" s="65"/>
      <c r="D225" s="59"/>
      <c r="E225" s="69"/>
      <c r="F225" s="66"/>
      <c r="G225" s="110" t="b">
        <f t="shared" si="11"/>
        <v>0</v>
      </c>
      <c r="H225" s="110" t="b">
        <f t="shared" si="12"/>
        <v>0</v>
      </c>
      <c r="I225" s="60"/>
      <c r="J225" s="60"/>
      <c r="K225" s="8">
        <f t="shared" si="13"/>
        <v>0</v>
      </c>
    </row>
    <row r="226" spans="1:11" ht="18" customHeight="1">
      <c r="A226" s="63"/>
      <c r="B226" s="64"/>
      <c r="C226" s="65"/>
      <c r="D226" s="59"/>
      <c r="E226" s="69"/>
      <c r="F226" s="66"/>
      <c r="G226" s="110" t="b">
        <f t="shared" si="11"/>
        <v>0</v>
      </c>
      <c r="H226" s="110" t="b">
        <f t="shared" si="12"/>
        <v>0</v>
      </c>
      <c r="I226" s="60"/>
      <c r="J226" s="60"/>
      <c r="K226" s="8">
        <f t="shared" si="13"/>
        <v>0</v>
      </c>
    </row>
    <row r="227" spans="1:11" ht="18" customHeight="1">
      <c r="A227" s="63"/>
      <c r="B227" s="64"/>
      <c r="C227" s="65"/>
      <c r="D227" s="59"/>
      <c r="E227" s="69"/>
      <c r="F227" s="66"/>
      <c r="G227" s="110" t="b">
        <f t="shared" si="11"/>
        <v>0</v>
      </c>
      <c r="H227" s="110" t="b">
        <f t="shared" si="12"/>
        <v>0</v>
      </c>
      <c r="I227" s="60"/>
      <c r="J227" s="60"/>
      <c r="K227" s="8">
        <f t="shared" si="13"/>
        <v>0</v>
      </c>
    </row>
    <row r="228" spans="1:11" ht="18" customHeight="1">
      <c r="A228" s="63"/>
      <c r="B228" s="64"/>
      <c r="C228" s="65"/>
      <c r="D228" s="59"/>
      <c r="E228" s="69"/>
      <c r="F228" s="66"/>
      <c r="G228" s="110" t="b">
        <f t="shared" si="11"/>
        <v>0</v>
      </c>
      <c r="H228" s="110" t="b">
        <f t="shared" si="12"/>
        <v>0</v>
      </c>
      <c r="I228" s="60"/>
      <c r="J228" s="60"/>
      <c r="K228" s="8">
        <f t="shared" si="13"/>
        <v>0</v>
      </c>
    </row>
    <row r="229" spans="1:11" ht="18" customHeight="1">
      <c r="A229" s="333" t="s">
        <v>43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28">
        <f>SUM(K8:K228)</f>
        <v>2719.753999999999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29:J229"/>
    <mergeCell ref="A2:K2"/>
    <mergeCell ref="A3:K3"/>
    <mergeCell ref="A4:K4"/>
  </mergeCells>
  <conditionalFormatting sqref="K8:K45 K186:K228">
    <cfRule type="cellIs" dxfId="28" priority="16" operator="equal">
      <formula>0</formula>
    </cfRule>
  </conditionalFormatting>
  <conditionalFormatting sqref="K229">
    <cfRule type="cellIs" dxfId="27" priority="3" operator="equal">
      <formula>0</formula>
    </cfRule>
    <cfRule type="cellIs" dxfId="26" priority="4" operator="equal">
      <formula>0</formula>
    </cfRule>
    <cfRule type="cellIs" priority="5" operator="equal">
      <formula>0</formula>
    </cfRule>
  </conditionalFormatting>
  <conditionalFormatting sqref="K48:K90">
    <cfRule type="cellIs" dxfId="25" priority="2" operator="equal">
      <formula>0</formula>
    </cfRule>
  </conditionalFormatting>
  <conditionalFormatting sqref="K94:K136">
    <cfRule type="cellIs" dxfId="24" priority="1" operator="equal">
      <formula>0</formula>
    </cfRule>
  </conditionalFormatting>
  <dataValidations count="2">
    <dataValidation type="list" showInputMessage="1" showErrorMessage="1" errorTitle="DONNEES NON VALIDES" error="Veuillez choisir un element de la liste deroulante" sqref="F8:F45 F186:F228 F48:F90 F94:F136">
      <formula1>ListeDenrees</formula1>
    </dataValidation>
    <dataValidation type="list" allowBlank="1" showInputMessage="1" showErrorMessage="1" errorTitle="DONNEES NON VALIDES" error="Veuillez choisir un element de la liste deroulante" sqref="C8:C44 C186:C228 C94:C136 C140:C182 C48:C90">
      <formula1>MagasinPam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portrait" r:id="rId1"/>
  <headerFooter>
    <oddFooter>&amp;L&amp;"+,Normal"&amp;9&amp;D&amp;C&amp;"+,Normal"&amp;9Etat des enlèvements Koumassi ONUCI&amp;R&amp;"+,Normal"&amp;9&amp;P/&amp;N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229"/>
  <sheetViews>
    <sheetView workbookViewId="0">
      <selection activeCell="N225" sqref="N225"/>
    </sheetView>
  </sheetViews>
  <sheetFormatPr baseColWidth="10" defaultRowHeight="12.75"/>
  <cols>
    <col min="1" max="1" width="12.7109375" style="12" customWidth="1"/>
    <col min="2" max="3" width="14.7109375" style="12" customWidth="1"/>
    <col min="4" max="5" width="8.7109375" style="12" customWidth="1"/>
    <col min="6" max="6" width="9.7109375" style="12" customWidth="1"/>
    <col min="7" max="8" width="15.5703125" style="78" hidden="1" customWidth="1"/>
    <col min="9" max="10" width="8.7109375" style="12" customWidth="1"/>
    <col min="11" max="11" width="9.7109375" style="12" customWidth="1"/>
    <col min="12" max="16384" width="11.42578125" style="12"/>
  </cols>
  <sheetData>
    <row r="1" spans="1:15" ht="12" customHeight="1">
      <c r="A1" s="44"/>
      <c r="B1" s="44"/>
      <c r="C1" s="44"/>
      <c r="D1" s="44"/>
      <c r="E1" s="44"/>
      <c r="F1" s="44"/>
      <c r="G1" s="108"/>
      <c r="H1" s="108"/>
      <c r="I1" s="44"/>
      <c r="J1" s="44"/>
      <c r="K1" s="44"/>
    </row>
    <row r="2" spans="1:15" ht="24.95" customHeight="1">
      <c r="A2" s="334" t="s">
        <v>49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14"/>
      <c r="M2" s="34"/>
      <c r="N2" s="34"/>
      <c r="O2" s="34"/>
    </row>
    <row r="3" spans="1:15" ht="24.95" customHeight="1">
      <c r="A3" s="334" t="s">
        <v>80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14"/>
      <c r="M3" s="34"/>
      <c r="N3" s="34"/>
      <c r="O3" s="34"/>
    </row>
    <row r="4" spans="1:15" ht="22.5" customHeight="1">
      <c r="A4" s="334" t="s">
        <v>90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M4" s="15"/>
      <c r="N4" s="15"/>
      <c r="O4" s="15"/>
    </row>
    <row r="5" spans="1:15" ht="15" customHeight="1">
      <c r="A5" s="45"/>
      <c r="B5" s="45"/>
      <c r="C5" s="45"/>
      <c r="D5" s="44"/>
      <c r="E5" s="44"/>
      <c r="F5" s="44"/>
      <c r="G5" s="108"/>
      <c r="H5" s="108"/>
      <c r="I5" s="44"/>
      <c r="J5" s="44"/>
      <c r="K5" s="44"/>
    </row>
    <row r="6" spans="1:15" ht="9.9499999999999993" customHeight="1">
      <c r="A6" s="44"/>
      <c r="B6" s="44"/>
      <c r="C6" s="44"/>
      <c r="D6" s="44"/>
      <c r="E6" s="44"/>
      <c r="F6" s="44"/>
      <c r="G6" s="108"/>
      <c r="H6" s="108"/>
      <c r="I6" s="44"/>
      <c r="J6" s="44"/>
      <c r="K6" s="44"/>
    </row>
    <row r="7" spans="1:15" ht="30" customHeight="1">
      <c r="A7" s="46" t="s">
        <v>47</v>
      </c>
      <c r="B7" s="46" t="s">
        <v>51</v>
      </c>
      <c r="C7" s="46" t="s">
        <v>59</v>
      </c>
      <c r="D7" s="46" t="s">
        <v>55</v>
      </c>
      <c r="E7" s="46" t="s">
        <v>52</v>
      </c>
      <c r="F7" s="46" t="s">
        <v>61</v>
      </c>
      <c r="G7" s="46" t="s">
        <v>68</v>
      </c>
      <c r="H7" s="46" t="s">
        <v>87</v>
      </c>
      <c r="I7" s="46" t="s">
        <v>53</v>
      </c>
      <c r="J7" s="46" t="s">
        <v>62</v>
      </c>
      <c r="K7" s="46" t="s">
        <v>63</v>
      </c>
    </row>
    <row r="8" spans="1:15" ht="18" customHeight="1">
      <c r="A8" s="56">
        <v>42088</v>
      </c>
      <c r="B8" s="57" t="s">
        <v>88</v>
      </c>
      <c r="C8" s="58" t="s">
        <v>34</v>
      </c>
      <c r="D8" s="59">
        <v>2624</v>
      </c>
      <c r="E8" s="59">
        <v>35267</v>
      </c>
      <c r="F8" s="57" t="s">
        <v>17</v>
      </c>
      <c r="G8" s="110" t="str">
        <f>IF(ISTEXT(C8),IF(ISTEXT(F8),CONCATENATE(C8,"-",F8)))</f>
        <v>Guiglo-Riz</v>
      </c>
      <c r="H8" s="110" t="str">
        <f>IF(ISTEXT(B8),IF(ISTEXT(F8),CONCATENATE(B8,"-",F8)))</f>
        <v>Grain_Argent-Riz</v>
      </c>
      <c r="I8" s="60">
        <v>1233.3330000000001</v>
      </c>
      <c r="J8" s="60">
        <v>30</v>
      </c>
      <c r="K8" s="8">
        <f>(I8*J8)/1000</f>
        <v>36.999990000000004</v>
      </c>
    </row>
    <row r="9" spans="1:15" ht="18" customHeight="1">
      <c r="A9" s="56">
        <v>42088</v>
      </c>
      <c r="B9" s="57" t="s">
        <v>88</v>
      </c>
      <c r="C9" s="58" t="s">
        <v>34</v>
      </c>
      <c r="D9" s="59">
        <v>2653</v>
      </c>
      <c r="E9" s="59">
        <v>35267</v>
      </c>
      <c r="F9" s="57" t="s">
        <v>17</v>
      </c>
      <c r="G9" s="110" t="str">
        <f t="shared" ref="G9:G30" si="0">IF(ISTEXT(C9),IF(ISTEXT(F9),CONCATENATE(C9,"-",F9)))</f>
        <v>Guiglo-Riz</v>
      </c>
      <c r="H9" s="110" t="str">
        <f t="shared" ref="H9:H30" si="1">IF(ISTEXT(B9),IF(ISTEXT(F9),CONCATENATE(B9,"-",F9)))</f>
        <v>Grain_Argent-Riz</v>
      </c>
      <c r="I9" s="60">
        <v>1233.3330000000001</v>
      </c>
      <c r="J9" s="60">
        <v>30</v>
      </c>
      <c r="K9" s="8">
        <f t="shared" ref="K9:K44" si="2">(I9*J9)/1000</f>
        <v>36.999990000000004</v>
      </c>
    </row>
    <row r="10" spans="1:15" ht="18" customHeight="1">
      <c r="A10" s="56">
        <v>42093</v>
      </c>
      <c r="B10" s="57" t="s">
        <v>88</v>
      </c>
      <c r="C10" s="58" t="s">
        <v>33</v>
      </c>
      <c r="D10" s="59">
        <v>2659</v>
      </c>
      <c r="E10" s="59">
        <v>30279</v>
      </c>
      <c r="F10" s="57" t="s">
        <v>18</v>
      </c>
      <c r="G10" s="110" t="str">
        <f t="shared" si="0"/>
        <v>Bouna-Huile</v>
      </c>
      <c r="H10" s="110" t="str">
        <f t="shared" si="1"/>
        <v>Grain_Argent-Huile</v>
      </c>
      <c r="I10" s="60">
        <v>196.648</v>
      </c>
      <c r="J10" s="60">
        <v>18.2</v>
      </c>
      <c r="K10" s="8">
        <f t="shared" si="2"/>
        <v>3.5789936</v>
      </c>
    </row>
    <row r="11" spans="1:15" ht="18" customHeight="1">
      <c r="A11" s="56">
        <v>42093</v>
      </c>
      <c r="B11" s="57" t="s">
        <v>88</v>
      </c>
      <c r="C11" s="58" t="s">
        <v>33</v>
      </c>
      <c r="D11" s="59">
        <v>2659</v>
      </c>
      <c r="E11" s="59">
        <v>30725</v>
      </c>
      <c r="F11" s="57" t="s">
        <v>20</v>
      </c>
      <c r="G11" s="110" t="str">
        <f t="shared" si="0"/>
        <v>Bouna-Sel</v>
      </c>
      <c r="H11" s="110" t="str">
        <f t="shared" si="1"/>
        <v>Grain_Argent-Sel</v>
      </c>
      <c r="I11" s="60">
        <v>55.8</v>
      </c>
      <c r="J11" s="60">
        <v>25</v>
      </c>
      <c r="K11" s="8">
        <f t="shared" si="2"/>
        <v>1.395</v>
      </c>
    </row>
    <row r="12" spans="1:15" ht="18" customHeight="1">
      <c r="A12" s="56">
        <v>42093</v>
      </c>
      <c r="B12" s="57" t="s">
        <v>88</v>
      </c>
      <c r="C12" s="58" t="s">
        <v>31</v>
      </c>
      <c r="D12" s="59">
        <v>2660</v>
      </c>
      <c r="E12" s="59">
        <v>30729</v>
      </c>
      <c r="F12" s="57" t="s">
        <v>18</v>
      </c>
      <c r="G12" s="110" t="str">
        <f t="shared" si="0"/>
        <v>Bondoukou-Huile</v>
      </c>
      <c r="H12" s="110" t="str">
        <f t="shared" si="1"/>
        <v>Grain_Argent-Huile</v>
      </c>
      <c r="I12" s="60">
        <v>454.12</v>
      </c>
      <c r="J12" s="60">
        <v>18.2</v>
      </c>
      <c r="K12" s="8">
        <f t="shared" si="2"/>
        <v>8.2649840000000001</v>
      </c>
    </row>
    <row r="13" spans="1:15" ht="18" customHeight="1">
      <c r="A13" s="56">
        <v>42094</v>
      </c>
      <c r="B13" s="57" t="s">
        <v>88</v>
      </c>
      <c r="C13" s="58" t="s">
        <v>32</v>
      </c>
      <c r="D13" s="59">
        <v>2661</v>
      </c>
      <c r="E13" s="59">
        <v>30729</v>
      </c>
      <c r="F13" s="57" t="s">
        <v>18</v>
      </c>
      <c r="G13" s="110" t="str">
        <f t="shared" si="0"/>
        <v>Tanda-Huile</v>
      </c>
      <c r="H13" s="110" t="str">
        <f t="shared" si="1"/>
        <v>Grain_Argent-Huile</v>
      </c>
      <c r="I13" s="60">
        <v>732.14</v>
      </c>
      <c r="J13" s="60">
        <v>18.2</v>
      </c>
      <c r="K13" s="8">
        <f t="shared" si="2"/>
        <v>13.324947999999999</v>
      </c>
    </row>
    <row r="14" spans="1:15" ht="18" customHeight="1">
      <c r="A14" s="56">
        <v>42094</v>
      </c>
      <c r="B14" s="57" t="s">
        <v>88</v>
      </c>
      <c r="C14" s="58" t="s">
        <v>32</v>
      </c>
      <c r="D14" s="59">
        <v>2661</v>
      </c>
      <c r="E14" s="59">
        <v>30725</v>
      </c>
      <c r="F14" s="57" t="s">
        <v>20</v>
      </c>
      <c r="G14" s="110" t="str">
        <f t="shared" si="0"/>
        <v>Tanda-Sel</v>
      </c>
      <c r="H14" s="110" t="str">
        <f t="shared" si="1"/>
        <v>Grain_Argent-Sel</v>
      </c>
      <c r="I14" s="60">
        <v>207.68</v>
      </c>
      <c r="J14" s="60">
        <v>25</v>
      </c>
      <c r="K14" s="8">
        <f t="shared" si="2"/>
        <v>5.1920000000000002</v>
      </c>
    </row>
    <row r="15" spans="1:15" ht="18" customHeight="1">
      <c r="A15" s="56">
        <v>42095</v>
      </c>
      <c r="B15" s="57" t="s">
        <v>88</v>
      </c>
      <c r="C15" s="58" t="s">
        <v>39</v>
      </c>
      <c r="D15" s="59">
        <v>2663</v>
      </c>
      <c r="E15" s="59">
        <v>30279</v>
      </c>
      <c r="F15" s="57" t="s">
        <v>18</v>
      </c>
      <c r="G15" s="110" t="str">
        <f t="shared" si="0"/>
        <v>Mankono-Huile</v>
      </c>
      <c r="H15" s="110" t="str">
        <f t="shared" si="1"/>
        <v>Grain_Argent-Huile</v>
      </c>
      <c r="I15" s="60">
        <v>332.19</v>
      </c>
      <c r="J15" s="60">
        <v>18.2</v>
      </c>
      <c r="K15" s="8">
        <f t="shared" si="2"/>
        <v>6.045858</v>
      </c>
    </row>
    <row r="16" spans="1:15" ht="18" customHeight="1">
      <c r="A16" s="56">
        <v>42095</v>
      </c>
      <c r="B16" s="57" t="s">
        <v>88</v>
      </c>
      <c r="C16" s="58" t="s">
        <v>39</v>
      </c>
      <c r="D16" s="59">
        <v>2663</v>
      </c>
      <c r="E16" s="59">
        <v>30725</v>
      </c>
      <c r="F16" s="57" t="s">
        <v>20</v>
      </c>
      <c r="G16" s="110" t="str">
        <f t="shared" si="0"/>
        <v>Mankono-Sel</v>
      </c>
      <c r="H16" s="110" t="str">
        <f t="shared" si="1"/>
        <v>Grain_Argent-Sel</v>
      </c>
      <c r="I16" s="60">
        <v>94.24</v>
      </c>
      <c r="J16" s="60">
        <v>25</v>
      </c>
      <c r="K16" s="8">
        <f t="shared" si="2"/>
        <v>2.3559999999999999</v>
      </c>
    </row>
    <row r="17" spans="1:11" ht="18" customHeight="1">
      <c r="A17" s="56">
        <v>42095</v>
      </c>
      <c r="B17" s="57" t="s">
        <v>88</v>
      </c>
      <c r="C17" s="58" t="s">
        <v>40</v>
      </c>
      <c r="D17" s="59">
        <v>2665</v>
      </c>
      <c r="E17" s="59">
        <v>30725</v>
      </c>
      <c r="F17" s="57" t="s">
        <v>20</v>
      </c>
      <c r="G17" s="110" t="str">
        <f t="shared" si="0"/>
        <v>Seguela-Sel</v>
      </c>
      <c r="H17" s="110" t="str">
        <f t="shared" si="1"/>
        <v>Grain_Argent-Sel</v>
      </c>
      <c r="I17" s="60">
        <v>86.36</v>
      </c>
      <c r="J17" s="60">
        <v>25</v>
      </c>
      <c r="K17" s="8">
        <f t="shared" si="2"/>
        <v>2.1589999999999998</v>
      </c>
    </row>
    <row r="18" spans="1:11" ht="18" customHeight="1">
      <c r="A18" s="56">
        <v>42095</v>
      </c>
      <c r="B18" s="57" t="s">
        <v>88</v>
      </c>
      <c r="C18" s="58" t="s">
        <v>34</v>
      </c>
      <c r="D18" s="59">
        <v>2666</v>
      </c>
      <c r="E18" s="59">
        <v>30279</v>
      </c>
      <c r="F18" s="57" t="s">
        <v>18</v>
      </c>
      <c r="G18" s="110" t="str">
        <f t="shared" si="0"/>
        <v>Guiglo-Huile</v>
      </c>
      <c r="H18" s="110" t="str">
        <f t="shared" si="1"/>
        <v>Grain_Argent-Huile</v>
      </c>
      <c r="I18" s="60">
        <v>731.97799999999995</v>
      </c>
      <c r="J18" s="60">
        <v>18.2</v>
      </c>
      <c r="K18" s="8">
        <f t="shared" si="2"/>
        <v>13.3219996</v>
      </c>
    </row>
    <row r="19" spans="1:11" ht="18" customHeight="1">
      <c r="A19" s="56">
        <v>42095</v>
      </c>
      <c r="B19" s="57" t="s">
        <v>88</v>
      </c>
      <c r="C19" s="58" t="s">
        <v>34</v>
      </c>
      <c r="D19" s="59">
        <v>2666</v>
      </c>
      <c r="E19" s="59">
        <v>30725</v>
      </c>
      <c r="F19" s="57" t="s">
        <v>20</v>
      </c>
      <c r="G19" s="110" t="str">
        <f t="shared" si="0"/>
        <v>Guiglo-Sel</v>
      </c>
      <c r="H19" s="110" t="str">
        <f t="shared" si="1"/>
        <v>Grain_Argent-Sel</v>
      </c>
      <c r="I19" s="60">
        <v>121.08</v>
      </c>
      <c r="J19" s="60">
        <v>25</v>
      </c>
      <c r="K19" s="8">
        <f t="shared" si="2"/>
        <v>3.0270000000000001</v>
      </c>
    </row>
    <row r="20" spans="1:11" ht="18" customHeight="1">
      <c r="A20" s="56">
        <v>42095</v>
      </c>
      <c r="B20" s="57" t="s">
        <v>88</v>
      </c>
      <c r="C20" s="62" t="s">
        <v>34</v>
      </c>
      <c r="D20" s="59">
        <v>2667</v>
      </c>
      <c r="E20" s="59">
        <v>30279</v>
      </c>
      <c r="F20" s="57" t="s">
        <v>18</v>
      </c>
      <c r="G20" s="110" t="str">
        <f t="shared" si="0"/>
        <v>Guiglo-Huile</v>
      </c>
      <c r="H20" s="110" t="str">
        <f t="shared" si="1"/>
        <v>Grain_Argent-Huile</v>
      </c>
      <c r="I20" s="60">
        <v>731.97799999999995</v>
      </c>
      <c r="J20" s="60">
        <v>18.2</v>
      </c>
      <c r="K20" s="8">
        <f t="shared" si="2"/>
        <v>13.3219996</v>
      </c>
    </row>
    <row r="21" spans="1:11" ht="18" customHeight="1">
      <c r="A21" s="56">
        <v>42095</v>
      </c>
      <c r="B21" s="57" t="s">
        <v>88</v>
      </c>
      <c r="C21" s="58" t="s">
        <v>34</v>
      </c>
      <c r="D21" s="59">
        <v>2667</v>
      </c>
      <c r="E21" s="59">
        <v>30725</v>
      </c>
      <c r="F21" s="57" t="s">
        <v>20</v>
      </c>
      <c r="G21" s="110" t="str">
        <f t="shared" si="0"/>
        <v>Guiglo-Sel</v>
      </c>
      <c r="H21" s="110" t="str">
        <f t="shared" si="1"/>
        <v>Grain_Argent-Sel</v>
      </c>
      <c r="I21" s="60">
        <v>121.08</v>
      </c>
      <c r="J21" s="60">
        <v>25</v>
      </c>
      <c r="K21" s="8">
        <f t="shared" si="2"/>
        <v>3.0270000000000001</v>
      </c>
    </row>
    <row r="22" spans="1:11" ht="18" customHeight="1">
      <c r="A22" s="56">
        <v>42097</v>
      </c>
      <c r="B22" s="57" t="s">
        <v>88</v>
      </c>
      <c r="C22" s="62" t="s">
        <v>41</v>
      </c>
      <c r="D22" s="59">
        <v>2668</v>
      </c>
      <c r="E22" s="59">
        <v>30729</v>
      </c>
      <c r="F22" s="57" t="s">
        <v>18</v>
      </c>
      <c r="G22" s="110" t="str">
        <f t="shared" si="0"/>
        <v>Touba-Huile</v>
      </c>
      <c r="H22" s="110" t="str">
        <f t="shared" si="1"/>
        <v>Grain_Argent-Huile</v>
      </c>
      <c r="I22" s="60">
        <v>54.945</v>
      </c>
      <c r="J22" s="60">
        <v>18.2</v>
      </c>
      <c r="K22" s="8">
        <f t="shared" si="2"/>
        <v>0.99999899999999986</v>
      </c>
    </row>
    <row r="23" spans="1:11" ht="18" customHeight="1">
      <c r="A23" s="56">
        <v>42097</v>
      </c>
      <c r="B23" s="57" t="s">
        <v>88</v>
      </c>
      <c r="C23" s="62" t="s">
        <v>41</v>
      </c>
      <c r="D23" s="59">
        <v>2669</v>
      </c>
      <c r="E23" s="59">
        <v>30729</v>
      </c>
      <c r="F23" s="57" t="s">
        <v>18</v>
      </c>
      <c r="G23" s="110" t="str">
        <f t="shared" si="0"/>
        <v>Touba-Huile</v>
      </c>
      <c r="H23" s="110" t="str">
        <f t="shared" si="1"/>
        <v>Grain_Argent-Huile</v>
      </c>
      <c r="I23" s="60">
        <v>117.69199999999999</v>
      </c>
      <c r="J23" s="60">
        <v>18.2</v>
      </c>
      <c r="K23" s="8">
        <f t="shared" si="2"/>
        <v>2.1419943999999997</v>
      </c>
    </row>
    <row r="24" spans="1:11" ht="18" customHeight="1">
      <c r="A24" s="56">
        <v>42097</v>
      </c>
      <c r="B24" s="57" t="s">
        <v>88</v>
      </c>
      <c r="C24" s="62" t="s">
        <v>41</v>
      </c>
      <c r="D24" s="59">
        <v>2669</v>
      </c>
      <c r="E24" s="59">
        <v>30725</v>
      </c>
      <c r="F24" s="57" t="s">
        <v>20</v>
      </c>
      <c r="G24" s="110" t="str">
        <f t="shared" si="0"/>
        <v>Touba-Sel</v>
      </c>
      <c r="H24" s="110" t="str">
        <f t="shared" si="1"/>
        <v>Grain_Argent-Sel</v>
      </c>
      <c r="I24" s="60">
        <v>48.96</v>
      </c>
      <c r="J24" s="60">
        <v>25</v>
      </c>
      <c r="K24" s="8">
        <f t="shared" si="2"/>
        <v>1.224</v>
      </c>
    </row>
    <row r="25" spans="1:11" ht="18" customHeight="1">
      <c r="A25" s="56">
        <v>42102</v>
      </c>
      <c r="B25" s="61" t="s">
        <v>81</v>
      </c>
      <c r="C25" s="62" t="s">
        <v>38</v>
      </c>
      <c r="D25" s="59">
        <v>2670</v>
      </c>
      <c r="E25" s="59">
        <v>30279</v>
      </c>
      <c r="F25" s="57" t="s">
        <v>18</v>
      </c>
      <c r="G25" s="110" t="str">
        <f t="shared" si="0"/>
        <v>Korhogo-Huile</v>
      </c>
      <c r="H25" s="110" t="str">
        <f t="shared" si="1"/>
        <v>Mikili-Huile</v>
      </c>
      <c r="I25" s="60">
        <v>710.65899999999999</v>
      </c>
      <c r="J25" s="60">
        <v>18.2</v>
      </c>
      <c r="K25" s="8">
        <f t="shared" si="2"/>
        <v>12.9339938</v>
      </c>
    </row>
    <row r="26" spans="1:11" ht="18" customHeight="1">
      <c r="A26" s="56">
        <v>42102</v>
      </c>
      <c r="B26" s="61" t="s">
        <v>81</v>
      </c>
      <c r="C26" s="65" t="s">
        <v>38</v>
      </c>
      <c r="D26" s="59">
        <v>2670</v>
      </c>
      <c r="E26" s="59">
        <v>30725</v>
      </c>
      <c r="F26" s="67" t="s">
        <v>20</v>
      </c>
      <c r="G26" s="110" t="str">
        <f t="shared" si="0"/>
        <v>Korhogo-Sel</v>
      </c>
      <c r="H26" s="110" t="str">
        <f t="shared" si="1"/>
        <v>Mikili-Sel</v>
      </c>
      <c r="I26" s="68">
        <v>240.88</v>
      </c>
      <c r="J26" s="60">
        <v>25</v>
      </c>
      <c r="K26" s="8">
        <f t="shared" si="2"/>
        <v>6.0220000000000002</v>
      </c>
    </row>
    <row r="27" spans="1:11" ht="18" customHeight="1">
      <c r="A27" s="56">
        <v>42102</v>
      </c>
      <c r="B27" s="61" t="s">
        <v>81</v>
      </c>
      <c r="C27" s="65" t="s">
        <v>37</v>
      </c>
      <c r="D27" s="69">
        <v>2671</v>
      </c>
      <c r="E27" s="59">
        <v>30279</v>
      </c>
      <c r="F27" s="67" t="s">
        <v>18</v>
      </c>
      <c r="G27" s="110" t="str">
        <f t="shared" si="0"/>
        <v>Ferkessedougou-Huile</v>
      </c>
      <c r="H27" s="110" t="str">
        <f t="shared" si="1"/>
        <v>Mikili-Huile</v>
      </c>
      <c r="I27" s="68">
        <v>335.38400000000001</v>
      </c>
      <c r="J27" s="60">
        <v>18.2</v>
      </c>
      <c r="K27" s="8">
        <f t="shared" si="2"/>
        <v>6.1039887999999998</v>
      </c>
    </row>
    <row r="28" spans="1:11" ht="18" customHeight="1">
      <c r="A28" s="56">
        <v>42102</v>
      </c>
      <c r="B28" s="61" t="s">
        <v>81</v>
      </c>
      <c r="C28" s="62" t="s">
        <v>37</v>
      </c>
      <c r="D28" s="69">
        <v>2671</v>
      </c>
      <c r="E28" s="59">
        <v>30725</v>
      </c>
      <c r="F28" s="57" t="s">
        <v>20</v>
      </c>
      <c r="G28" s="110" t="str">
        <f t="shared" si="0"/>
        <v>Ferkessedougou-Sel</v>
      </c>
      <c r="H28" s="110" t="str">
        <f t="shared" si="1"/>
        <v>Mikili-Sel</v>
      </c>
      <c r="I28" s="60">
        <v>95.12</v>
      </c>
      <c r="J28" s="60">
        <v>25</v>
      </c>
      <c r="K28" s="8">
        <f t="shared" si="2"/>
        <v>2.3780000000000001</v>
      </c>
    </row>
    <row r="29" spans="1:11" ht="18" customHeight="1">
      <c r="A29" s="142">
        <v>42107</v>
      </c>
      <c r="B29" s="143" t="s">
        <v>88</v>
      </c>
      <c r="C29" s="144" t="s">
        <v>35</v>
      </c>
      <c r="D29" s="145">
        <v>2672</v>
      </c>
      <c r="E29" s="146"/>
      <c r="F29" s="147" t="s">
        <v>18</v>
      </c>
      <c r="G29" s="148" t="str">
        <f t="shared" si="0"/>
        <v>Boundiali-Huile</v>
      </c>
      <c r="H29" s="148" t="str">
        <f t="shared" si="1"/>
        <v>Grain_Argent-Huile</v>
      </c>
      <c r="I29" s="149">
        <v>304.45</v>
      </c>
      <c r="J29" s="150">
        <v>18.2</v>
      </c>
      <c r="K29" s="151">
        <f t="shared" si="2"/>
        <v>5.5409899999999999</v>
      </c>
    </row>
    <row r="30" spans="1:11" ht="18" customHeight="1">
      <c r="A30" s="142">
        <v>42107</v>
      </c>
      <c r="B30" s="143" t="s">
        <v>88</v>
      </c>
      <c r="C30" s="144" t="s">
        <v>35</v>
      </c>
      <c r="D30" s="145">
        <v>2672</v>
      </c>
      <c r="E30" s="146"/>
      <c r="F30" s="147" t="s">
        <v>20</v>
      </c>
      <c r="G30" s="148" t="str">
        <f t="shared" si="0"/>
        <v>Boundiali-Sel</v>
      </c>
      <c r="H30" s="148" t="str">
        <f t="shared" si="1"/>
        <v>Grain_Argent-Sel</v>
      </c>
      <c r="I30" s="149">
        <v>86.36</v>
      </c>
      <c r="J30" s="150">
        <v>25</v>
      </c>
      <c r="K30" s="151">
        <f t="shared" si="2"/>
        <v>2.1589999999999998</v>
      </c>
    </row>
    <row r="31" spans="1:11" ht="18" customHeight="1">
      <c r="A31" s="63">
        <v>42108</v>
      </c>
      <c r="B31" s="64" t="s">
        <v>88</v>
      </c>
      <c r="C31" s="65" t="s">
        <v>37</v>
      </c>
      <c r="D31" s="69">
        <v>2673</v>
      </c>
      <c r="E31" s="66"/>
      <c r="F31" s="67" t="s">
        <v>17</v>
      </c>
      <c r="G31" s="110" t="s">
        <v>113</v>
      </c>
      <c r="H31" s="110" t="s">
        <v>114</v>
      </c>
      <c r="I31" s="68">
        <v>210.5</v>
      </c>
      <c r="J31" s="60">
        <v>30</v>
      </c>
      <c r="K31" s="8">
        <f t="shared" si="2"/>
        <v>6.3150000000000004</v>
      </c>
    </row>
    <row r="32" spans="1:11" ht="18" customHeight="1">
      <c r="A32" s="63">
        <v>42108</v>
      </c>
      <c r="B32" s="64" t="s">
        <v>88</v>
      </c>
      <c r="C32" s="65" t="s">
        <v>38</v>
      </c>
      <c r="D32" s="69">
        <v>2674</v>
      </c>
      <c r="E32" s="66"/>
      <c r="F32" s="67" t="s">
        <v>18</v>
      </c>
      <c r="G32" s="110" t="s">
        <v>115</v>
      </c>
      <c r="H32" s="110" t="s">
        <v>116</v>
      </c>
      <c r="I32" s="68">
        <v>138.571</v>
      </c>
      <c r="J32" s="60">
        <v>18.2</v>
      </c>
      <c r="K32" s="8">
        <f t="shared" si="2"/>
        <v>2.5219921999999997</v>
      </c>
    </row>
    <row r="33" spans="1:11" ht="18" customHeight="1">
      <c r="A33" s="63">
        <v>42108</v>
      </c>
      <c r="B33" s="64" t="s">
        <v>88</v>
      </c>
      <c r="C33" s="65" t="s">
        <v>31</v>
      </c>
      <c r="D33" s="69">
        <v>2675</v>
      </c>
      <c r="E33" s="66"/>
      <c r="F33" s="67" t="s">
        <v>17</v>
      </c>
      <c r="G33" s="110" t="s">
        <v>117</v>
      </c>
      <c r="H33" s="110" t="s">
        <v>114</v>
      </c>
      <c r="I33" s="68">
        <v>33.832999999999998</v>
      </c>
      <c r="J33" s="60">
        <v>30</v>
      </c>
      <c r="K33" s="8">
        <f t="shared" si="2"/>
        <v>1.0149900000000001</v>
      </c>
    </row>
    <row r="34" spans="1:11" ht="18" customHeight="1">
      <c r="A34" s="63">
        <v>42108</v>
      </c>
      <c r="B34" s="64" t="s">
        <v>88</v>
      </c>
      <c r="C34" s="65" t="s">
        <v>31</v>
      </c>
      <c r="D34" s="59">
        <v>2675</v>
      </c>
      <c r="E34" s="66"/>
      <c r="F34" s="67" t="s">
        <v>69</v>
      </c>
      <c r="G34" s="110" t="s">
        <v>118</v>
      </c>
      <c r="H34" s="110" t="s">
        <v>119</v>
      </c>
      <c r="I34" s="68">
        <v>40</v>
      </c>
      <c r="J34" s="60">
        <v>50</v>
      </c>
      <c r="K34" s="8">
        <f t="shared" si="2"/>
        <v>2</v>
      </c>
    </row>
    <row r="35" spans="1:11" ht="18" customHeight="1">
      <c r="A35" s="63">
        <v>42108</v>
      </c>
      <c r="B35" s="64" t="s">
        <v>88</v>
      </c>
      <c r="C35" s="65" t="s">
        <v>31</v>
      </c>
      <c r="D35" s="59">
        <v>2675</v>
      </c>
      <c r="E35" s="66"/>
      <c r="F35" s="67" t="s">
        <v>20</v>
      </c>
      <c r="G35" s="110" t="s">
        <v>120</v>
      </c>
      <c r="H35" s="110" t="s">
        <v>121</v>
      </c>
      <c r="I35" s="68">
        <v>128.80000000000001</v>
      </c>
      <c r="J35" s="60">
        <v>25</v>
      </c>
      <c r="K35" s="8">
        <f t="shared" si="2"/>
        <v>3.2200000000000006</v>
      </c>
    </row>
    <row r="36" spans="1:11" ht="18" customHeight="1">
      <c r="A36" s="63">
        <v>42108</v>
      </c>
      <c r="B36" s="64" t="s">
        <v>88</v>
      </c>
      <c r="C36" s="65" t="s">
        <v>33</v>
      </c>
      <c r="D36" s="59">
        <v>2676</v>
      </c>
      <c r="E36" s="66"/>
      <c r="F36" s="67" t="s">
        <v>69</v>
      </c>
      <c r="G36" s="110" t="s">
        <v>122</v>
      </c>
      <c r="H36" s="110" t="s">
        <v>119</v>
      </c>
      <c r="I36" s="68">
        <v>251.02</v>
      </c>
      <c r="J36" s="60">
        <v>50</v>
      </c>
      <c r="K36" s="8">
        <f t="shared" si="2"/>
        <v>12.551</v>
      </c>
    </row>
    <row r="37" spans="1:11" ht="18" customHeight="1">
      <c r="A37" s="63">
        <v>42108</v>
      </c>
      <c r="B37" s="64" t="s">
        <v>88</v>
      </c>
      <c r="C37" s="65" t="s">
        <v>3</v>
      </c>
      <c r="D37" s="59">
        <v>2677</v>
      </c>
      <c r="E37" s="66"/>
      <c r="F37" s="67" t="s">
        <v>17</v>
      </c>
      <c r="G37" s="110" t="s">
        <v>123</v>
      </c>
      <c r="H37" s="110" t="s">
        <v>114</v>
      </c>
      <c r="I37" s="68">
        <v>63.2</v>
      </c>
      <c r="J37" s="60">
        <v>30</v>
      </c>
      <c r="K37" s="8">
        <f t="shared" si="2"/>
        <v>1.8959999999999999</v>
      </c>
    </row>
    <row r="38" spans="1:11" ht="18" customHeight="1">
      <c r="A38" s="56">
        <v>42108</v>
      </c>
      <c r="B38" s="61" t="s">
        <v>88</v>
      </c>
      <c r="C38" s="62" t="s">
        <v>3</v>
      </c>
      <c r="D38" s="59">
        <v>2677</v>
      </c>
      <c r="E38" s="66"/>
      <c r="F38" s="67" t="s">
        <v>18</v>
      </c>
      <c r="G38" s="110" t="s">
        <v>124</v>
      </c>
      <c r="H38" s="110" t="s">
        <v>116</v>
      </c>
      <c r="I38" s="68">
        <v>89.944999999999993</v>
      </c>
      <c r="J38" s="60">
        <v>18.2</v>
      </c>
      <c r="K38" s="8">
        <f t="shared" si="2"/>
        <v>1.6369989999999999</v>
      </c>
    </row>
    <row r="39" spans="1:11" ht="18" customHeight="1">
      <c r="A39" s="63">
        <v>42108</v>
      </c>
      <c r="B39" s="64" t="s">
        <v>88</v>
      </c>
      <c r="C39" s="65" t="s">
        <v>3</v>
      </c>
      <c r="D39" s="59">
        <v>2677</v>
      </c>
      <c r="E39" s="66"/>
      <c r="F39" s="67" t="s">
        <v>69</v>
      </c>
      <c r="G39" s="110" t="s">
        <v>125</v>
      </c>
      <c r="H39" s="110" t="s">
        <v>119</v>
      </c>
      <c r="I39" s="68">
        <v>114.82</v>
      </c>
      <c r="J39" s="60">
        <v>50</v>
      </c>
      <c r="K39" s="8">
        <f t="shared" si="2"/>
        <v>5.7409999999999997</v>
      </c>
    </row>
    <row r="40" spans="1:11" ht="18" customHeight="1">
      <c r="A40" s="63">
        <v>42108</v>
      </c>
      <c r="B40" s="64" t="s">
        <v>88</v>
      </c>
      <c r="C40" s="65" t="s">
        <v>3</v>
      </c>
      <c r="D40" s="59">
        <v>2677</v>
      </c>
      <c r="E40" s="66"/>
      <c r="F40" s="67" t="s">
        <v>20</v>
      </c>
      <c r="G40" s="110" t="s">
        <v>126</v>
      </c>
      <c r="H40" s="110" t="s">
        <v>121</v>
      </c>
      <c r="I40" s="68">
        <v>25.52</v>
      </c>
      <c r="J40" s="60">
        <v>25</v>
      </c>
      <c r="K40" s="8">
        <f t="shared" si="2"/>
        <v>0.63800000000000001</v>
      </c>
    </row>
    <row r="41" spans="1:11" ht="18" customHeight="1">
      <c r="A41" s="63">
        <v>42108</v>
      </c>
      <c r="B41" s="64" t="s">
        <v>88</v>
      </c>
      <c r="C41" s="65" t="s">
        <v>34</v>
      </c>
      <c r="D41" s="59">
        <v>2680</v>
      </c>
      <c r="E41" s="66"/>
      <c r="F41" s="67" t="s">
        <v>17</v>
      </c>
      <c r="G41" s="110" t="s">
        <v>127</v>
      </c>
      <c r="H41" s="110" t="s">
        <v>114</v>
      </c>
      <c r="I41" s="68">
        <v>540.5</v>
      </c>
      <c r="J41" s="60">
        <v>30</v>
      </c>
      <c r="K41" s="8">
        <f t="shared" si="2"/>
        <v>16.215</v>
      </c>
    </row>
    <row r="42" spans="1:11" ht="18" customHeight="1">
      <c r="A42" s="63">
        <v>42108</v>
      </c>
      <c r="B42" s="64" t="s">
        <v>88</v>
      </c>
      <c r="C42" s="65" t="s">
        <v>34</v>
      </c>
      <c r="D42" s="59">
        <v>2680</v>
      </c>
      <c r="E42" s="66"/>
      <c r="F42" s="67" t="s">
        <v>69</v>
      </c>
      <c r="G42" s="110" t="s">
        <v>128</v>
      </c>
      <c r="H42" s="110" t="s">
        <v>119</v>
      </c>
      <c r="I42" s="68">
        <v>255.78</v>
      </c>
      <c r="J42" s="60">
        <v>50</v>
      </c>
      <c r="K42" s="8">
        <f t="shared" si="2"/>
        <v>12.789</v>
      </c>
    </row>
    <row r="43" spans="1:11" ht="18" customHeight="1">
      <c r="A43" s="63">
        <v>42108</v>
      </c>
      <c r="B43" s="64" t="s">
        <v>88</v>
      </c>
      <c r="C43" s="65" t="s">
        <v>34</v>
      </c>
      <c r="D43" s="59">
        <v>2680</v>
      </c>
      <c r="E43" s="66"/>
      <c r="F43" s="67" t="s">
        <v>18</v>
      </c>
      <c r="G43" s="110" t="s">
        <v>129</v>
      </c>
      <c r="H43" s="110" t="s">
        <v>116</v>
      </c>
      <c r="I43" s="68">
        <v>92.471999999999994</v>
      </c>
      <c r="J43" s="60">
        <v>18.2</v>
      </c>
      <c r="K43" s="8">
        <f t="shared" si="2"/>
        <v>1.6829904</v>
      </c>
    </row>
    <row r="44" spans="1:11" ht="18" customHeight="1">
      <c r="A44" s="63">
        <v>42108</v>
      </c>
      <c r="B44" s="64" t="s">
        <v>88</v>
      </c>
      <c r="C44" s="65" t="s">
        <v>34</v>
      </c>
      <c r="D44" s="59">
        <v>2680</v>
      </c>
      <c r="E44" s="66"/>
      <c r="F44" s="67" t="s">
        <v>20</v>
      </c>
      <c r="G44" s="110" t="s">
        <v>130</v>
      </c>
      <c r="H44" s="110" t="s">
        <v>121</v>
      </c>
      <c r="I44" s="68">
        <v>199.28</v>
      </c>
      <c r="J44" s="60">
        <v>25</v>
      </c>
      <c r="K44" s="8">
        <f t="shared" si="2"/>
        <v>4.9820000000000002</v>
      </c>
    </row>
    <row r="45" spans="1:11" ht="18" customHeight="1">
      <c r="A45" s="70"/>
      <c r="B45" s="71"/>
      <c r="C45" s="72"/>
      <c r="D45" s="73"/>
      <c r="E45" s="74"/>
      <c r="F45" s="75"/>
      <c r="G45" s="109"/>
      <c r="H45" s="109"/>
      <c r="I45" s="76"/>
      <c r="J45" s="77"/>
      <c r="K45" s="37"/>
    </row>
    <row r="46" spans="1:11">
      <c r="B46" s="78"/>
      <c r="C46" s="79"/>
      <c r="K46" s="44"/>
    </row>
    <row r="47" spans="1:11" ht="18" customHeight="1">
      <c r="B47" s="78"/>
      <c r="C47" s="79"/>
      <c r="K47" s="44"/>
    </row>
    <row r="48" spans="1:11" ht="18" customHeight="1">
      <c r="A48" s="62">
        <v>42108</v>
      </c>
      <c r="B48" s="57" t="s">
        <v>88</v>
      </c>
      <c r="C48" s="58" t="s">
        <v>40</v>
      </c>
      <c r="D48" s="59">
        <v>2681</v>
      </c>
      <c r="E48" s="59"/>
      <c r="F48" s="57" t="s">
        <v>18</v>
      </c>
      <c r="G48" s="110" t="s">
        <v>131</v>
      </c>
      <c r="H48" s="110" t="s">
        <v>116</v>
      </c>
      <c r="I48" s="60">
        <v>304.56</v>
      </c>
      <c r="J48" s="60">
        <v>18.2</v>
      </c>
      <c r="K48" s="8">
        <f>(I48*J48)/1000</f>
        <v>5.5429919999999999</v>
      </c>
    </row>
    <row r="49" spans="1:11" ht="18" customHeight="1">
      <c r="A49" s="62"/>
      <c r="B49" s="57"/>
      <c r="C49" s="58"/>
      <c r="D49" s="59"/>
      <c r="E49" s="59"/>
      <c r="F49" s="57"/>
      <c r="G49" s="110" t="b">
        <f t="shared" ref="G49:G90" si="3">IF(ISTEXT(C49),IF(ISTEXT(F49),CONCATENATE(C49,"-",F49)))</f>
        <v>0</v>
      </c>
      <c r="H49" s="110" t="b">
        <f t="shared" ref="H49:H90" si="4">IF(ISTEXT(B49),IF(ISTEXT(F49),CONCATENATE(B49,"-",F49)))</f>
        <v>0</v>
      </c>
      <c r="I49" s="60"/>
      <c r="J49" s="60"/>
      <c r="K49" s="8">
        <f t="shared" ref="K49:K90" si="5">(I49*J49)/1000</f>
        <v>0</v>
      </c>
    </row>
    <row r="50" spans="1:11" ht="18" customHeight="1">
      <c r="A50" s="62"/>
      <c r="B50" s="57"/>
      <c r="C50" s="58"/>
      <c r="D50" s="59"/>
      <c r="E50" s="59"/>
      <c r="F50" s="57"/>
      <c r="G50" s="110" t="b">
        <f t="shared" si="3"/>
        <v>0</v>
      </c>
      <c r="H50" s="110" t="b">
        <f t="shared" si="4"/>
        <v>0</v>
      </c>
      <c r="I50" s="60"/>
      <c r="J50" s="60"/>
      <c r="K50" s="8">
        <f t="shared" si="5"/>
        <v>0</v>
      </c>
    </row>
    <row r="51" spans="1:11" ht="18" customHeight="1">
      <c r="A51" s="62"/>
      <c r="B51" s="57"/>
      <c r="C51" s="58"/>
      <c r="D51" s="59"/>
      <c r="E51" s="59"/>
      <c r="F51" s="57"/>
      <c r="G51" s="110" t="b">
        <f t="shared" si="3"/>
        <v>0</v>
      </c>
      <c r="H51" s="110" t="b">
        <f t="shared" si="4"/>
        <v>0</v>
      </c>
      <c r="I51" s="60"/>
      <c r="J51" s="60"/>
      <c r="K51" s="8">
        <f t="shared" si="5"/>
        <v>0</v>
      </c>
    </row>
    <row r="52" spans="1:11" ht="18" customHeight="1">
      <c r="A52" s="62"/>
      <c r="B52" s="57"/>
      <c r="C52" s="58"/>
      <c r="D52" s="59"/>
      <c r="E52" s="59"/>
      <c r="F52" s="57"/>
      <c r="G52" s="110" t="b">
        <f t="shared" si="3"/>
        <v>0</v>
      </c>
      <c r="H52" s="110" t="b">
        <f t="shared" si="4"/>
        <v>0</v>
      </c>
      <c r="I52" s="60"/>
      <c r="J52" s="60"/>
      <c r="K52" s="8">
        <f t="shared" si="5"/>
        <v>0</v>
      </c>
    </row>
    <row r="53" spans="1:11" ht="18" customHeight="1">
      <c r="A53" s="62"/>
      <c r="B53" s="57"/>
      <c r="C53" s="58"/>
      <c r="D53" s="59"/>
      <c r="E53" s="59"/>
      <c r="F53" s="57"/>
      <c r="G53" s="110" t="b">
        <f t="shared" si="3"/>
        <v>0</v>
      </c>
      <c r="H53" s="110" t="b">
        <f t="shared" si="4"/>
        <v>0</v>
      </c>
      <c r="I53" s="60"/>
      <c r="J53" s="60"/>
      <c r="K53" s="8">
        <f t="shared" si="5"/>
        <v>0</v>
      </c>
    </row>
    <row r="54" spans="1:11" ht="18" customHeight="1">
      <c r="A54" s="62"/>
      <c r="B54" s="57"/>
      <c r="C54" s="58"/>
      <c r="D54" s="59"/>
      <c r="E54" s="59"/>
      <c r="F54" s="57"/>
      <c r="G54" s="110" t="b">
        <f t="shared" si="3"/>
        <v>0</v>
      </c>
      <c r="H54" s="110" t="b">
        <f t="shared" si="4"/>
        <v>0</v>
      </c>
      <c r="I54" s="60"/>
      <c r="J54" s="60"/>
      <c r="K54" s="8">
        <f t="shared" si="5"/>
        <v>0</v>
      </c>
    </row>
    <row r="55" spans="1:11" ht="18" customHeight="1">
      <c r="A55" s="62"/>
      <c r="B55" s="57"/>
      <c r="C55" s="58"/>
      <c r="D55" s="59"/>
      <c r="E55" s="59"/>
      <c r="F55" s="57"/>
      <c r="G55" s="110" t="b">
        <f t="shared" si="3"/>
        <v>0</v>
      </c>
      <c r="H55" s="110" t="b">
        <f t="shared" si="4"/>
        <v>0</v>
      </c>
      <c r="I55" s="60"/>
      <c r="J55" s="60"/>
      <c r="K55" s="8">
        <f t="shared" si="5"/>
        <v>0</v>
      </c>
    </row>
    <row r="56" spans="1:11" ht="18" customHeight="1">
      <c r="A56" s="62"/>
      <c r="B56" s="57"/>
      <c r="C56" s="58"/>
      <c r="D56" s="59"/>
      <c r="E56" s="59"/>
      <c r="F56" s="57"/>
      <c r="G56" s="110" t="b">
        <f t="shared" si="3"/>
        <v>0</v>
      </c>
      <c r="H56" s="110" t="b">
        <f t="shared" si="4"/>
        <v>0</v>
      </c>
      <c r="I56" s="60"/>
      <c r="J56" s="60"/>
      <c r="K56" s="8">
        <f t="shared" si="5"/>
        <v>0</v>
      </c>
    </row>
    <row r="57" spans="1:11" ht="18" customHeight="1">
      <c r="A57" s="62"/>
      <c r="B57" s="57"/>
      <c r="C57" s="58"/>
      <c r="D57" s="59"/>
      <c r="E57" s="59"/>
      <c r="F57" s="57"/>
      <c r="G57" s="110" t="b">
        <f t="shared" si="3"/>
        <v>0</v>
      </c>
      <c r="H57" s="110" t="b">
        <f t="shared" si="4"/>
        <v>0</v>
      </c>
      <c r="I57" s="60"/>
      <c r="J57" s="60"/>
      <c r="K57" s="8">
        <f t="shared" si="5"/>
        <v>0</v>
      </c>
    </row>
    <row r="58" spans="1:11" ht="18" customHeight="1">
      <c r="A58" s="62"/>
      <c r="B58" s="57"/>
      <c r="C58" s="58"/>
      <c r="D58" s="59"/>
      <c r="E58" s="59"/>
      <c r="F58" s="57"/>
      <c r="G58" s="110" t="b">
        <f t="shared" si="3"/>
        <v>0</v>
      </c>
      <c r="H58" s="110" t="b">
        <f t="shared" si="4"/>
        <v>0</v>
      </c>
      <c r="I58" s="60"/>
      <c r="J58" s="60"/>
      <c r="K58" s="8">
        <f t="shared" si="5"/>
        <v>0</v>
      </c>
    </row>
    <row r="59" spans="1:11" ht="18" customHeight="1">
      <c r="A59" s="62"/>
      <c r="B59" s="57"/>
      <c r="C59" s="58"/>
      <c r="D59" s="59"/>
      <c r="E59" s="59"/>
      <c r="F59" s="57"/>
      <c r="G59" s="110" t="b">
        <f t="shared" si="3"/>
        <v>0</v>
      </c>
      <c r="H59" s="110" t="b">
        <f t="shared" si="4"/>
        <v>0</v>
      </c>
      <c r="I59" s="60"/>
      <c r="J59" s="60"/>
      <c r="K59" s="8">
        <f t="shared" si="5"/>
        <v>0</v>
      </c>
    </row>
    <row r="60" spans="1:11" ht="18" customHeight="1">
      <c r="A60" s="56"/>
      <c r="B60" s="61"/>
      <c r="C60" s="62"/>
      <c r="D60" s="59"/>
      <c r="E60" s="59"/>
      <c r="F60" s="57"/>
      <c r="G60" s="110" t="b">
        <f t="shared" si="3"/>
        <v>0</v>
      </c>
      <c r="H60" s="110" t="b">
        <f t="shared" si="4"/>
        <v>0</v>
      </c>
      <c r="I60" s="60"/>
      <c r="J60" s="60"/>
      <c r="K60" s="8">
        <f t="shared" si="5"/>
        <v>0</v>
      </c>
    </row>
    <row r="61" spans="1:11" ht="18" customHeight="1">
      <c r="A61" s="56"/>
      <c r="B61" s="61"/>
      <c r="C61" s="62"/>
      <c r="D61" s="59"/>
      <c r="E61" s="59"/>
      <c r="F61" s="57"/>
      <c r="G61" s="110" t="b">
        <f t="shared" si="3"/>
        <v>0</v>
      </c>
      <c r="H61" s="110" t="b">
        <f t="shared" si="4"/>
        <v>0</v>
      </c>
      <c r="I61" s="60"/>
      <c r="J61" s="60"/>
      <c r="K61" s="8">
        <f t="shared" si="5"/>
        <v>0</v>
      </c>
    </row>
    <row r="62" spans="1:11" ht="18" customHeight="1">
      <c r="A62" s="56"/>
      <c r="B62" s="61"/>
      <c r="C62" s="62"/>
      <c r="D62" s="59"/>
      <c r="E62" s="59"/>
      <c r="F62" s="57"/>
      <c r="G62" s="110" t="b">
        <f t="shared" si="3"/>
        <v>0</v>
      </c>
      <c r="H62" s="110" t="b">
        <f t="shared" si="4"/>
        <v>0</v>
      </c>
      <c r="I62" s="60"/>
      <c r="J62" s="60"/>
      <c r="K62" s="8">
        <f t="shared" si="5"/>
        <v>0</v>
      </c>
    </row>
    <row r="63" spans="1:11" ht="18" customHeight="1">
      <c r="A63" s="56"/>
      <c r="B63" s="61"/>
      <c r="C63" s="62"/>
      <c r="D63" s="59"/>
      <c r="E63" s="59"/>
      <c r="F63" s="57"/>
      <c r="G63" s="110" t="b">
        <f t="shared" si="3"/>
        <v>0</v>
      </c>
      <c r="H63" s="110" t="b">
        <f t="shared" si="4"/>
        <v>0</v>
      </c>
      <c r="I63" s="60"/>
      <c r="J63" s="60"/>
      <c r="K63" s="8">
        <f t="shared" si="5"/>
        <v>0</v>
      </c>
    </row>
    <row r="64" spans="1:11" ht="18" customHeight="1">
      <c r="A64" s="56"/>
      <c r="B64" s="61"/>
      <c r="C64" s="62"/>
      <c r="D64" s="59"/>
      <c r="E64" s="59"/>
      <c r="F64" s="57"/>
      <c r="G64" s="110" t="b">
        <f t="shared" si="3"/>
        <v>0</v>
      </c>
      <c r="H64" s="110" t="b">
        <f t="shared" si="4"/>
        <v>0</v>
      </c>
      <c r="I64" s="60"/>
      <c r="J64" s="60"/>
      <c r="K64" s="8">
        <f t="shared" si="5"/>
        <v>0</v>
      </c>
    </row>
    <row r="65" spans="1:11" ht="18" customHeight="1">
      <c r="A65" s="63"/>
      <c r="B65" s="64"/>
      <c r="C65" s="62"/>
      <c r="D65" s="59"/>
      <c r="E65" s="66"/>
      <c r="F65" s="67"/>
      <c r="G65" s="110" t="b">
        <f t="shared" si="3"/>
        <v>0</v>
      </c>
      <c r="H65" s="110" t="b">
        <f t="shared" si="4"/>
        <v>0</v>
      </c>
      <c r="I65" s="68"/>
      <c r="J65" s="68"/>
      <c r="K65" s="8">
        <f t="shared" si="5"/>
        <v>0</v>
      </c>
    </row>
    <row r="66" spans="1:11" ht="18" customHeight="1">
      <c r="A66" s="63"/>
      <c r="B66" s="64"/>
      <c r="C66" s="62"/>
      <c r="D66" s="59"/>
      <c r="E66" s="66"/>
      <c r="F66" s="67"/>
      <c r="G66" s="110" t="b">
        <f t="shared" si="3"/>
        <v>0</v>
      </c>
      <c r="H66" s="110" t="b">
        <f t="shared" si="4"/>
        <v>0</v>
      </c>
      <c r="I66" s="68"/>
      <c r="J66" s="68"/>
      <c r="K66" s="8">
        <f t="shared" si="5"/>
        <v>0</v>
      </c>
    </row>
    <row r="67" spans="1:11" ht="18" customHeight="1">
      <c r="A67" s="56"/>
      <c r="B67" s="61"/>
      <c r="C67" s="62"/>
      <c r="D67" s="59"/>
      <c r="E67" s="59"/>
      <c r="F67" s="57"/>
      <c r="G67" s="110" t="b">
        <f t="shared" si="3"/>
        <v>0</v>
      </c>
      <c r="H67" s="110" t="b">
        <f t="shared" si="4"/>
        <v>0</v>
      </c>
      <c r="I67" s="60"/>
      <c r="J67" s="60"/>
      <c r="K67" s="8">
        <f t="shared" si="5"/>
        <v>0</v>
      </c>
    </row>
    <row r="68" spans="1:11" ht="18" customHeight="1">
      <c r="A68" s="63"/>
      <c r="B68" s="64"/>
      <c r="C68" s="62"/>
      <c r="D68" s="59"/>
      <c r="E68" s="66"/>
      <c r="F68" s="67"/>
      <c r="G68" s="110" t="b">
        <f t="shared" si="3"/>
        <v>0</v>
      </c>
      <c r="H68" s="110" t="b">
        <f t="shared" si="4"/>
        <v>0</v>
      </c>
      <c r="I68" s="68"/>
      <c r="J68" s="68"/>
      <c r="K68" s="8">
        <f t="shared" si="5"/>
        <v>0</v>
      </c>
    </row>
    <row r="69" spans="1:11" ht="18" customHeight="1">
      <c r="A69" s="63"/>
      <c r="B69" s="64"/>
      <c r="C69" s="62"/>
      <c r="D69" s="59"/>
      <c r="E69" s="66"/>
      <c r="F69" s="67"/>
      <c r="G69" s="110" t="b">
        <f t="shared" si="3"/>
        <v>0</v>
      </c>
      <c r="H69" s="110" t="b">
        <f t="shared" si="4"/>
        <v>0</v>
      </c>
      <c r="I69" s="68"/>
      <c r="J69" s="68"/>
      <c r="K69" s="8">
        <f t="shared" si="5"/>
        <v>0</v>
      </c>
    </row>
    <row r="70" spans="1:11" ht="18" customHeight="1">
      <c r="A70" s="63"/>
      <c r="B70" s="64"/>
      <c r="C70" s="62"/>
      <c r="D70" s="59"/>
      <c r="E70" s="66"/>
      <c r="F70" s="67"/>
      <c r="G70" s="110" t="b">
        <f t="shared" si="3"/>
        <v>0</v>
      </c>
      <c r="H70" s="110" t="b">
        <f t="shared" si="4"/>
        <v>0</v>
      </c>
      <c r="I70" s="68"/>
      <c r="J70" s="68"/>
      <c r="K70" s="8">
        <f t="shared" si="5"/>
        <v>0</v>
      </c>
    </row>
    <row r="71" spans="1:11" ht="18" customHeight="1">
      <c r="A71" s="63"/>
      <c r="B71" s="64"/>
      <c r="C71" s="62"/>
      <c r="D71" s="59"/>
      <c r="E71" s="66"/>
      <c r="F71" s="67"/>
      <c r="G71" s="110" t="b">
        <f t="shared" si="3"/>
        <v>0</v>
      </c>
      <c r="H71" s="110" t="b">
        <f t="shared" si="4"/>
        <v>0</v>
      </c>
      <c r="I71" s="68"/>
      <c r="J71" s="68"/>
      <c r="K71" s="8">
        <f t="shared" si="5"/>
        <v>0</v>
      </c>
    </row>
    <row r="72" spans="1:11" ht="18" customHeight="1">
      <c r="A72" s="63"/>
      <c r="B72" s="64"/>
      <c r="C72" s="65"/>
      <c r="D72" s="69"/>
      <c r="E72" s="66"/>
      <c r="F72" s="67"/>
      <c r="G72" s="110" t="b">
        <f t="shared" si="3"/>
        <v>0</v>
      </c>
      <c r="H72" s="110" t="b">
        <f t="shared" si="4"/>
        <v>0</v>
      </c>
      <c r="I72" s="68"/>
      <c r="J72" s="68"/>
      <c r="K72" s="8">
        <f t="shared" si="5"/>
        <v>0</v>
      </c>
    </row>
    <row r="73" spans="1:11" ht="18" customHeight="1">
      <c r="A73" s="63"/>
      <c r="B73" s="64"/>
      <c r="C73" s="65"/>
      <c r="D73" s="69"/>
      <c r="E73" s="66"/>
      <c r="F73" s="67"/>
      <c r="G73" s="110" t="b">
        <f t="shared" si="3"/>
        <v>0</v>
      </c>
      <c r="H73" s="110" t="b">
        <f t="shared" si="4"/>
        <v>0</v>
      </c>
      <c r="I73" s="68"/>
      <c r="J73" s="68"/>
      <c r="K73" s="8">
        <f t="shared" si="5"/>
        <v>0</v>
      </c>
    </row>
    <row r="74" spans="1:11" ht="18" customHeight="1">
      <c r="A74" s="63"/>
      <c r="B74" s="64"/>
      <c r="C74" s="65"/>
      <c r="D74" s="59"/>
      <c r="E74" s="66"/>
      <c r="F74" s="67"/>
      <c r="G74" s="110" t="b">
        <f t="shared" si="3"/>
        <v>0</v>
      </c>
      <c r="H74" s="110" t="b">
        <f t="shared" si="4"/>
        <v>0</v>
      </c>
      <c r="I74" s="68"/>
      <c r="J74" s="68"/>
      <c r="K74" s="8">
        <f t="shared" si="5"/>
        <v>0</v>
      </c>
    </row>
    <row r="75" spans="1:11" ht="18" customHeight="1">
      <c r="A75" s="63"/>
      <c r="B75" s="64"/>
      <c r="C75" s="65"/>
      <c r="D75" s="59"/>
      <c r="E75" s="66"/>
      <c r="F75" s="67"/>
      <c r="G75" s="110" t="b">
        <f t="shared" si="3"/>
        <v>0</v>
      </c>
      <c r="H75" s="110" t="b">
        <f t="shared" si="4"/>
        <v>0</v>
      </c>
      <c r="I75" s="68"/>
      <c r="J75" s="68"/>
      <c r="K75" s="8">
        <f t="shared" si="5"/>
        <v>0</v>
      </c>
    </row>
    <row r="76" spans="1:11" ht="18" customHeight="1">
      <c r="A76" s="63"/>
      <c r="B76" s="64"/>
      <c r="C76" s="65"/>
      <c r="D76" s="59"/>
      <c r="E76" s="66"/>
      <c r="F76" s="67"/>
      <c r="G76" s="110" t="b">
        <f t="shared" si="3"/>
        <v>0</v>
      </c>
      <c r="H76" s="110" t="b">
        <f t="shared" si="4"/>
        <v>0</v>
      </c>
      <c r="I76" s="68"/>
      <c r="J76" s="68"/>
      <c r="K76" s="8">
        <f t="shared" si="5"/>
        <v>0</v>
      </c>
    </row>
    <row r="77" spans="1:11" ht="18" customHeight="1">
      <c r="A77" s="56"/>
      <c r="B77" s="61"/>
      <c r="C77" s="65"/>
      <c r="D77" s="59"/>
      <c r="E77" s="66"/>
      <c r="F77" s="67"/>
      <c r="G77" s="110" t="b">
        <f t="shared" si="3"/>
        <v>0</v>
      </c>
      <c r="H77" s="110" t="b">
        <f t="shared" si="4"/>
        <v>0</v>
      </c>
      <c r="I77" s="68"/>
      <c r="J77" s="68"/>
      <c r="K77" s="8">
        <f t="shared" si="5"/>
        <v>0</v>
      </c>
    </row>
    <row r="78" spans="1:11" ht="18" customHeight="1">
      <c r="A78" s="56"/>
      <c r="B78" s="61"/>
      <c r="C78" s="62"/>
      <c r="D78" s="59"/>
      <c r="E78" s="66"/>
      <c r="F78" s="66"/>
      <c r="G78" s="110" t="b">
        <f t="shared" si="3"/>
        <v>0</v>
      </c>
      <c r="H78" s="110" t="b">
        <f t="shared" si="4"/>
        <v>0</v>
      </c>
      <c r="I78" s="68"/>
      <c r="J78" s="68"/>
      <c r="K78" s="8">
        <f t="shared" si="5"/>
        <v>0</v>
      </c>
    </row>
    <row r="79" spans="1:11" ht="18" customHeight="1">
      <c r="A79" s="56"/>
      <c r="B79" s="61"/>
      <c r="C79" s="62"/>
      <c r="D79" s="59"/>
      <c r="E79" s="66"/>
      <c r="F79" s="66"/>
      <c r="G79" s="110" t="b">
        <f t="shared" si="3"/>
        <v>0</v>
      </c>
      <c r="H79" s="110" t="b">
        <f t="shared" si="4"/>
        <v>0</v>
      </c>
      <c r="I79" s="68"/>
      <c r="J79" s="68"/>
      <c r="K79" s="8">
        <f t="shared" si="5"/>
        <v>0</v>
      </c>
    </row>
    <row r="80" spans="1:11" ht="18" customHeight="1">
      <c r="A80" s="56"/>
      <c r="B80" s="61"/>
      <c r="C80" s="62"/>
      <c r="D80" s="59"/>
      <c r="E80" s="66"/>
      <c r="F80" s="66"/>
      <c r="G80" s="110" t="b">
        <f t="shared" si="3"/>
        <v>0</v>
      </c>
      <c r="H80" s="110" t="b">
        <f t="shared" si="4"/>
        <v>0</v>
      </c>
      <c r="I80" s="68"/>
      <c r="J80" s="80"/>
      <c r="K80" s="8">
        <f t="shared" si="5"/>
        <v>0</v>
      </c>
    </row>
    <row r="81" spans="1:11" ht="18" customHeight="1">
      <c r="A81" s="56"/>
      <c r="B81" s="61"/>
      <c r="C81" s="62"/>
      <c r="D81" s="59"/>
      <c r="E81" s="66"/>
      <c r="F81" s="66"/>
      <c r="G81" s="110" t="b">
        <f t="shared" si="3"/>
        <v>0</v>
      </c>
      <c r="H81" s="110" t="b">
        <f t="shared" si="4"/>
        <v>0</v>
      </c>
      <c r="I81" s="68"/>
      <c r="J81" s="80"/>
      <c r="K81" s="8">
        <f t="shared" si="5"/>
        <v>0</v>
      </c>
    </row>
    <row r="82" spans="1:11" ht="18" customHeight="1">
      <c r="A82" s="56"/>
      <c r="B82" s="61"/>
      <c r="C82" s="62"/>
      <c r="D82" s="59"/>
      <c r="E82" s="66"/>
      <c r="F82" s="66"/>
      <c r="G82" s="110" t="b">
        <f t="shared" si="3"/>
        <v>0</v>
      </c>
      <c r="H82" s="110" t="b">
        <f t="shared" si="4"/>
        <v>0</v>
      </c>
      <c r="I82" s="68"/>
      <c r="J82" s="80"/>
      <c r="K82" s="8">
        <f t="shared" si="5"/>
        <v>0</v>
      </c>
    </row>
    <row r="83" spans="1:11" ht="18" customHeight="1">
      <c r="A83" s="56"/>
      <c r="B83" s="61"/>
      <c r="C83" s="62"/>
      <c r="D83" s="59"/>
      <c r="E83" s="66"/>
      <c r="F83" s="66"/>
      <c r="G83" s="110" t="b">
        <f t="shared" si="3"/>
        <v>0</v>
      </c>
      <c r="H83" s="110" t="b">
        <f t="shared" si="4"/>
        <v>0</v>
      </c>
      <c r="I83" s="68"/>
      <c r="J83" s="80"/>
      <c r="K83" s="8">
        <f t="shared" si="5"/>
        <v>0</v>
      </c>
    </row>
    <row r="84" spans="1:11" ht="18" customHeight="1">
      <c r="A84" s="56"/>
      <c r="B84" s="61"/>
      <c r="C84" s="62"/>
      <c r="D84" s="59"/>
      <c r="E84" s="66"/>
      <c r="F84" s="66"/>
      <c r="G84" s="110" t="b">
        <f t="shared" si="3"/>
        <v>0</v>
      </c>
      <c r="H84" s="110" t="b">
        <f t="shared" si="4"/>
        <v>0</v>
      </c>
      <c r="I84" s="68"/>
      <c r="J84" s="80"/>
      <c r="K84" s="8">
        <f t="shared" si="5"/>
        <v>0</v>
      </c>
    </row>
    <row r="85" spans="1:11" ht="18" customHeight="1">
      <c r="A85" s="63"/>
      <c r="B85" s="64"/>
      <c r="C85" s="65"/>
      <c r="D85" s="59"/>
      <c r="E85" s="66"/>
      <c r="F85" s="66"/>
      <c r="G85" s="110" t="b">
        <f t="shared" si="3"/>
        <v>0</v>
      </c>
      <c r="H85" s="110" t="b">
        <f t="shared" si="4"/>
        <v>0</v>
      </c>
      <c r="I85" s="68"/>
      <c r="J85" s="80"/>
      <c r="K85" s="8">
        <f t="shared" si="5"/>
        <v>0</v>
      </c>
    </row>
    <row r="86" spans="1:11" ht="18" customHeight="1">
      <c r="A86" s="63"/>
      <c r="B86" s="64"/>
      <c r="C86" s="65"/>
      <c r="D86" s="59"/>
      <c r="E86" s="66"/>
      <c r="F86" s="66"/>
      <c r="G86" s="110" t="b">
        <f t="shared" si="3"/>
        <v>0</v>
      </c>
      <c r="H86" s="110" t="b">
        <f t="shared" si="4"/>
        <v>0</v>
      </c>
      <c r="I86" s="68"/>
      <c r="J86" s="80"/>
      <c r="K86" s="8">
        <f t="shared" si="5"/>
        <v>0</v>
      </c>
    </row>
    <row r="87" spans="1:11" ht="18" customHeight="1">
      <c r="A87" s="63"/>
      <c r="B87" s="64"/>
      <c r="C87" s="65"/>
      <c r="D87" s="59"/>
      <c r="E87" s="66"/>
      <c r="F87" s="66"/>
      <c r="G87" s="110" t="b">
        <f t="shared" si="3"/>
        <v>0</v>
      </c>
      <c r="H87" s="110" t="b">
        <f t="shared" si="4"/>
        <v>0</v>
      </c>
      <c r="I87" s="68"/>
      <c r="J87" s="80"/>
      <c r="K87" s="8">
        <f t="shared" si="5"/>
        <v>0</v>
      </c>
    </row>
    <row r="88" spans="1:11" ht="18" customHeight="1">
      <c r="A88" s="63"/>
      <c r="B88" s="64"/>
      <c r="C88" s="65"/>
      <c r="D88" s="59"/>
      <c r="E88" s="66"/>
      <c r="F88" s="66"/>
      <c r="G88" s="110" t="b">
        <f t="shared" si="3"/>
        <v>0</v>
      </c>
      <c r="H88" s="110" t="b">
        <f t="shared" si="4"/>
        <v>0</v>
      </c>
      <c r="I88" s="68"/>
      <c r="J88" s="80"/>
      <c r="K88" s="8">
        <f t="shared" si="5"/>
        <v>0</v>
      </c>
    </row>
    <row r="89" spans="1:11" ht="18" customHeight="1">
      <c r="A89" s="63"/>
      <c r="B89" s="64"/>
      <c r="C89" s="65"/>
      <c r="D89" s="59"/>
      <c r="E89" s="66"/>
      <c r="F89" s="66"/>
      <c r="G89" s="110" t="b">
        <f t="shared" si="3"/>
        <v>0</v>
      </c>
      <c r="H89" s="110" t="b">
        <f t="shared" si="4"/>
        <v>0</v>
      </c>
      <c r="I89" s="68"/>
      <c r="J89" s="80"/>
      <c r="K89" s="8">
        <f t="shared" si="5"/>
        <v>0</v>
      </c>
    </row>
    <row r="90" spans="1:11" ht="18" customHeight="1">
      <c r="A90" s="63"/>
      <c r="B90" s="64"/>
      <c r="C90" s="65"/>
      <c r="D90" s="59"/>
      <c r="E90" s="66"/>
      <c r="F90" s="66"/>
      <c r="G90" s="110" t="b">
        <f t="shared" si="3"/>
        <v>0</v>
      </c>
      <c r="H90" s="110" t="b">
        <f t="shared" si="4"/>
        <v>0</v>
      </c>
      <c r="I90" s="68"/>
      <c r="J90" s="80"/>
      <c r="K90" s="8">
        <f t="shared" si="5"/>
        <v>0</v>
      </c>
    </row>
    <row r="91" spans="1:11" ht="18" customHeight="1">
      <c r="B91" s="78"/>
      <c r="C91" s="79"/>
      <c r="K91" s="44"/>
    </row>
    <row r="92" spans="1:11" ht="18" customHeight="1">
      <c r="B92" s="78"/>
      <c r="C92" s="79"/>
      <c r="K92" s="44"/>
    </row>
    <row r="93" spans="1:11" ht="18" customHeight="1">
      <c r="B93" s="78"/>
      <c r="C93" s="79"/>
      <c r="K93" s="44"/>
    </row>
    <row r="94" spans="1:11" ht="18" customHeight="1">
      <c r="A94" s="62"/>
      <c r="B94" s="57"/>
      <c r="C94" s="58"/>
      <c r="D94" s="59"/>
      <c r="E94" s="59"/>
      <c r="F94" s="57"/>
      <c r="G94" s="110" t="b">
        <f t="shared" ref="G94:G136" si="6">IF(ISTEXT(C94),IF(ISTEXT(F94),CONCATENATE(C94,"-",F94)))</f>
        <v>0</v>
      </c>
      <c r="H94" s="110" t="b">
        <f t="shared" ref="H94:H136" si="7">IF(ISTEXT(B94),IF(ISTEXT(F94),CONCATENATE(B94,"-",F94)))</f>
        <v>0</v>
      </c>
      <c r="I94" s="60"/>
      <c r="J94" s="60"/>
      <c r="K94" s="8">
        <f>(I94*J94)/1000</f>
        <v>0</v>
      </c>
    </row>
    <row r="95" spans="1:11" ht="18" customHeight="1">
      <c r="A95" s="62"/>
      <c r="B95" s="57"/>
      <c r="C95" s="58"/>
      <c r="D95" s="59"/>
      <c r="E95" s="59"/>
      <c r="F95" s="57"/>
      <c r="G95" s="110" t="b">
        <f t="shared" si="6"/>
        <v>0</v>
      </c>
      <c r="H95" s="110" t="b">
        <f t="shared" si="7"/>
        <v>0</v>
      </c>
      <c r="I95" s="60"/>
      <c r="J95" s="60"/>
      <c r="K95" s="8">
        <f t="shared" ref="K95:K136" si="8">(I95*J95)/1000</f>
        <v>0</v>
      </c>
    </row>
    <row r="96" spans="1:11" ht="18" customHeight="1">
      <c r="A96" s="62"/>
      <c r="B96" s="57"/>
      <c r="C96" s="58"/>
      <c r="D96" s="59"/>
      <c r="E96" s="59"/>
      <c r="F96" s="57"/>
      <c r="G96" s="110" t="b">
        <f t="shared" si="6"/>
        <v>0</v>
      </c>
      <c r="H96" s="110" t="b">
        <f t="shared" si="7"/>
        <v>0</v>
      </c>
      <c r="I96" s="60"/>
      <c r="J96" s="60"/>
      <c r="K96" s="8">
        <f t="shared" si="8"/>
        <v>0</v>
      </c>
    </row>
    <row r="97" spans="1:11" ht="18" customHeight="1">
      <c r="A97" s="62"/>
      <c r="B97" s="57"/>
      <c r="C97" s="58"/>
      <c r="D97" s="59"/>
      <c r="E97" s="59"/>
      <c r="F97" s="57"/>
      <c r="G97" s="110" t="b">
        <f t="shared" si="6"/>
        <v>0</v>
      </c>
      <c r="H97" s="110" t="b">
        <f t="shared" si="7"/>
        <v>0</v>
      </c>
      <c r="I97" s="60"/>
      <c r="J97" s="60"/>
      <c r="K97" s="8">
        <f t="shared" si="8"/>
        <v>0</v>
      </c>
    </row>
    <row r="98" spans="1:11" ht="18" customHeight="1">
      <c r="A98" s="62"/>
      <c r="B98" s="57"/>
      <c r="C98" s="58"/>
      <c r="D98" s="59"/>
      <c r="E98" s="59"/>
      <c r="F98" s="57"/>
      <c r="G98" s="110" t="b">
        <f t="shared" si="6"/>
        <v>0</v>
      </c>
      <c r="H98" s="110" t="b">
        <f t="shared" si="7"/>
        <v>0</v>
      </c>
      <c r="I98" s="60"/>
      <c r="J98" s="60"/>
      <c r="K98" s="8">
        <f t="shared" si="8"/>
        <v>0</v>
      </c>
    </row>
    <row r="99" spans="1:11" ht="18" customHeight="1">
      <c r="A99" s="62"/>
      <c r="B99" s="57"/>
      <c r="C99" s="58"/>
      <c r="D99" s="59"/>
      <c r="E99" s="59"/>
      <c r="F99" s="57"/>
      <c r="G99" s="110" t="b">
        <f t="shared" si="6"/>
        <v>0</v>
      </c>
      <c r="H99" s="110" t="b">
        <f t="shared" si="7"/>
        <v>0</v>
      </c>
      <c r="I99" s="60"/>
      <c r="J99" s="60"/>
      <c r="K99" s="8">
        <f t="shared" si="8"/>
        <v>0</v>
      </c>
    </row>
    <row r="100" spans="1:11" ht="18" customHeight="1">
      <c r="A100" s="62"/>
      <c r="B100" s="57"/>
      <c r="C100" s="58"/>
      <c r="D100" s="59"/>
      <c r="E100" s="59"/>
      <c r="F100" s="57"/>
      <c r="G100" s="110" t="b">
        <f t="shared" si="6"/>
        <v>0</v>
      </c>
      <c r="H100" s="110" t="b">
        <f t="shared" si="7"/>
        <v>0</v>
      </c>
      <c r="I100" s="60"/>
      <c r="J100" s="60"/>
      <c r="K100" s="8">
        <f t="shared" si="8"/>
        <v>0</v>
      </c>
    </row>
    <row r="101" spans="1:11" ht="18" customHeight="1">
      <c r="A101" s="62"/>
      <c r="B101" s="57"/>
      <c r="C101" s="58"/>
      <c r="D101" s="59"/>
      <c r="E101" s="59"/>
      <c r="F101" s="57"/>
      <c r="G101" s="110" t="b">
        <f t="shared" si="6"/>
        <v>0</v>
      </c>
      <c r="H101" s="110" t="b">
        <f t="shared" si="7"/>
        <v>0</v>
      </c>
      <c r="I101" s="60"/>
      <c r="J101" s="60"/>
      <c r="K101" s="8">
        <f t="shared" si="8"/>
        <v>0</v>
      </c>
    </row>
    <row r="102" spans="1:11" ht="18" customHeight="1">
      <c r="A102" s="62"/>
      <c r="B102" s="57"/>
      <c r="C102" s="58"/>
      <c r="D102" s="59"/>
      <c r="E102" s="59"/>
      <c r="F102" s="57"/>
      <c r="G102" s="110" t="b">
        <f t="shared" si="6"/>
        <v>0</v>
      </c>
      <c r="H102" s="110" t="b">
        <f t="shared" si="7"/>
        <v>0</v>
      </c>
      <c r="I102" s="60"/>
      <c r="J102" s="60"/>
      <c r="K102" s="8">
        <f t="shared" si="8"/>
        <v>0</v>
      </c>
    </row>
    <row r="103" spans="1:11" ht="18" customHeight="1">
      <c r="A103" s="62"/>
      <c r="B103" s="57"/>
      <c r="C103" s="58"/>
      <c r="D103" s="59"/>
      <c r="E103" s="59"/>
      <c r="F103" s="57"/>
      <c r="G103" s="110" t="b">
        <f t="shared" si="6"/>
        <v>0</v>
      </c>
      <c r="H103" s="110" t="b">
        <f t="shared" si="7"/>
        <v>0</v>
      </c>
      <c r="I103" s="60"/>
      <c r="J103" s="60"/>
      <c r="K103" s="8">
        <f t="shared" si="8"/>
        <v>0</v>
      </c>
    </row>
    <row r="104" spans="1:11" ht="18" customHeight="1">
      <c r="A104" s="62"/>
      <c r="B104" s="57"/>
      <c r="C104" s="58"/>
      <c r="D104" s="59"/>
      <c r="E104" s="59"/>
      <c r="F104" s="57"/>
      <c r="G104" s="110" t="b">
        <f t="shared" si="6"/>
        <v>0</v>
      </c>
      <c r="H104" s="110" t="b">
        <f t="shared" si="7"/>
        <v>0</v>
      </c>
      <c r="I104" s="60"/>
      <c r="J104" s="60"/>
      <c r="K104" s="8">
        <f t="shared" si="8"/>
        <v>0</v>
      </c>
    </row>
    <row r="105" spans="1:11" ht="18" customHeight="1">
      <c r="A105" s="62"/>
      <c r="B105" s="57"/>
      <c r="C105" s="58"/>
      <c r="D105" s="59"/>
      <c r="E105" s="59"/>
      <c r="F105" s="57"/>
      <c r="G105" s="110" t="b">
        <f t="shared" si="6"/>
        <v>0</v>
      </c>
      <c r="H105" s="110" t="b">
        <f t="shared" si="7"/>
        <v>0</v>
      </c>
      <c r="I105" s="60"/>
      <c r="J105" s="60"/>
      <c r="K105" s="8">
        <f t="shared" si="8"/>
        <v>0</v>
      </c>
    </row>
    <row r="106" spans="1:11" ht="18" customHeight="1">
      <c r="A106" s="56"/>
      <c r="B106" s="61"/>
      <c r="C106" s="62"/>
      <c r="D106" s="59"/>
      <c r="E106" s="59"/>
      <c r="F106" s="57"/>
      <c r="G106" s="110" t="b">
        <f t="shared" si="6"/>
        <v>0</v>
      </c>
      <c r="H106" s="110" t="b">
        <f t="shared" si="7"/>
        <v>0</v>
      </c>
      <c r="I106" s="60"/>
      <c r="J106" s="60"/>
      <c r="K106" s="8">
        <f t="shared" si="8"/>
        <v>0</v>
      </c>
    </row>
    <row r="107" spans="1:11" ht="18" customHeight="1">
      <c r="A107" s="56"/>
      <c r="B107" s="61"/>
      <c r="C107" s="62"/>
      <c r="D107" s="59"/>
      <c r="E107" s="59"/>
      <c r="F107" s="57"/>
      <c r="G107" s="110" t="b">
        <f t="shared" si="6"/>
        <v>0</v>
      </c>
      <c r="H107" s="110" t="b">
        <f t="shared" si="7"/>
        <v>0</v>
      </c>
      <c r="I107" s="60"/>
      <c r="J107" s="60"/>
      <c r="K107" s="8">
        <f t="shared" si="8"/>
        <v>0</v>
      </c>
    </row>
    <row r="108" spans="1:11" ht="18" customHeight="1">
      <c r="A108" s="56"/>
      <c r="B108" s="61"/>
      <c r="C108" s="62"/>
      <c r="D108" s="59"/>
      <c r="E108" s="59"/>
      <c r="F108" s="57"/>
      <c r="G108" s="110" t="b">
        <f t="shared" si="6"/>
        <v>0</v>
      </c>
      <c r="H108" s="110" t="b">
        <f t="shared" si="7"/>
        <v>0</v>
      </c>
      <c r="I108" s="60"/>
      <c r="J108" s="60"/>
      <c r="K108" s="8">
        <f t="shared" si="8"/>
        <v>0</v>
      </c>
    </row>
    <row r="109" spans="1:11" ht="18" customHeight="1">
      <c r="A109" s="56"/>
      <c r="B109" s="61"/>
      <c r="C109" s="62"/>
      <c r="D109" s="59"/>
      <c r="E109" s="59"/>
      <c r="F109" s="57"/>
      <c r="G109" s="110" t="b">
        <f t="shared" si="6"/>
        <v>0</v>
      </c>
      <c r="H109" s="110" t="b">
        <f t="shared" si="7"/>
        <v>0</v>
      </c>
      <c r="I109" s="60"/>
      <c r="J109" s="60"/>
      <c r="K109" s="8">
        <f t="shared" si="8"/>
        <v>0</v>
      </c>
    </row>
    <row r="110" spans="1:11" ht="18" customHeight="1">
      <c r="A110" s="56"/>
      <c r="B110" s="61"/>
      <c r="C110" s="62"/>
      <c r="D110" s="59"/>
      <c r="E110" s="59"/>
      <c r="F110" s="57"/>
      <c r="G110" s="110" t="b">
        <f t="shared" si="6"/>
        <v>0</v>
      </c>
      <c r="H110" s="110" t="b">
        <f t="shared" si="7"/>
        <v>0</v>
      </c>
      <c r="I110" s="60"/>
      <c r="J110" s="60"/>
      <c r="K110" s="8">
        <f t="shared" si="8"/>
        <v>0</v>
      </c>
    </row>
    <row r="111" spans="1:11" ht="18" customHeight="1">
      <c r="A111" s="63"/>
      <c r="B111" s="64"/>
      <c r="C111" s="62"/>
      <c r="D111" s="59"/>
      <c r="E111" s="66"/>
      <c r="F111" s="67"/>
      <c r="G111" s="110" t="b">
        <f t="shared" si="6"/>
        <v>0</v>
      </c>
      <c r="H111" s="110" t="b">
        <f t="shared" si="7"/>
        <v>0</v>
      </c>
      <c r="I111" s="68"/>
      <c r="J111" s="68"/>
      <c r="K111" s="8">
        <f t="shared" si="8"/>
        <v>0</v>
      </c>
    </row>
    <row r="112" spans="1:11" ht="18" customHeight="1">
      <c r="A112" s="63"/>
      <c r="B112" s="64"/>
      <c r="C112" s="62"/>
      <c r="D112" s="59"/>
      <c r="E112" s="66"/>
      <c r="F112" s="67"/>
      <c r="G112" s="110" t="b">
        <f t="shared" si="6"/>
        <v>0</v>
      </c>
      <c r="H112" s="110" t="b">
        <f t="shared" si="7"/>
        <v>0</v>
      </c>
      <c r="I112" s="68"/>
      <c r="J112" s="68"/>
      <c r="K112" s="8">
        <f t="shared" si="8"/>
        <v>0</v>
      </c>
    </row>
    <row r="113" spans="1:11" ht="18" customHeight="1">
      <c r="A113" s="56"/>
      <c r="B113" s="61"/>
      <c r="C113" s="62"/>
      <c r="D113" s="59"/>
      <c r="E113" s="59"/>
      <c r="F113" s="57"/>
      <c r="G113" s="110" t="b">
        <f t="shared" si="6"/>
        <v>0</v>
      </c>
      <c r="H113" s="110" t="b">
        <f t="shared" si="7"/>
        <v>0</v>
      </c>
      <c r="I113" s="60"/>
      <c r="J113" s="60"/>
      <c r="K113" s="8">
        <f t="shared" si="8"/>
        <v>0</v>
      </c>
    </row>
    <row r="114" spans="1:11" ht="18" customHeight="1">
      <c r="A114" s="63"/>
      <c r="B114" s="64"/>
      <c r="C114" s="62"/>
      <c r="D114" s="59"/>
      <c r="E114" s="66"/>
      <c r="F114" s="67"/>
      <c r="G114" s="110" t="b">
        <f t="shared" si="6"/>
        <v>0</v>
      </c>
      <c r="H114" s="110" t="b">
        <f t="shared" si="7"/>
        <v>0</v>
      </c>
      <c r="I114" s="68"/>
      <c r="J114" s="68"/>
      <c r="K114" s="8">
        <f t="shared" si="8"/>
        <v>0</v>
      </c>
    </row>
    <row r="115" spans="1:11" ht="18" customHeight="1">
      <c r="A115" s="63"/>
      <c r="B115" s="64"/>
      <c r="C115" s="62"/>
      <c r="D115" s="59"/>
      <c r="E115" s="66"/>
      <c r="F115" s="67"/>
      <c r="G115" s="110" t="b">
        <f t="shared" si="6"/>
        <v>0</v>
      </c>
      <c r="H115" s="110" t="b">
        <f t="shared" si="7"/>
        <v>0</v>
      </c>
      <c r="I115" s="68"/>
      <c r="J115" s="68"/>
      <c r="K115" s="8">
        <f t="shared" si="8"/>
        <v>0</v>
      </c>
    </row>
    <row r="116" spans="1:11" ht="18" customHeight="1">
      <c r="A116" s="63"/>
      <c r="B116" s="64"/>
      <c r="C116" s="62"/>
      <c r="D116" s="59"/>
      <c r="E116" s="66"/>
      <c r="F116" s="67"/>
      <c r="G116" s="110" t="b">
        <f t="shared" si="6"/>
        <v>0</v>
      </c>
      <c r="H116" s="110" t="b">
        <f t="shared" si="7"/>
        <v>0</v>
      </c>
      <c r="I116" s="68"/>
      <c r="J116" s="68"/>
      <c r="K116" s="8">
        <f t="shared" si="8"/>
        <v>0</v>
      </c>
    </row>
    <row r="117" spans="1:11" ht="18" customHeight="1">
      <c r="A117" s="63"/>
      <c r="B117" s="64"/>
      <c r="C117" s="62"/>
      <c r="D117" s="59"/>
      <c r="E117" s="66"/>
      <c r="F117" s="67"/>
      <c r="G117" s="110" t="b">
        <f t="shared" si="6"/>
        <v>0</v>
      </c>
      <c r="H117" s="110" t="b">
        <f t="shared" si="7"/>
        <v>0</v>
      </c>
      <c r="I117" s="68"/>
      <c r="J117" s="68"/>
      <c r="K117" s="8">
        <f t="shared" si="8"/>
        <v>0</v>
      </c>
    </row>
    <row r="118" spans="1:11" ht="18" customHeight="1">
      <c r="A118" s="63"/>
      <c r="B118" s="64"/>
      <c r="C118" s="65"/>
      <c r="D118" s="69"/>
      <c r="E118" s="66"/>
      <c r="F118" s="67"/>
      <c r="G118" s="110" t="b">
        <f t="shared" si="6"/>
        <v>0</v>
      </c>
      <c r="H118" s="110" t="b">
        <f t="shared" si="7"/>
        <v>0</v>
      </c>
      <c r="I118" s="68"/>
      <c r="J118" s="68"/>
      <c r="K118" s="8">
        <f t="shared" si="8"/>
        <v>0</v>
      </c>
    </row>
    <row r="119" spans="1:11" ht="18" customHeight="1">
      <c r="A119" s="63"/>
      <c r="B119" s="64"/>
      <c r="C119" s="65"/>
      <c r="D119" s="69"/>
      <c r="E119" s="66"/>
      <c r="F119" s="67"/>
      <c r="G119" s="110" t="b">
        <f t="shared" si="6"/>
        <v>0</v>
      </c>
      <c r="H119" s="110" t="b">
        <f t="shared" si="7"/>
        <v>0</v>
      </c>
      <c r="I119" s="68"/>
      <c r="J119" s="68"/>
      <c r="K119" s="8">
        <f t="shared" si="8"/>
        <v>0</v>
      </c>
    </row>
    <row r="120" spans="1:11" ht="18" customHeight="1">
      <c r="A120" s="63"/>
      <c r="B120" s="64"/>
      <c r="C120" s="65"/>
      <c r="D120" s="59"/>
      <c r="E120" s="66"/>
      <c r="F120" s="67"/>
      <c r="G120" s="110" t="b">
        <f t="shared" si="6"/>
        <v>0</v>
      </c>
      <c r="H120" s="110" t="b">
        <f t="shared" si="7"/>
        <v>0</v>
      </c>
      <c r="I120" s="68"/>
      <c r="J120" s="68"/>
      <c r="K120" s="8">
        <f t="shared" si="8"/>
        <v>0</v>
      </c>
    </row>
    <row r="121" spans="1:11" ht="18" customHeight="1">
      <c r="A121" s="63"/>
      <c r="B121" s="64"/>
      <c r="C121" s="65"/>
      <c r="D121" s="59"/>
      <c r="E121" s="66"/>
      <c r="F121" s="67"/>
      <c r="G121" s="110" t="b">
        <f t="shared" si="6"/>
        <v>0</v>
      </c>
      <c r="H121" s="110" t="b">
        <f t="shared" si="7"/>
        <v>0</v>
      </c>
      <c r="I121" s="68"/>
      <c r="J121" s="68"/>
      <c r="K121" s="8">
        <f t="shared" si="8"/>
        <v>0</v>
      </c>
    </row>
    <row r="122" spans="1:11" ht="18" customHeight="1">
      <c r="A122" s="63"/>
      <c r="B122" s="64"/>
      <c r="C122" s="65"/>
      <c r="D122" s="59"/>
      <c r="E122" s="66"/>
      <c r="F122" s="67"/>
      <c r="G122" s="110" t="b">
        <f t="shared" si="6"/>
        <v>0</v>
      </c>
      <c r="H122" s="110" t="b">
        <f t="shared" si="7"/>
        <v>0</v>
      </c>
      <c r="I122" s="68"/>
      <c r="J122" s="68"/>
      <c r="K122" s="8">
        <f t="shared" si="8"/>
        <v>0</v>
      </c>
    </row>
    <row r="123" spans="1:11" ht="18" customHeight="1">
      <c r="A123" s="56"/>
      <c r="B123" s="61"/>
      <c r="C123" s="65"/>
      <c r="D123" s="59"/>
      <c r="E123" s="66"/>
      <c r="F123" s="67"/>
      <c r="G123" s="110" t="b">
        <f t="shared" si="6"/>
        <v>0</v>
      </c>
      <c r="H123" s="110" t="b">
        <f t="shared" si="7"/>
        <v>0</v>
      </c>
      <c r="I123" s="68"/>
      <c r="J123" s="68"/>
      <c r="K123" s="8">
        <f t="shared" si="8"/>
        <v>0</v>
      </c>
    </row>
    <row r="124" spans="1:11" ht="18" customHeight="1">
      <c r="A124" s="56"/>
      <c r="B124" s="61"/>
      <c r="C124" s="62"/>
      <c r="D124" s="59"/>
      <c r="E124" s="66"/>
      <c r="F124" s="66"/>
      <c r="G124" s="110" t="b">
        <f t="shared" si="6"/>
        <v>0</v>
      </c>
      <c r="H124" s="110" t="b">
        <f t="shared" si="7"/>
        <v>0</v>
      </c>
      <c r="I124" s="68"/>
      <c r="J124" s="68"/>
      <c r="K124" s="8">
        <f t="shared" si="8"/>
        <v>0</v>
      </c>
    </row>
    <row r="125" spans="1:11" ht="18" customHeight="1">
      <c r="A125" s="56"/>
      <c r="B125" s="61"/>
      <c r="C125" s="62"/>
      <c r="D125" s="59"/>
      <c r="E125" s="66"/>
      <c r="F125" s="66"/>
      <c r="G125" s="110" t="b">
        <f t="shared" si="6"/>
        <v>0</v>
      </c>
      <c r="H125" s="110" t="b">
        <f t="shared" si="7"/>
        <v>0</v>
      </c>
      <c r="I125" s="68"/>
      <c r="J125" s="68"/>
      <c r="K125" s="8">
        <f t="shared" si="8"/>
        <v>0</v>
      </c>
    </row>
    <row r="126" spans="1:11" ht="18" customHeight="1">
      <c r="A126" s="56"/>
      <c r="B126" s="61"/>
      <c r="C126" s="62"/>
      <c r="D126" s="59"/>
      <c r="E126" s="66"/>
      <c r="F126" s="66"/>
      <c r="G126" s="110" t="b">
        <f t="shared" si="6"/>
        <v>0</v>
      </c>
      <c r="H126" s="110" t="b">
        <f t="shared" si="7"/>
        <v>0</v>
      </c>
      <c r="I126" s="68"/>
      <c r="J126" s="80"/>
      <c r="K126" s="8">
        <f t="shared" si="8"/>
        <v>0</v>
      </c>
    </row>
    <row r="127" spans="1:11" ht="18" customHeight="1">
      <c r="A127" s="56"/>
      <c r="B127" s="61"/>
      <c r="C127" s="62"/>
      <c r="D127" s="59"/>
      <c r="E127" s="66"/>
      <c r="F127" s="66"/>
      <c r="G127" s="110" t="b">
        <f t="shared" si="6"/>
        <v>0</v>
      </c>
      <c r="H127" s="110" t="b">
        <f t="shared" si="7"/>
        <v>0</v>
      </c>
      <c r="I127" s="68"/>
      <c r="J127" s="80"/>
      <c r="K127" s="8">
        <f t="shared" si="8"/>
        <v>0</v>
      </c>
    </row>
    <row r="128" spans="1:11" ht="18" customHeight="1">
      <c r="A128" s="56"/>
      <c r="B128" s="61"/>
      <c r="C128" s="62"/>
      <c r="D128" s="59"/>
      <c r="E128" s="66"/>
      <c r="F128" s="66"/>
      <c r="G128" s="110" t="b">
        <f t="shared" si="6"/>
        <v>0</v>
      </c>
      <c r="H128" s="110" t="b">
        <f t="shared" si="7"/>
        <v>0</v>
      </c>
      <c r="I128" s="68"/>
      <c r="J128" s="80"/>
      <c r="K128" s="8">
        <f t="shared" si="8"/>
        <v>0</v>
      </c>
    </row>
    <row r="129" spans="1:11" ht="18" customHeight="1">
      <c r="A129" s="56"/>
      <c r="B129" s="61"/>
      <c r="C129" s="62"/>
      <c r="D129" s="59"/>
      <c r="E129" s="66"/>
      <c r="F129" s="66"/>
      <c r="G129" s="110" t="b">
        <f t="shared" si="6"/>
        <v>0</v>
      </c>
      <c r="H129" s="110" t="b">
        <f t="shared" si="7"/>
        <v>0</v>
      </c>
      <c r="I129" s="68"/>
      <c r="J129" s="80"/>
      <c r="K129" s="8">
        <f t="shared" si="8"/>
        <v>0</v>
      </c>
    </row>
    <row r="130" spans="1:11" ht="18" customHeight="1">
      <c r="A130" s="56"/>
      <c r="B130" s="61"/>
      <c r="C130" s="62"/>
      <c r="D130" s="59"/>
      <c r="E130" s="66"/>
      <c r="F130" s="66"/>
      <c r="G130" s="110" t="b">
        <f t="shared" si="6"/>
        <v>0</v>
      </c>
      <c r="H130" s="110" t="b">
        <f t="shared" si="7"/>
        <v>0</v>
      </c>
      <c r="I130" s="68"/>
      <c r="J130" s="80"/>
      <c r="K130" s="8">
        <f t="shared" si="8"/>
        <v>0</v>
      </c>
    </row>
    <row r="131" spans="1:11" ht="18" customHeight="1">
      <c r="A131" s="63"/>
      <c r="B131" s="64"/>
      <c r="C131" s="65"/>
      <c r="D131" s="59"/>
      <c r="E131" s="66"/>
      <c r="F131" s="66"/>
      <c r="G131" s="110" t="b">
        <f t="shared" si="6"/>
        <v>0</v>
      </c>
      <c r="H131" s="110" t="b">
        <f t="shared" si="7"/>
        <v>0</v>
      </c>
      <c r="I131" s="68"/>
      <c r="J131" s="80"/>
      <c r="K131" s="8">
        <f t="shared" si="8"/>
        <v>0</v>
      </c>
    </row>
    <row r="132" spans="1:11" ht="18" customHeight="1">
      <c r="A132" s="63"/>
      <c r="B132" s="64"/>
      <c r="C132" s="65"/>
      <c r="D132" s="59"/>
      <c r="E132" s="66"/>
      <c r="F132" s="66"/>
      <c r="G132" s="110" t="b">
        <f t="shared" si="6"/>
        <v>0</v>
      </c>
      <c r="H132" s="110" t="b">
        <f t="shared" si="7"/>
        <v>0</v>
      </c>
      <c r="I132" s="68"/>
      <c r="J132" s="80"/>
      <c r="K132" s="8">
        <f t="shared" si="8"/>
        <v>0</v>
      </c>
    </row>
    <row r="133" spans="1:11" ht="18" customHeight="1">
      <c r="A133" s="63"/>
      <c r="B133" s="64"/>
      <c r="C133" s="65"/>
      <c r="D133" s="59"/>
      <c r="E133" s="66"/>
      <c r="F133" s="66"/>
      <c r="G133" s="110" t="b">
        <f t="shared" si="6"/>
        <v>0</v>
      </c>
      <c r="H133" s="110" t="b">
        <f t="shared" si="7"/>
        <v>0</v>
      </c>
      <c r="I133" s="68"/>
      <c r="J133" s="80"/>
      <c r="K133" s="8">
        <f t="shared" si="8"/>
        <v>0</v>
      </c>
    </row>
    <row r="134" spans="1:11" ht="18" customHeight="1">
      <c r="A134" s="63"/>
      <c r="B134" s="64"/>
      <c r="C134" s="65"/>
      <c r="D134" s="59"/>
      <c r="E134" s="66"/>
      <c r="F134" s="66"/>
      <c r="G134" s="110" t="b">
        <f t="shared" si="6"/>
        <v>0</v>
      </c>
      <c r="H134" s="110" t="b">
        <f t="shared" si="7"/>
        <v>0</v>
      </c>
      <c r="I134" s="68"/>
      <c r="J134" s="80"/>
      <c r="K134" s="8">
        <f t="shared" si="8"/>
        <v>0</v>
      </c>
    </row>
    <row r="135" spans="1:11" ht="18" customHeight="1">
      <c r="A135" s="63"/>
      <c r="B135" s="64"/>
      <c r="C135" s="65"/>
      <c r="D135" s="59"/>
      <c r="E135" s="66"/>
      <c r="F135" s="66"/>
      <c r="G135" s="110" t="b">
        <f t="shared" si="6"/>
        <v>0</v>
      </c>
      <c r="H135" s="110" t="b">
        <f t="shared" si="7"/>
        <v>0</v>
      </c>
      <c r="I135" s="68"/>
      <c r="J135" s="80"/>
      <c r="K135" s="8">
        <f t="shared" si="8"/>
        <v>0</v>
      </c>
    </row>
    <row r="136" spans="1:11" ht="18" customHeight="1">
      <c r="A136" s="63"/>
      <c r="B136" s="64"/>
      <c r="C136" s="65"/>
      <c r="D136" s="59"/>
      <c r="E136" s="66"/>
      <c r="F136" s="66"/>
      <c r="G136" s="110" t="b">
        <f t="shared" si="6"/>
        <v>0</v>
      </c>
      <c r="H136" s="110" t="b">
        <f t="shared" si="7"/>
        <v>0</v>
      </c>
      <c r="I136" s="68"/>
      <c r="J136" s="80"/>
      <c r="K136" s="8">
        <f t="shared" si="8"/>
        <v>0</v>
      </c>
    </row>
    <row r="137" spans="1:11" ht="18" customHeight="1">
      <c r="B137" s="78"/>
      <c r="C137" s="79"/>
      <c r="K137" s="44"/>
    </row>
    <row r="138" spans="1:11" ht="18" customHeight="1">
      <c r="B138" s="78"/>
      <c r="C138" s="79"/>
      <c r="K138" s="44"/>
    </row>
    <row r="139" spans="1:11" ht="18" customHeight="1">
      <c r="B139" s="78"/>
      <c r="C139" s="79"/>
      <c r="K139" s="44"/>
    </row>
    <row r="140" spans="1:11" ht="18" customHeight="1">
      <c r="A140" s="66"/>
      <c r="B140" s="67"/>
      <c r="C140" s="81"/>
      <c r="D140" s="66"/>
      <c r="E140" s="66"/>
      <c r="F140" s="66"/>
      <c r="G140" s="110" t="b">
        <f t="shared" ref="G140:G182" si="9">IF(ISTEXT(C140),IF(ISTEXT(F140),CONCATENATE(C140,"-",F140)))</f>
        <v>0</v>
      </c>
      <c r="H140" s="110" t="b">
        <f t="shared" ref="H140:H182" si="10">IF(ISTEXT(B140),IF(ISTEXT(F140),CONCATENATE(B140,"-",F140)))</f>
        <v>0</v>
      </c>
      <c r="I140" s="66"/>
      <c r="J140" s="66"/>
      <c r="K140" s="47"/>
    </row>
    <row r="141" spans="1:11" ht="18" customHeight="1">
      <c r="A141" s="66"/>
      <c r="B141" s="67"/>
      <c r="C141" s="81"/>
      <c r="D141" s="66"/>
      <c r="E141" s="66"/>
      <c r="F141" s="66"/>
      <c r="G141" s="110" t="b">
        <f t="shared" si="9"/>
        <v>0</v>
      </c>
      <c r="H141" s="110" t="b">
        <f t="shared" si="10"/>
        <v>0</v>
      </c>
      <c r="I141" s="66"/>
      <c r="J141" s="66"/>
      <c r="K141" s="47"/>
    </row>
    <row r="142" spans="1:11" ht="18" customHeight="1">
      <c r="A142" s="66"/>
      <c r="B142" s="67"/>
      <c r="C142" s="81"/>
      <c r="D142" s="66"/>
      <c r="E142" s="66"/>
      <c r="F142" s="66"/>
      <c r="G142" s="110" t="b">
        <f t="shared" si="9"/>
        <v>0</v>
      </c>
      <c r="H142" s="110" t="b">
        <f t="shared" si="10"/>
        <v>0</v>
      </c>
      <c r="I142" s="66"/>
      <c r="J142" s="66"/>
      <c r="K142" s="47"/>
    </row>
    <row r="143" spans="1:11" ht="18" customHeight="1">
      <c r="A143" s="66"/>
      <c r="B143" s="67"/>
      <c r="C143" s="81"/>
      <c r="D143" s="66"/>
      <c r="E143" s="66"/>
      <c r="F143" s="66"/>
      <c r="G143" s="110" t="b">
        <f t="shared" si="9"/>
        <v>0</v>
      </c>
      <c r="H143" s="110" t="b">
        <f t="shared" si="10"/>
        <v>0</v>
      </c>
      <c r="I143" s="66"/>
      <c r="J143" s="66"/>
      <c r="K143" s="47"/>
    </row>
    <row r="144" spans="1:11" ht="18" customHeight="1">
      <c r="A144" s="66"/>
      <c r="B144" s="67"/>
      <c r="C144" s="81"/>
      <c r="D144" s="66"/>
      <c r="E144" s="66"/>
      <c r="F144" s="66"/>
      <c r="G144" s="110" t="b">
        <f t="shared" si="9"/>
        <v>0</v>
      </c>
      <c r="H144" s="110" t="b">
        <f t="shared" si="10"/>
        <v>0</v>
      </c>
      <c r="I144" s="66"/>
      <c r="J144" s="66"/>
      <c r="K144" s="47"/>
    </row>
    <row r="145" spans="1:11" ht="18" customHeight="1">
      <c r="A145" s="66"/>
      <c r="B145" s="67"/>
      <c r="C145" s="81"/>
      <c r="D145" s="66"/>
      <c r="E145" s="66"/>
      <c r="F145" s="66"/>
      <c r="G145" s="110" t="b">
        <f t="shared" si="9"/>
        <v>0</v>
      </c>
      <c r="H145" s="110" t="b">
        <f t="shared" si="10"/>
        <v>0</v>
      </c>
      <c r="I145" s="66"/>
      <c r="J145" s="66"/>
      <c r="K145" s="47"/>
    </row>
    <row r="146" spans="1:11" ht="18" customHeight="1">
      <c r="A146" s="66"/>
      <c r="B146" s="67"/>
      <c r="C146" s="81"/>
      <c r="D146" s="66"/>
      <c r="E146" s="66"/>
      <c r="F146" s="66"/>
      <c r="G146" s="110" t="b">
        <f t="shared" si="9"/>
        <v>0</v>
      </c>
      <c r="H146" s="110" t="b">
        <f t="shared" si="10"/>
        <v>0</v>
      </c>
      <c r="I146" s="66"/>
      <c r="J146" s="66"/>
      <c r="K146" s="47"/>
    </row>
    <row r="147" spans="1:11" ht="18" customHeight="1">
      <c r="A147" s="66"/>
      <c r="B147" s="67"/>
      <c r="C147" s="81"/>
      <c r="D147" s="66"/>
      <c r="E147" s="66"/>
      <c r="F147" s="66"/>
      <c r="G147" s="110" t="b">
        <f t="shared" si="9"/>
        <v>0</v>
      </c>
      <c r="H147" s="110" t="b">
        <f t="shared" si="10"/>
        <v>0</v>
      </c>
      <c r="I147" s="66"/>
      <c r="J147" s="66"/>
      <c r="K147" s="47"/>
    </row>
    <row r="148" spans="1:11" ht="18" customHeight="1">
      <c r="A148" s="66"/>
      <c r="B148" s="67"/>
      <c r="C148" s="81"/>
      <c r="D148" s="66"/>
      <c r="E148" s="66"/>
      <c r="F148" s="66"/>
      <c r="G148" s="110" t="b">
        <f t="shared" si="9"/>
        <v>0</v>
      </c>
      <c r="H148" s="110" t="b">
        <f t="shared" si="10"/>
        <v>0</v>
      </c>
      <c r="I148" s="66"/>
      <c r="J148" s="66"/>
      <c r="K148" s="47"/>
    </row>
    <row r="149" spans="1:11" ht="18" customHeight="1">
      <c r="A149" s="66"/>
      <c r="B149" s="67"/>
      <c r="C149" s="81"/>
      <c r="D149" s="66"/>
      <c r="E149" s="66"/>
      <c r="F149" s="66"/>
      <c r="G149" s="110" t="b">
        <f t="shared" si="9"/>
        <v>0</v>
      </c>
      <c r="H149" s="110" t="b">
        <f t="shared" si="10"/>
        <v>0</v>
      </c>
      <c r="I149" s="66"/>
      <c r="J149" s="66"/>
      <c r="K149" s="47"/>
    </row>
    <row r="150" spans="1:11" ht="18" customHeight="1">
      <c r="A150" s="66"/>
      <c r="B150" s="67"/>
      <c r="C150" s="81"/>
      <c r="D150" s="66"/>
      <c r="E150" s="66"/>
      <c r="F150" s="66"/>
      <c r="G150" s="110" t="b">
        <f t="shared" si="9"/>
        <v>0</v>
      </c>
      <c r="H150" s="110" t="b">
        <f t="shared" si="10"/>
        <v>0</v>
      </c>
      <c r="I150" s="66"/>
      <c r="J150" s="66"/>
      <c r="K150" s="47"/>
    </row>
    <row r="151" spans="1:11" ht="18" customHeight="1">
      <c r="A151" s="66"/>
      <c r="B151" s="67"/>
      <c r="C151" s="81"/>
      <c r="D151" s="66"/>
      <c r="E151" s="66"/>
      <c r="F151" s="66"/>
      <c r="G151" s="110" t="b">
        <f t="shared" si="9"/>
        <v>0</v>
      </c>
      <c r="H151" s="110" t="b">
        <f t="shared" si="10"/>
        <v>0</v>
      </c>
      <c r="I151" s="66"/>
      <c r="J151" s="66"/>
      <c r="K151" s="47"/>
    </row>
    <row r="152" spans="1:11" ht="18" customHeight="1">
      <c r="A152" s="66"/>
      <c r="B152" s="67"/>
      <c r="C152" s="81"/>
      <c r="D152" s="66"/>
      <c r="E152" s="66"/>
      <c r="F152" s="66"/>
      <c r="G152" s="110" t="b">
        <f t="shared" si="9"/>
        <v>0</v>
      </c>
      <c r="H152" s="110" t="b">
        <f t="shared" si="10"/>
        <v>0</v>
      </c>
      <c r="I152" s="66"/>
      <c r="J152" s="66"/>
      <c r="K152" s="47"/>
    </row>
    <row r="153" spans="1:11" ht="18" customHeight="1">
      <c r="A153" s="66"/>
      <c r="B153" s="67"/>
      <c r="C153" s="81"/>
      <c r="D153" s="66"/>
      <c r="E153" s="66"/>
      <c r="F153" s="66"/>
      <c r="G153" s="110" t="b">
        <f t="shared" si="9"/>
        <v>0</v>
      </c>
      <c r="H153" s="110" t="b">
        <f t="shared" si="10"/>
        <v>0</v>
      </c>
      <c r="I153" s="66"/>
      <c r="J153" s="66"/>
      <c r="K153" s="47"/>
    </row>
    <row r="154" spans="1:11" ht="18" customHeight="1">
      <c r="A154" s="66"/>
      <c r="B154" s="67"/>
      <c r="C154" s="81"/>
      <c r="D154" s="66"/>
      <c r="E154" s="66"/>
      <c r="F154" s="66"/>
      <c r="G154" s="110" t="b">
        <f t="shared" si="9"/>
        <v>0</v>
      </c>
      <c r="H154" s="110" t="b">
        <f t="shared" si="10"/>
        <v>0</v>
      </c>
      <c r="I154" s="66"/>
      <c r="J154" s="66"/>
      <c r="K154" s="47"/>
    </row>
    <row r="155" spans="1:11" ht="18" customHeight="1">
      <c r="A155" s="66"/>
      <c r="B155" s="67"/>
      <c r="C155" s="81"/>
      <c r="D155" s="66"/>
      <c r="E155" s="66"/>
      <c r="F155" s="66"/>
      <c r="G155" s="110" t="b">
        <f t="shared" si="9"/>
        <v>0</v>
      </c>
      <c r="H155" s="110" t="b">
        <f t="shared" si="10"/>
        <v>0</v>
      </c>
      <c r="I155" s="66"/>
      <c r="J155" s="66"/>
      <c r="K155" s="47"/>
    </row>
    <row r="156" spans="1:11" ht="18" customHeight="1">
      <c r="A156" s="66"/>
      <c r="B156" s="67"/>
      <c r="C156" s="81"/>
      <c r="D156" s="66"/>
      <c r="E156" s="66"/>
      <c r="F156" s="66"/>
      <c r="G156" s="110" t="b">
        <f t="shared" si="9"/>
        <v>0</v>
      </c>
      <c r="H156" s="110" t="b">
        <f t="shared" si="10"/>
        <v>0</v>
      </c>
      <c r="I156" s="66"/>
      <c r="J156" s="66"/>
      <c r="K156" s="47"/>
    </row>
    <row r="157" spans="1:11" ht="18" customHeight="1">
      <c r="A157" s="66"/>
      <c r="B157" s="67"/>
      <c r="C157" s="81"/>
      <c r="D157" s="66"/>
      <c r="E157" s="66"/>
      <c r="F157" s="66"/>
      <c r="G157" s="110" t="b">
        <f t="shared" si="9"/>
        <v>0</v>
      </c>
      <c r="H157" s="110" t="b">
        <f t="shared" si="10"/>
        <v>0</v>
      </c>
      <c r="I157" s="66"/>
      <c r="J157" s="66"/>
      <c r="K157" s="47"/>
    </row>
    <row r="158" spans="1:11" ht="18" customHeight="1">
      <c r="A158" s="66"/>
      <c r="B158" s="67"/>
      <c r="C158" s="81"/>
      <c r="D158" s="66"/>
      <c r="E158" s="66"/>
      <c r="F158" s="66"/>
      <c r="G158" s="110" t="b">
        <f t="shared" si="9"/>
        <v>0</v>
      </c>
      <c r="H158" s="110" t="b">
        <f t="shared" si="10"/>
        <v>0</v>
      </c>
      <c r="I158" s="66"/>
      <c r="J158" s="66"/>
      <c r="K158" s="47"/>
    </row>
    <row r="159" spans="1:11" ht="18" customHeight="1">
      <c r="A159" s="66"/>
      <c r="B159" s="67"/>
      <c r="C159" s="81"/>
      <c r="D159" s="66"/>
      <c r="E159" s="66"/>
      <c r="F159" s="66"/>
      <c r="G159" s="110" t="b">
        <f t="shared" si="9"/>
        <v>0</v>
      </c>
      <c r="H159" s="110" t="b">
        <f t="shared" si="10"/>
        <v>0</v>
      </c>
      <c r="I159" s="66"/>
      <c r="J159" s="66"/>
      <c r="K159" s="47"/>
    </row>
    <row r="160" spans="1:11" ht="18" customHeight="1">
      <c r="A160" s="66"/>
      <c r="B160" s="67"/>
      <c r="C160" s="81"/>
      <c r="D160" s="66"/>
      <c r="E160" s="66"/>
      <c r="F160" s="66"/>
      <c r="G160" s="110" t="b">
        <f t="shared" si="9"/>
        <v>0</v>
      </c>
      <c r="H160" s="110" t="b">
        <f t="shared" si="10"/>
        <v>0</v>
      </c>
      <c r="I160" s="66"/>
      <c r="J160" s="66"/>
      <c r="K160" s="47"/>
    </row>
    <row r="161" spans="1:11" ht="18" customHeight="1">
      <c r="A161" s="66"/>
      <c r="B161" s="67"/>
      <c r="C161" s="81"/>
      <c r="D161" s="66"/>
      <c r="E161" s="66"/>
      <c r="F161" s="66"/>
      <c r="G161" s="110" t="b">
        <f t="shared" si="9"/>
        <v>0</v>
      </c>
      <c r="H161" s="110" t="b">
        <f t="shared" si="10"/>
        <v>0</v>
      </c>
      <c r="I161" s="66"/>
      <c r="J161" s="66"/>
      <c r="K161" s="47"/>
    </row>
    <row r="162" spans="1:11" ht="18" customHeight="1">
      <c r="A162" s="66"/>
      <c r="B162" s="67"/>
      <c r="C162" s="81"/>
      <c r="D162" s="66"/>
      <c r="E162" s="66"/>
      <c r="F162" s="66"/>
      <c r="G162" s="110" t="b">
        <f t="shared" si="9"/>
        <v>0</v>
      </c>
      <c r="H162" s="110" t="b">
        <f t="shared" si="10"/>
        <v>0</v>
      </c>
      <c r="I162" s="66"/>
      <c r="J162" s="66"/>
      <c r="K162" s="47"/>
    </row>
    <row r="163" spans="1:11" ht="18" customHeight="1">
      <c r="A163" s="66"/>
      <c r="B163" s="67"/>
      <c r="C163" s="81"/>
      <c r="D163" s="66"/>
      <c r="E163" s="66"/>
      <c r="F163" s="66"/>
      <c r="G163" s="110" t="b">
        <f t="shared" si="9"/>
        <v>0</v>
      </c>
      <c r="H163" s="110" t="b">
        <f t="shared" si="10"/>
        <v>0</v>
      </c>
      <c r="I163" s="66"/>
      <c r="J163" s="66"/>
      <c r="K163" s="47"/>
    </row>
    <row r="164" spans="1:11" ht="18" customHeight="1">
      <c r="A164" s="66"/>
      <c r="B164" s="67"/>
      <c r="C164" s="81"/>
      <c r="D164" s="66"/>
      <c r="E164" s="66"/>
      <c r="F164" s="66"/>
      <c r="G164" s="110" t="b">
        <f t="shared" si="9"/>
        <v>0</v>
      </c>
      <c r="H164" s="110" t="b">
        <f t="shared" si="10"/>
        <v>0</v>
      </c>
      <c r="I164" s="66"/>
      <c r="J164" s="66"/>
      <c r="K164" s="47"/>
    </row>
    <row r="165" spans="1:11" ht="18" customHeight="1">
      <c r="A165" s="66"/>
      <c r="B165" s="67"/>
      <c r="C165" s="81"/>
      <c r="D165" s="66"/>
      <c r="E165" s="66"/>
      <c r="F165" s="66"/>
      <c r="G165" s="110" t="b">
        <f t="shared" si="9"/>
        <v>0</v>
      </c>
      <c r="H165" s="110" t="b">
        <f t="shared" si="10"/>
        <v>0</v>
      </c>
      <c r="I165" s="66"/>
      <c r="J165" s="66"/>
      <c r="K165" s="47"/>
    </row>
    <row r="166" spans="1:11" ht="18" customHeight="1">
      <c r="A166" s="66"/>
      <c r="B166" s="67"/>
      <c r="C166" s="81"/>
      <c r="D166" s="66"/>
      <c r="E166" s="66"/>
      <c r="F166" s="66"/>
      <c r="G166" s="110" t="b">
        <f t="shared" si="9"/>
        <v>0</v>
      </c>
      <c r="H166" s="110" t="b">
        <f t="shared" si="10"/>
        <v>0</v>
      </c>
      <c r="I166" s="66"/>
      <c r="J166" s="66"/>
      <c r="K166" s="47"/>
    </row>
    <row r="167" spans="1:11" ht="18" customHeight="1">
      <c r="A167" s="66"/>
      <c r="B167" s="67"/>
      <c r="C167" s="81"/>
      <c r="D167" s="66"/>
      <c r="E167" s="66"/>
      <c r="F167" s="66"/>
      <c r="G167" s="110" t="b">
        <f t="shared" si="9"/>
        <v>0</v>
      </c>
      <c r="H167" s="110" t="b">
        <f t="shared" si="10"/>
        <v>0</v>
      </c>
      <c r="I167" s="66"/>
      <c r="J167" s="66"/>
      <c r="K167" s="47"/>
    </row>
    <row r="168" spans="1:11" ht="18" customHeight="1">
      <c r="A168" s="66"/>
      <c r="B168" s="67"/>
      <c r="C168" s="81"/>
      <c r="D168" s="66"/>
      <c r="E168" s="66"/>
      <c r="F168" s="66"/>
      <c r="G168" s="110" t="b">
        <f t="shared" si="9"/>
        <v>0</v>
      </c>
      <c r="H168" s="110" t="b">
        <f t="shared" si="10"/>
        <v>0</v>
      </c>
      <c r="I168" s="66"/>
      <c r="J168" s="66"/>
      <c r="K168" s="47"/>
    </row>
    <row r="169" spans="1:11" ht="18" customHeight="1">
      <c r="A169" s="66"/>
      <c r="B169" s="67"/>
      <c r="C169" s="81"/>
      <c r="D169" s="66"/>
      <c r="E169" s="66"/>
      <c r="F169" s="66"/>
      <c r="G169" s="110" t="b">
        <f t="shared" si="9"/>
        <v>0</v>
      </c>
      <c r="H169" s="110" t="b">
        <f t="shared" si="10"/>
        <v>0</v>
      </c>
      <c r="I169" s="66"/>
      <c r="J169" s="66"/>
      <c r="K169" s="47"/>
    </row>
    <row r="170" spans="1:11" ht="18" customHeight="1">
      <c r="A170" s="66"/>
      <c r="B170" s="67"/>
      <c r="C170" s="81"/>
      <c r="D170" s="66"/>
      <c r="E170" s="66"/>
      <c r="F170" s="66"/>
      <c r="G170" s="110" t="b">
        <f t="shared" si="9"/>
        <v>0</v>
      </c>
      <c r="H170" s="110" t="b">
        <f t="shared" si="10"/>
        <v>0</v>
      </c>
      <c r="I170" s="66"/>
      <c r="J170" s="66"/>
      <c r="K170" s="47"/>
    </row>
    <row r="171" spans="1:11" ht="18" customHeight="1">
      <c r="A171" s="66"/>
      <c r="B171" s="67"/>
      <c r="C171" s="81"/>
      <c r="D171" s="66"/>
      <c r="E171" s="66"/>
      <c r="F171" s="66"/>
      <c r="G171" s="110" t="b">
        <f t="shared" si="9"/>
        <v>0</v>
      </c>
      <c r="H171" s="110" t="b">
        <f t="shared" si="10"/>
        <v>0</v>
      </c>
      <c r="I171" s="66"/>
      <c r="J171" s="66"/>
      <c r="K171" s="47"/>
    </row>
    <row r="172" spans="1:11" ht="18" customHeight="1">
      <c r="A172" s="66"/>
      <c r="B172" s="67"/>
      <c r="C172" s="81"/>
      <c r="D172" s="66"/>
      <c r="E172" s="66"/>
      <c r="F172" s="66"/>
      <c r="G172" s="110" t="b">
        <f t="shared" si="9"/>
        <v>0</v>
      </c>
      <c r="H172" s="110" t="b">
        <f t="shared" si="10"/>
        <v>0</v>
      </c>
      <c r="I172" s="66"/>
      <c r="J172" s="66"/>
      <c r="K172" s="47"/>
    </row>
    <row r="173" spans="1:11" ht="18" customHeight="1">
      <c r="A173" s="66"/>
      <c r="B173" s="67"/>
      <c r="C173" s="81"/>
      <c r="D173" s="66"/>
      <c r="E173" s="66"/>
      <c r="F173" s="66"/>
      <c r="G173" s="110" t="b">
        <f t="shared" si="9"/>
        <v>0</v>
      </c>
      <c r="H173" s="110" t="b">
        <f t="shared" si="10"/>
        <v>0</v>
      </c>
      <c r="I173" s="66"/>
      <c r="J173" s="66"/>
      <c r="K173" s="47"/>
    </row>
    <row r="174" spans="1:11" ht="18" customHeight="1">
      <c r="A174" s="66"/>
      <c r="B174" s="67"/>
      <c r="C174" s="81"/>
      <c r="D174" s="66"/>
      <c r="E174" s="66"/>
      <c r="F174" s="66"/>
      <c r="G174" s="110" t="b">
        <f t="shared" si="9"/>
        <v>0</v>
      </c>
      <c r="H174" s="110" t="b">
        <f t="shared" si="10"/>
        <v>0</v>
      </c>
      <c r="I174" s="66"/>
      <c r="J174" s="66"/>
      <c r="K174" s="47"/>
    </row>
    <row r="175" spans="1:11" ht="18" customHeight="1">
      <c r="A175" s="66"/>
      <c r="B175" s="67"/>
      <c r="C175" s="81"/>
      <c r="D175" s="66"/>
      <c r="E175" s="66"/>
      <c r="F175" s="66"/>
      <c r="G175" s="110" t="b">
        <f t="shared" si="9"/>
        <v>0</v>
      </c>
      <c r="H175" s="110" t="b">
        <f t="shared" si="10"/>
        <v>0</v>
      </c>
      <c r="I175" s="66"/>
      <c r="J175" s="66"/>
      <c r="K175" s="47"/>
    </row>
    <row r="176" spans="1:11" ht="18" customHeight="1">
      <c r="A176" s="66"/>
      <c r="B176" s="67"/>
      <c r="C176" s="81"/>
      <c r="D176" s="66"/>
      <c r="E176" s="66"/>
      <c r="F176" s="66"/>
      <c r="G176" s="110" t="b">
        <f t="shared" si="9"/>
        <v>0</v>
      </c>
      <c r="H176" s="110" t="b">
        <f t="shared" si="10"/>
        <v>0</v>
      </c>
      <c r="I176" s="66"/>
      <c r="J176" s="66"/>
      <c r="K176" s="47"/>
    </row>
    <row r="177" spans="1:11" ht="18" customHeight="1">
      <c r="A177" s="66"/>
      <c r="B177" s="67"/>
      <c r="C177" s="81"/>
      <c r="D177" s="66"/>
      <c r="E177" s="66"/>
      <c r="F177" s="66"/>
      <c r="G177" s="110" t="b">
        <f t="shared" si="9"/>
        <v>0</v>
      </c>
      <c r="H177" s="110" t="b">
        <f t="shared" si="10"/>
        <v>0</v>
      </c>
      <c r="I177" s="66"/>
      <c r="J177" s="66"/>
      <c r="K177" s="47"/>
    </row>
    <row r="178" spans="1:11" ht="18" customHeight="1">
      <c r="A178" s="66"/>
      <c r="B178" s="67"/>
      <c r="C178" s="81"/>
      <c r="D178" s="66"/>
      <c r="E178" s="66"/>
      <c r="F178" s="66"/>
      <c r="G178" s="110" t="b">
        <f t="shared" si="9"/>
        <v>0</v>
      </c>
      <c r="H178" s="110" t="b">
        <f t="shared" si="10"/>
        <v>0</v>
      </c>
      <c r="I178" s="66"/>
      <c r="J178" s="66"/>
      <c r="K178" s="47"/>
    </row>
    <row r="179" spans="1:11" ht="18" customHeight="1">
      <c r="A179" s="66"/>
      <c r="B179" s="67"/>
      <c r="C179" s="81"/>
      <c r="D179" s="66"/>
      <c r="E179" s="66"/>
      <c r="F179" s="66"/>
      <c r="G179" s="110" t="b">
        <f t="shared" si="9"/>
        <v>0</v>
      </c>
      <c r="H179" s="110" t="b">
        <f t="shared" si="10"/>
        <v>0</v>
      </c>
      <c r="I179" s="66"/>
      <c r="J179" s="66"/>
      <c r="K179" s="47"/>
    </row>
    <row r="180" spans="1:11" ht="18" customHeight="1">
      <c r="A180" s="66"/>
      <c r="B180" s="67"/>
      <c r="C180" s="81"/>
      <c r="D180" s="66"/>
      <c r="E180" s="66"/>
      <c r="F180" s="66"/>
      <c r="G180" s="110" t="b">
        <f t="shared" si="9"/>
        <v>0</v>
      </c>
      <c r="H180" s="110" t="b">
        <f t="shared" si="10"/>
        <v>0</v>
      </c>
      <c r="I180" s="66"/>
      <c r="J180" s="66"/>
      <c r="K180" s="47"/>
    </row>
    <row r="181" spans="1:11" ht="18" customHeight="1">
      <c r="A181" s="66"/>
      <c r="B181" s="67"/>
      <c r="C181" s="81"/>
      <c r="D181" s="66"/>
      <c r="E181" s="66"/>
      <c r="F181" s="66"/>
      <c r="G181" s="110" t="b">
        <f t="shared" si="9"/>
        <v>0</v>
      </c>
      <c r="H181" s="110" t="b">
        <f t="shared" si="10"/>
        <v>0</v>
      </c>
      <c r="I181" s="66"/>
      <c r="J181" s="66"/>
      <c r="K181" s="47"/>
    </row>
    <row r="182" spans="1:11" ht="18" customHeight="1">
      <c r="A182" s="66"/>
      <c r="B182" s="67"/>
      <c r="C182" s="81"/>
      <c r="D182" s="66"/>
      <c r="E182" s="66"/>
      <c r="F182" s="66"/>
      <c r="G182" s="110" t="b">
        <f t="shared" si="9"/>
        <v>0</v>
      </c>
      <c r="H182" s="110" t="b">
        <f t="shared" si="10"/>
        <v>0</v>
      </c>
      <c r="I182" s="66"/>
      <c r="J182" s="66"/>
      <c r="K182" s="47"/>
    </row>
    <row r="183" spans="1:11" ht="18" customHeight="1">
      <c r="B183" s="78"/>
      <c r="C183" s="79"/>
      <c r="K183" s="44"/>
    </row>
    <row r="184" spans="1:11" ht="18" customHeight="1">
      <c r="B184" s="78"/>
      <c r="C184" s="79"/>
      <c r="K184" s="44"/>
    </row>
    <row r="185" spans="1:11" ht="18" customHeight="1">
      <c r="B185" s="78"/>
      <c r="C185" s="79"/>
      <c r="K185" s="44"/>
    </row>
    <row r="186" spans="1:11" ht="18" customHeight="1">
      <c r="A186" s="62"/>
      <c r="B186" s="57"/>
      <c r="C186" s="58"/>
      <c r="D186" s="59"/>
      <c r="E186" s="59"/>
      <c r="F186" s="57"/>
      <c r="G186" s="110" t="b">
        <f t="shared" ref="G186:G228" si="11">IF(ISTEXT(C186),IF(ISTEXT(F186),CONCATENATE(C186,"-",F186)))</f>
        <v>0</v>
      </c>
      <c r="H186" s="110" t="b">
        <f t="shared" ref="H186:H228" si="12">IF(ISTEXT(B186),IF(ISTEXT(F186),CONCATENATE(B186,"-",F186)))</f>
        <v>0</v>
      </c>
      <c r="I186" s="60"/>
      <c r="J186" s="60"/>
      <c r="K186" s="8">
        <f>(I186*J186)/1000</f>
        <v>0</v>
      </c>
    </row>
    <row r="187" spans="1:11" ht="18" customHeight="1">
      <c r="A187" s="62"/>
      <c r="B187" s="57"/>
      <c r="C187" s="58"/>
      <c r="D187" s="59"/>
      <c r="E187" s="59"/>
      <c r="F187" s="57"/>
      <c r="G187" s="110" t="b">
        <f t="shared" si="11"/>
        <v>0</v>
      </c>
      <c r="H187" s="110" t="b">
        <f t="shared" si="12"/>
        <v>0</v>
      </c>
      <c r="I187" s="60"/>
      <c r="J187" s="60"/>
      <c r="K187" s="8">
        <f t="shared" ref="K187:K228" si="13">(I187*J187)/1000</f>
        <v>0</v>
      </c>
    </row>
    <row r="188" spans="1:11" ht="18" customHeight="1">
      <c r="A188" s="62"/>
      <c r="B188" s="57"/>
      <c r="C188" s="58"/>
      <c r="D188" s="59"/>
      <c r="E188" s="59"/>
      <c r="F188" s="57"/>
      <c r="G188" s="110" t="b">
        <f t="shared" si="11"/>
        <v>0</v>
      </c>
      <c r="H188" s="110" t="b">
        <f t="shared" si="12"/>
        <v>0</v>
      </c>
      <c r="I188" s="60"/>
      <c r="J188" s="60"/>
      <c r="K188" s="8">
        <f t="shared" si="13"/>
        <v>0</v>
      </c>
    </row>
    <row r="189" spans="1:11" ht="18" customHeight="1">
      <c r="A189" s="62"/>
      <c r="B189" s="57"/>
      <c r="C189" s="58"/>
      <c r="D189" s="59"/>
      <c r="E189" s="59"/>
      <c r="F189" s="57"/>
      <c r="G189" s="110" t="b">
        <f t="shared" si="11"/>
        <v>0</v>
      </c>
      <c r="H189" s="110" t="b">
        <f t="shared" si="12"/>
        <v>0</v>
      </c>
      <c r="I189" s="60"/>
      <c r="J189" s="60"/>
      <c r="K189" s="8">
        <f t="shared" si="13"/>
        <v>0</v>
      </c>
    </row>
    <row r="190" spans="1:11" ht="18" customHeight="1">
      <c r="A190" s="62"/>
      <c r="B190" s="57"/>
      <c r="C190" s="58"/>
      <c r="D190" s="59"/>
      <c r="E190" s="59"/>
      <c r="F190" s="57"/>
      <c r="G190" s="110" t="b">
        <f t="shared" si="11"/>
        <v>0</v>
      </c>
      <c r="H190" s="110" t="b">
        <f t="shared" si="12"/>
        <v>0</v>
      </c>
      <c r="I190" s="60"/>
      <c r="J190" s="60"/>
      <c r="K190" s="8">
        <f t="shared" si="13"/>
        <v>0</v>
      </c>
    </row>
    <row r="191" spans="1:11" ht="18" customHeight="1">
      <c r="A191" s="62"/>
      <c r="B191" s="57"/>
      <c r="C191" s="58"/>
      <c r="D191" s="59"/>
      <c r="E191" s="59"/>
      <c r="F191" s="57"/>
      <c r="G191" s="110" t="b">
        <f t="shared" si="11"/>
        <v>0</v>
      </c>
      <c r="H191" s="110" t="b">
        <f t="shared" si="12"/>
        <v>0</v>
      </c>
      <c r="I191" s="60"/>
      <c r="J191" s="60"/>
      <c r="K191" s="8">
        <f t="shared" si="13"/>
        <v>0</v>
      </c>
    </row>
    <row r="192" spans="1:11" ht="18" customHeight="1">
      <c r="A192" s="62"/>
      <c r="B192" s="57"/>
      <c r="C192" s="58"/>
      <c r="D192" s="59"/>
      <c r="E192" s="59"/>
      <c r="F192" s="57"/>
      <c r="G192" s="110" t="b">
        <f t="shared" si="11"/>
        <v>0</v>
      </c>
      <c r="H192" s="110" t="b">
        <f t="shared" si="12"/>
        <v>0</v>
      </c>
      <c r="I192" s="60"/>
      <c r="J192" s="60"/>
      <c r="K192" s="8">
        <f t="shared" si="13"/>
        <v>0</v>
      </c>
    </row>
    <row r="193" spans="1:11" ht="18" customHeight="1">
      <c r="A193" s="62"/>
      <c r="B193" s="57"/>
      <c r="C193" s="58"/>
      <c r="D193" s="59"/>
      <c r="E193" s="59"/>
      <c r="F193" s="57"/>
      <c r="G193" s="110" t="b">
        <f t="shared" si="11"/>
        <v>0</v>
      </c>
      <c r="H193" s="110" t="b">
        <f t="shared" si="12"/>
        <v>0</v>
      </c>
      <c r="I193" s="60"/>
      <c r="J193" s="60"/>
      <c r="K193" s="8">
        <f t="shared" si="13"/>
        <v>0</v>
      </c>
    </row>
    <row r="194" spans="1:11" ht="18" customHeight="1">
      <c r="A194" s="62"/>
      <c r="B194" s="57"/>
      <c r="C194" s="58"/>
      <c r="D194" s="59"/>
      <c r="E194" s="59"/>
      <c r="F194" s="57"/>
      <c r="G194" s="110" t="b">
        <f t="shared" si="11"/>
        <v>0</v>
      </c>
      <c r="H194" s="110" t="b">
        <f t="shared" si="12"/>
        <v>0</v>
      </c>
      <c r="I194" s="60"/>
      <c r="J194" s="60"/>
      <c r="K194" s="8">
        <f t="shared" si="13"/>
        <v>0</v>
      </c>
    </row>
    <row r="195" spans="1:11" ht="18" customHeight="1">
      <c r="A195" s="62"/>
      <c r="B195" s="57"/>
      <c r="C195" s="58"/>
      <c r="D195" s="59"/>
      <c r="E195" s="59"/>
      <c r="F195" s="57"/>
      <c r="G195" s="110" t="b">
        <f t="shared" si="11"/>
        <v>0</v>
      </c>
      <c r="H195" s="110" t="b">
        <f t="shared" si="12"/>
        <v>0</v>
      </c>
      <c r="I195" s="60"/>
      <c r="J195" s="60"/>
      <c r="K195" s="8">
        <f t="shared" si="13"/>
        <v>0</v>
      </c>
    </row>
    <row r="196" spans="1:11" ht="18" customHeight="1">
      <c r="A196" s="62"/>
      <c r="B196" s="57"/>
      <c r="C196" s="58"/>
      <c r="D196" s="59"/>
      <c r="E196" s="59"/>
      <c r="F196" s="57"/>
      <c r="G196" s="110" t="b">
        <f t="shared" si="11"/>
        <v>0</v>
      </c>
      <c r="H196" s="110" t="b">
        <f t="shared" si="12"/>
        <v>0</v>
      </c>
      <c r="I196" s="60"/>
      <c r="J196" s="60"/>
      <c r="K196" s="8">
        <f t="shared" si="13"/>
        <v>0</v>
      </c>
    </row>
    <row r="197" spans="1:11" ht="18" customHeight="1">
      <c r="A197" s="62"/>
      <c r="B197" s="57"/>
      <c r="C197" s="58"/>
      <c r="D197" s="59"/>
      <c r="E197" s="59"/>
      <c r="F197" s="57"/>
      <c r="G197" s="110" t="b">
        <f t="shared" si="11"/>
        <v>0</v>
      </c>
      <c r="H197" s="110" t="b">
        <f t="shared" si="12"/>
        <v>0</v>
      </c>
      <c r="I197" s="60"/>
      <c r="J197" s="60"/>
      <c r="K197" s="8">
        <f t="shared" si="13"/>
        <v>0</v>
      </c>
    </row>
    <row r="198" spans="1:11" ht="18" customHeight="1">
      <c r="A198" s="56"/>
      <c r="B198" s="61"/>
      <c r="C198" s="62"/>
      <c r="D198" s="59"/>
      <c r="E198" s="59"/>
      <c r="F198" s="57"/>
      <c r="G198" s="110" t="b">
        <f t="shared" si="11"/>
        <v>0</v>
      </c>
      <c r="H198" s="110" t="b">
        <f t="shared" si="12"/>
        <v>0</v>
      </c>
      <c r="I198" s="60"/>
      <c r="J198" s="60"/>
      <c r="K198" s="8">
        <f t="shared" si="13"/>
        <v>0</v>
      </c>
    </row>
    <row r="199" spans="1:11" ht="18" customHeight="1">
      <c r="A199" s="56"/>
      <c r="B199" s="61"/>
      <c r="C199" s="62"/>
      <c r="D199" s="59"/>
      <c r="E199" s="59"/>
      <c r="F199" s="57"/>
      <c r="G199" s="110" t="b">
        <f t="shared" si="11"/>
        <v>0</v>
      </c>
      <c r="H199" s="110" t="b">
        <f t="shared" si="12"/>
        <v>0</v>
      </c>
      <c r="I199" s="60"/>
      <c r="J199" s="60"/>
      <c r="K199" s="8">
        <f t="shared" si="13"/>
        <v>0</v>
      </c>
    </row>
    <row r="200" spans="1:11" ht="18" customHeight="1">
      <c r="A200" s="56"/>
      <c r="B200" s="61"/>
      <c r="C200" s="62"/>
      <c r="D200" s="59"/>
      <c r="E200" s="59"/>
      <c r="F200" s="57"/>
      <c r="G200" s="110" t="b">
        <f t="shared" si="11"/>
        <v>0</v>
      </c>
      <c r="H200" s="110" t="b">
        <f t="shared" si="12"/>
        <v>0</v>
      </c>
      <c r="I200" s="60"/>
      <c r="J200" s="60"/>
      <c r="K200" s="8">
        <f t="shared" si="13"/>
        <v>0</v>
      </c>
    </row>
    <row r="201" spans="1:11" ht="18" customHeight="1">
      <c r="A201" s="56"/>
      <c r="B201" s="61"/>
      <c r="C201" s="62"/>
      <c r="D201" s="59"/>
      <c r="E201" s="59"/>
      <c r="F201" s="57"/>
      <c r="G201" s="110" t="b">
        <f t="shared" si="11"/>
        <v>0</v>
      </c>
      <c r="H201" s="110" t="b">
        <f t="shared" si="12"/>
        <v>0</v>
      </c>
      <c r="I201" s="60"/>
      <c r="J201" s="60"/>
      <c r="K201" s="8">
        <f t="shared" si="13"/>
        <v>0</v>
      </c>
    </row>
    <row r="202" spans="1:11" ht="18" customHeight="1">
      <c r="A202" s="56"/>
      <c r="B202" s="61"/>
      <c r="C202" s="62"/>
      <c r="D202" s="59"/>
      <c r="E202" s="59"/>
      <c r="F202" s="57"/>
      <c r="G202" s="110" t="b">
        <f t="shared" si="11"/>
        <v>0</v>
      </c>
      <c r="H202" s="110" t="b">
        <f t="shared" si="12"/>
        <v>0</v>
      </c>
      <c r="I202" s="60"/>
      <c r="J202" s="60"/>
      <c r="K202" s="8">
        <f t="shared" si="13"/>
        <v>0</v>
      </c>
    </row>
    <row r="203" spans="1:11" ht="18" customHeight="1">
      <c r="A203" s="63"/>
      <c r="B203" s="64"/>
      <c r="C203" s="62"/>
      <c r="D203" s="59"/>
      <c r="E203" s="66"/>
      <c r="F203" s="67"/>
      <c r="G203" s="110" t="b">
        <f t="shared" si="11"/>
        <v>0</v>
      </c>
      <c r="H203" s="110" t="b">
        <f t="shared" si="12"/>
        <v>0</v>
      </c>
      <c r="I203" s="68"/>
      <c r="J203" s="68"/>
      <c r="K203" s="8">
        <f t="shared" si="13"/>
        <v>0</v>
      </c>
    </row>
    <row r="204" spans="1:11" ht="18" customHeight="1">
      <c r="A204" s="63"/>
      <c r="B204" s="64"/>
      <c r="C204" s="62"/>
      <c r="D204" s="59"/>
      <c r="E204" s="66"/>
      <c r="F204" s="67"/>
      <c r="G204" s="110" t="b">
        <f t="shared" si="11"/>
        <v>0</v>
      </c>
      <c r="H204" s="110" t="b">
        <f t="shared" si="12"/>
        <v>0</v>
      </c>
      <c r="I204" s="68"/>
      <c r="J204" s="68"/>
      <c r="K204" s="8">
        <f t="shared" si="13"/>
        <v>0</v>
      </c>
    </row>
    <row r="205" spans="1:11" ht="18" customHeight="1">
      <c r="A205" s="56"/>
      <c r="B205" s="61"/>
      <c r="C205" s="62"/>
      <c r="D205" s="59"/>
      <c r="E205" s="59"/>
      <c r="F205" s="57"/>
      <c r="G205" s="110" t="b">
        <f t="shared" si="11"/>
        <v>0</v>
      </c>
      <c r="H205" s="110" t="b">
        <f t="shared" si="12"/>
        <v>0</v>
      </c>
      <c r="I205" s="60"/>
      <c r="J205" s="60"/>
      <c r="K205" s="8">
        <f t="shared" si="13"/>
        <v>0</v>
      </c>
    </row>
    <row r="206" spans="1:11" ht="18" customHeight="1">
      <c r="A206" s="63"/>
      <c r="B206" s="64"/>
      <c r="C206" s="62"/>
      <c r="D206" s="59"/>
      <c r="E206" s="66"/>
      <c r="F206" s="67"/>
      <c r="G206" s="110" t="b">
        <f t="shared" si="11"/>
        <v>0</v>
      </c>
      <c r="H206" s="110" t="b">
        <f t="shared" si="12"/>
        <v>0</v>
      </c>
      <c r="I206" s="68"/>
      <c r="J206" s="68"/>
      <c r="K206" s="8">
        <f t="shared" si="13"/>
        <v>0</v>
      </c>
    </row>
    <row r="207" spans="1:11" ht="18" customHeight="1">
      <c r="A207" s="63"/>
      <c r="B207" s="64"/>
      <c r="C207" s="62"/>
      <c r="D207" s="59"/>
      <c r="E207" s="66"/>
      <c r="F207" s="67"/>
      <c r="G207" s="110" t="b">
        <f t="shared" si="11"/>
        <v>0</v>
      </c>
      <c r="H207" s="110" t="b">
        <f t="shared" si="12"/>
        <v>0</v>
      </c>
      <c r="I207" s="68"/>
      <c r="J207" s="68"/>
      <c r="K207" s="8">
        <f t="shared" si="13"/>
        <v>0</v>
      </c>
    </row>
    <row r="208" spans="1:11" ht="18" customHeight="1">
      <c r="A208" s="63"/>
      <c r="B208" s="64"/>
      <c r="C208" s="62"/>
      <c r="D208" s="59"/>
      <c r="E208" s="66"/>
      <c r="F208" s="67"/>
      <c r="G208" s="110" t="b">
        <f t="shared" si="11"/>
        <v>0</v>
      </c>
      <c r="H208" s="110" t="b">
        <f t="shared" si="12"/>
        <v>0</v>
      </c>
      <c r="I208" s="68"/>
      <c r="J208" s="68"/>
      <c r="K208" s="8">
        <f t="shared" si="13"/>
        <v>0</v>
      </c>
    </row>
    <row r="209" spans="1:11" ht="18" customHeight="1">
      <c r="A209" s="63"/>
      <c r="B209" s="64"/>
      <c r="C209" s="62"/>
      <c r="D209" s="59"/>
      <c r="E209" s="66"/>
      <c r="F209" s="67"/>
      <c r="G209" s="110" t="b">
        <f t="shared" si="11"/>
        <v>0</v>
      </c>
      <c r="H209" s="110" t="b">
        <f t="shared" si="12"/>
        <v>0</v>
      </c>
      <c r="I209" s="68"/>
      <c r="J209" s="68"/>
      <c r="K209" s="8">
        <f t="shared" si="13"/>
        <v>0</v>
      </c>
    </row>
    <row r="210" spans="1:11" ht="18" customHeight="1">
      <c r="A210" s="63"/>
      <c r="B210" s="64"/>
      <c r="C210" s="65"/>
      <c r="D210" s="69"/>
      <c r="E210" s="66"/>
      <c r="F210" s="67"/>
      <c r="G210" s="110" t="b">
        <f t="shared" si="11"/>
        <v>0</v>
      </c>
      <c r="H210" s="110" t="b">
        <f t="shared" si="12"/>
        <v>0</v>
      </c>
      <c r="I210" s="68"/>
      <c r="J210" s="68"/>
      <c r="K210" s="8">
        <f t="shared" si="13"/>
        <v>0</v>
      </c>
    </row>
    <row r="211" spans="1:11" ht="18" customHeight="1">
      <c r="A211" s="63"/>
      <c r="B211" s="64"/>
      <c r="C211" s="65"/>
      <c r="D211" s="69"/>
      <c r="E211" s="66"/>
      <c r="F211" s="67"/>
      <c r="G211" s="110" t="b">
        <f t="shared" si="11"/>
        <v>0</v>
      </c>
      <c r="H211" s="110" t="b">
        <f t="shared" si="12"/>
        <v>0</v>
      </c>
      <c r="I211" s="68"/>
      <c r="J211" s="68"/>
      <c r="K211" s="8">
        <f t="shared" si="13"/>
        <v>0</v>
      </c>
    </row>
    <row r="212" spans="1:11" ht="18" customHeight="1">
      <c r="A212" s="63"/>
      <c r="B212" s="64"/>
      <c r="C212" s="65"/>
      <c r="D212" s="59"/>
      <c r="E212" s="66"/>
      <c r="F212" s="67"/>
      <c r="G212" s="110" t="b">
        <f t="shared" si="11"/>
        <v>0</v>
      </c>
      <c r="H212" s="110" t="b">
        <f t="shared" si="12"/>
        <v>0</v>
      </c>
      <c r="I212" s="68"/>
      <c r="J212" s="68"/>
      <c r="K212" s="8">
        <f t="shared" si="13"/>
        <v>0</v>
      </c>
    </row>
    <row r="213" spans="1:11" ht="18" customHeight="1">
      <c r="A213" s="63"/>
      <c r="B213" s="64"/>
      <c r="C213" s="65"/>
      <c r="D213" s="59"/>
      <c r="E213" s="66"/>
      <c r="F213" s="67"/>
      <c r="G213" s="110" t="b">
        <f t="shared" si="11"/>
        <v>0</v>
      </c>
      <c r="H213" s="110" t="b">
        <f t="shared" si="12"/>
        <v>0</v>
      </c>
      <c r="I213" s="68"/>
      <c r="J213" s="68"/>
      <c r="K213" s="8">
        <f t="shared" si="13"/>
        <v>0</v>
      </c>
    </row>
    <row r="214" spans="1:11" ht="18" customHeight="1">
      <c r="A214" s="63"/>
      <c r="B214" s="64"/>
      <c r="C214" s="65"/>
      <c r="D214" s="59"/>
      <c r="E214" s="66"/>
      <c r="F214" s="67"/>
      <c r="G214" s="110" t="b">
        <f t="shared" si="11"/>
        <v>0</v>
      </c>
      <c r="H214" s="110" t="b">
        <f t="shared" si="12"/>
        <v>0</v>
      </c>
      <c r="I214" s="68"/>
      <c r="J214" s="68"/>
      <c r="K214" s="8">
        <f t="shared" si="13"/>
        <v>0</v>
      </c>
    </row>
    <row r="215" spans="1:11" ht="18" customHeight="1">
      <c r="A215" s="56"/>
      <c r="B215" s="61"/>
      <c r="C215" s="65"/>
      <c r="D215" s="59"/>
      <c r="E215" s="66"/>
      <c r="F215" s="67"/>
      <c r="G215" s="110" t="b">
        <f t="shared" si="11"/>
        <v>0</v>
      </c>
      <c r="H215" s="110" t="b">
        <f t="shared" si="12"/>
        <v>0</v>
      </c>
      <c r="I215" s="68"/>
      <c r="J215" s="68"/>
      <c r="K215" s="8">
        <f t="shared" si="13"/>
        <v>0</v>
      </c>
    </row>
    <row r="216" spans="1:11" ht="18" customHeight="1">
      <c r="A216" s="56"/>
      <c r="B216" s="61"/>
      <c r="C216" s="62"/>
      <c r="D216" s="59"/>
      <c r="E216" s="66"/>
      <c r="F216" s="66"/>
      <c r="G216" s="110" t="b">
        <f t="shared" si="11"/>
        <v>0</v>
      </c>
      <c r="H216" s="110" t="b">
        <f t="shared" si="12"/>
        <v>0</v>
      </c>
      <c r="I216" s="68"/>
      <c r="J216" s="68"/>
      <c r="K216" s="8">
        <f t="shared" si="13"/>
        <v>0</v>
      </c>
    </row>
    <row r="217" spans="1:11" ht="18" customHeight="1">
      <c r="A217" s="56"/>
      <c r="B217" s="61"/>
      <c r="C217" s="62"/>
      <c r="D217" s="59"/>
      <c r="E217" s="66"/>
      <c r="F217" s="66"/>
      <c r="G217" s="110" t="b">
        <f t="shared" si="11"/>
        <v>0</v>
      </c>
      <c r="H217" s="110" t="b">
        <f t="shared" si="12"/>
        <v>0</v>
      </c>
      <c r="I217" s="68"/>
      <c r="J217" s="68"/>
      <c r="K217" s="8">
        <f t="shared" si="13"/>
        <v>0</v>
      </c>
    </row>
    <row r="218" spans="1:11" ht="18" customHeight="1">
      <c r="A218" s="56"/>
      <c r="B218" s="61"/>
      <c r="C218" s="62"/>
      <c r="D218" s="59"/>
      <c r="E218" s="66"/>
      <c r="F218" s="66"/>
      <c r="G218" s="110" t="b">
        <f t="shared" si="11"/>
        <v>0</v>
      </c>
      <c r="H218" s="110" t="b">
        <f t="shared" si="12"/>
        <v>0</v>
      </c>
      <c r="I218" s="68"/>
      <c r="J218" s="80"/>
      <c r="K218" s="8">
        <f t="shared" si="13"/>
        <v>0</v>
      </c>
    </row>
    <row r="219" spans="1:11" ht="18" customHeight="1">
      <c r="A219" s="56"/>
      <c r="B219" s="61"/>
      <c r="C219" s="62"/>
      <c r="D219" s="59"/>
      <c r="E219" s="66"/>
      <c r="F219" s="66"/>
      <c r="G219" s="110" t="b">
        <f t="shared" si="11"/>
        <v>0</v>
      </c>
      <c r="H219" s="110" t="b">
        <f t="shared" si="12"/>
        <v>0</v>
      </c>
      <c r="I219" s="68"/>
      <c r="J219" s="80"/>
      <c r="K219" s="8">
        <f t="shared" si="13"/>
        <v>0</v>
      </c>
    </row>
    <row r="220" spans="1:11" ht="18" customHeight="1">
      <c r="A220" s="56"/>
      <c r="B220" s="61"/>
      <c r="C220" s="62"/>
      <c r="D220" s="59"/>
      <c r="E220" s="66"/>
      <c r="F220" s="66"/>
      <c r="G220" s="110" t="b">
        <f t="shared" si="11"/>
        <v>0</v>
      </c>
      <c r="H220" s="110" t="b">
        <f>IF(ISTEXT(B220),IF(ISTEXT(F220),CONCATENATE(B220,"-",F220)))</f>
        <v>0</v>
      </c>
      <c r="I220" s="68"/>
      <c r="J220" s="80"/>
      <c r="K220" s="8">
        <f t="shared" si="13"/>
        <v>0</v>
      </c>
    </row>
    <row r="221" spans="1:11" ht="18" customHeight="1">
      <c r="A221" s="56"/>
      <c r="B221" s="61"/>
      <c r="C221" s="62"/>
      <c r="D221" s="59"/>
      <c r="E221" s="66"/>
      <c r="F221" s="66"/>
      <c r="G221" s="110" t="b">
        <f t="shared" si="11"/>
        <v>0</v>
      </c>
      <c r="H221" s="110" t="b">
        <f t="shared" si="12"/>
        <v>0</v>
      </c>
      <c r="I221" s="68"/>
      <c r="J221" s="80"/>
      <c r="K221" s="8">
        <f t="shared" si="13"/>
        <v>0</v>
      </c>
    </row>
    <row r="222" spans="1:11" ht="18" customHeight="1">
      <c r="A222" s="56"/>
      <c r="B222" s="61"/>
      <c r="C222" s="62"/>
      <c r="D222" s="59"/>
      <c r="E222" s="66"/>
      <c r="F222" s="66"/>
      <c r="G222" s="110" t="b">
        <f t="shared" si="11"/>
        <v>0</v>
      </c>
      <c r="H222" s="110" t="b">
        <f t="shared" si="12"/>
        <v>0</v>
      </c>
      <c r="I222" s="68"/>
      <c r="J222" s="80"/>
      <c r="K222" s="8">
        <f t="shared" si="13"/>
        <v>0</v>
      </c>
    </row>
    <row r="223" spans="1:11" ht="18" customHeight="1">
      <c r="A223" s="63"/>
      <c r="B223" s="64"/>
      <c r="C223" s="65"/>
      <c r="D223" s="59"/>
      <c r="E223" s="66"/>
      <c r="F223" s="66"/>
      <c r="G223" s="110" t="b">
        <f t="shared" si="11"/>
        <v>0</v>
      </c>
      <c r="H223" s="110" t="b">
        <f t="shared" si="12"/>
        <v>0</v>
      </c>
      <c r="I223" s="68"/>
      <c r="J223" s="80"/>
      <c r="K223" s="8">
        <f t="shared" si="13"/>
        <v>0</v>
      </c>
    </row>
    <row r="224" spans="1:11" ht="18" customHeight="1">
      <c r="A224" s="63"/>
      <c r="B224" s="64"/>
      <c r="C224" s="65"/>
      <c r="D224" s="59"/>
      <c r="E224" s="66"/>
      <c r="F224" s="66"/>
      <c r="G224" s="110" t="b">
        <f t="shared" si="11"/>
        <v>0</v>
      </c>
      <c r="H224" s="110" t="b">
        <f t="shared" si="12"/>
        <v>0</v>
      </c>
      <c r="I224" s="68"/>
      <c r="J224" s="80"/>
      <c r="K224" s="8">
        <f t="shared" si="13"/>
        <v>0</v>
      </c>
    </row>
    <row r="225" spans="1:11" ht="18" customHeight="1">
      <c r="A225" s="63"/>
      <c r="B225" s="64"/>
      <c r="C225" s="65"/>
      <c r="D225" s="59"/>
      <c r="E225" s="66"/>
      <c r="F225" s="66"/>
      <c r="G225" s="110" t="b">
        <f t="shared" si="11"/>
        <v>0</v>
      </c>
      <c r="H225" s="110" t="b">
        <f t="shared" si="12"/>
        <v>0</v>
      </c>
      <c r="I225" s="68"/>
      <c r="J225" s="80"/>
      <c r="K225" s="8">
        <f t="shared" si="13"/>
        <v>0</v>
      </c>
    </row>
    <row r="226" spans="1:11" ht="18" customHeight="1">
      <c r="A226" s="63"/>
      <c r="B226" s="64"/>
      <c r="C226" s="65"/>
      <c r="D226" s="59"/>
      <c r="E226" s="66"/>
      <c r="F226" s="66"/>
      <c r="G226" s="110" t="b">
        <f t="shared" si="11"/>
        <v>0</v>
      </c>
      <c r="H226" s="110" t="b">
        <f t="shared" si="12"/>
        <v>0</v>
      </c>
      <c r="I226" s="68"/>
      <c r="J226" s="80"/>
      <c r="K226" s="8">
        <f t="shared" si="13"/>
        <v>0</v>
      </c>
    </row>
    <row r="227" spans="1:11" ht="18" customHeight="1">
      <c r="A227" s="63"/>
      <c r="B227" s="64"/>
      <c r="C227" s="65"/>
      <c r="D227" s="59"/>
      <c r="E227" s="66"/>
      <c r="F227" s="66"/>
      <c r="G227" s="110" t="b">
        <f t="shared" si="11"/>
        <v>0</v>
      </c>
      <c r="H227" s="110" t="b">
        <f t="shared" si="12"/>
        <v>0</v>
      </c>
      <c r="I227" s="68"/>
      <c r="J227" s="80"/>
      <c r="K227" s="8">
        <f t="shared" si="13"/>
        <v>0</v>
      </c>
    </row>
    <row r="228" spans="1:11" ht="18" customHeight="1">
      <c r="A228" s="63"/>
      <c r="B228" s="64"/>
      <c r="C228" s="65"/>
      <c r="D228" s="59"/>
      <c r="E228" s="66"/>
      <c r="F228" s="66"/>
      <c r="G228" s="110" t="b">
        <f t="shared" si="11"/>
        <v>0</v>
      </c>
      <c r="H228" s="110" t="b">
        <f t="shared" si="12"/>
        <v>0</v>
      </c>
      <c r="I228" s="68"/>
      <c r="J228" s="80"/>
      <c r="K228" s="8">
        <f t="shared" si="13"/>
        <v>0</v>
      </c>
    </row>
    <row r="229" spans="1:11" ht="18" customHeight="1">
      <c r="A229" s="333" t="s">
        <v>43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28">
        <f>SUM(K8:K228)</f>
        <v>267.26569239999998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K2"/>
    <mergeCell ref="A3:K3"/>
    <mergeCell ref="A4:K4"/>
    <mergeCell ref="A229:J229"/>
  </mergeCells>
  <conditionalFormatting sqref="K8:K45 K186:K228">
    <cfRule type="cellIs" dxfId="23" priority="6" operator="equal">
      <formula>0</formula>
    </cfRule>
  </conditionalFormatting>
  <conditionalFormatting sqref="K229">
    <cfRule type="cellIs" dxfId="22" priority="3" operator="equal">
      <formula>0</formula>
    </cfRule>
    <cfRule type="cellIs" dxfId="21" priority="4" operator="equal">
      <formula>0</formula>
    </cfRule>
    <cfRule type="cellIs" priority="5" operator="equal">
      <formula>0</formula>
    </cfRule>
  </conditionalFormatting>
  <conditionalFormatting sqref="K48:K90">
    <cfRule type="cellIs" dxfId="20" priority="2" operator="equal">
      <formula>0</formula>
    </cfRule>
  </conditionalFormatting>
  <conditionalFormatting sqref="K94:K136">
    <cfRule type="cellIs" dxfId="19" priority="1" operator="equal">
      <formula>0</formula>
    </cfRule>
  </conditionalFormatting>
  <dataValidations count="2">
    <dataValidation type="list" allowBlank="1" showInputMessage="1" showErrorMessage="1" errorTitle="DONNEES NON VALIDES" error="Veuillez choisir un element de la liste deroulante" sqref="C186:C228 C48:C90 C94:C136 C140:C182 C8:C44">
      <formula1>MagasinPam</formula1>
    </dataValidation>
    <dataValidation type="list" showInputMessage="1" showErrorMessage="1" errorTitle="DONNEES NON VALIDES" error="Veuillez choisir un element de la liste deroulante" sqref="F8:F45 F186:F228 F48:F90 F94:F136">
      <formula1>ListeDenrees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portrait" r:id="rId1"/>
  <headerFooter>
    <oddFooter>&amp;L&amp;"+,Normal"&amp;9&amp;D&amp;C&amp;"+,Normal"&amp;9Etat des enlèvements Yopougon&amp;R&amp;"+,Normal"&amp;9&amp;P/&amp;N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V30"/>
  <sheetViews>
    <sheetView workbookViewId="0">
      <selection activeCell="D11" sqref="D11"/>
    </sheetView>
  </sheetViews>
  <sheetFormatPr baseColWidth="10" defaultRowHeight="14.25"/>
  <cols>
    <col min="1" max="1" width="6" style="1" customWidth="1"/>
    <col min="2" max="2" width="15" style="1" customWidth="1"/>
    <col min="3" max="3" width="13.5703125" style="1" customWidth="1"/>
    <col min="4" max="21" width="9.7109375" style="1" customWidth="1"/>
    <col min="22" max="16384" width="11.42578125" style="1"/>
  </cols>
  <sheetData>
    <row r="1" spans="1:22">
      <c r="A1" s="48" t="s">
        <v>10</v>
      </c>
      <c r="B1" s="49"/>
      <c r="C1" s="49"/>
      <c r="D1" s="49"/>
      <c r="E1" s="50"/>
      <c r="F1" s="50"/>
      <c r="G1" s="49"/>
      <c r="H1" s="49"/>
      <c r="I1" s="50"/>
      <c r="J1" s="50"/>
      <c r="K1" s="49"/>
      <c r="L1" s="49"/>
      <c r="M1" s="49"/>
      <c r="N1" s="49"/>
      <c r="O1" s="49"/>
      <c r="P1" s="49"/>
      <c r="Q1" s="49"/>
      <c r="R1" s="49"/>
      <c r="S1" s="50" t="s">
        <v>11</v>
      </c>
      <c r="T1" s="50"/>
      <c r="U1" s="49"/>
    </row>
    <row r="2" spans="1:22">
      <c r="A2" s="51" t="s">
        <v>12</v>
      </c>
      <c r="B2" s="49"/>
      <c r="C2" s="49"/>
      <c r="D2" s="49"/>
      <c r="E2" s="50"/>
      <c r="F2" s="50"/>
      <c r="G2" s="49"/>
      <c r="H2" s="49"/>
      <c r="I2" s="50"/>
      <c r="J2" s="50"/>
      <c r="K2" s="49"/>
      <c r="L2" s="49"/>
      <c r="M2" s="49"/>
      <c r="N2" s="49"/>
      <c r="O2" s="49"/>
      <c r="P2" s="49"/>
      <c r="Q2" s="49"/>
      <c r="R2" s="49"/>
      <c r="S2" s="50" t="s">
        <v>13</v>
      </c>
      <c r="T2" s="50"/>
      <c r="U2" s="49"/>
    </row>
    <row r="3" spans="1:22">
      <c r="A3" s="51" t="s">
        <v>14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2">
      <c r="A4" s="51" t="s">
        <v>15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2" ht="22.5" customHeight="1">
      <c r="A5" s="335" t="s">
        <v>48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</row>
    <row r="6" spans="1:22" ht="21.75" customHeight="1">
      <c r="A6" s="335" t="s">
        <v>92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</row>
    <row r="7" spans="1:22" ht="15" customHeight="1">
      <c r="A7" s="4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2" ht="18.75" customHeight="1">
      <c r="A8" s="336" t="s">
        <v>22</v>
      </c>
      <c r="B8" s="336" t="s">
        <v>23</v>
      </c>
      <c r="C8" s="338" t="s">
        <v>24</v>
      </c>
      <c r="D8" s="340" t="s">
        <v>45</v>
      </c>
      <c r="E8" s="341"/>
      <c r="F8" s="341"/>
      <c r="G8" s="341"/>
      <c r="H8" s="341"/>
      <c r="I8" s="342"/>
      <c r="J8" s="340" t="s">
        <v>46</v>
      </c>
      <c r="K8" s="341"/>
      <c r="L8" s="341"/>
      <c r="M8" s="341"/>
      <c r="N8" s="341"/>
      <c r="O8" s="342"/>
      <c r="P8" s="340" t="s">
        <v>44</v>
      </c>
      <c r="Q8" s="341"/>
      <c r="R8" s="341"/>
      <c r="S8" s="341"/>
      <c r="T8" s="341"/>
      <c r="U8" s="342"/>
    </row>
    <row r="9" spans="1:22" ht="14.25" customHeight="1">
      <c r="A9" s="337"/>
      <c r="B9" s="337"/>
      <c r="C9" s="339"/>
      <c r="D9" s="52" t="s">
        <v>17</v>
      </c>
      <c r="E9" s="52" t="s">
        <v>18</v>
      </c>
      <c r="F9" s="52" t="s">
        <v>19</v>
      </c>
      <c r="G9" s="52" t="s">
        <v>20</v>
      </c>
      <c r="H9" s="52" t="s">
        <v>74</v>
      </c>
      <c r="I9" s="53" t="s">
        <v>30</v>
      </c>
      <c r="J9" s="52" t="s">
        <v>17</v>
      </c>
      <c r="K9" s="52" t="s">
        <v>18</v>
      </c>
      <c r="L9" s="52" t="s">
        <v>19</v>
      </c>
      <c r="M9" s="52" t="s">
        <v>20</v>
      </c>
      <c r="N9" s="52" t="s">
        <v>74</v>
      </c>
      <c r="O9" s="53" t="s">
        <v>30</v>
      </c>
      <c r="P9" s="52" t="s">
        <v>17</v>
      </c>
      <c r="Q9" s="52" t="s">
        <v>18</v>
      </c>
      <c r="R9" s="52" t="s">
        <v>19</v>
      </c>
      <c r="S9" s="52" t="s">
        <v>20</v>
      </c>
      <c r="T9" s="52" t="s">
        <v>74</v>
      </c>
      <c r="U9" s="53" t="s">
        <v>30</v>
      </c>
    </row>
    <row r="10" spans="1:22" ht="18" customHeight="1">
      <c r="A10" s="52">
        <v>1</v>
      </c>
      <c r="B10" s="343" t="s">
        <v>0</v>
      </c>
      <c r="C10" s="54" t="s">
        <v>31</v>
      </c>
      <c r="D10" s="3"/>
      <c r="E10" s="3"/>
      <c r="F10" s="3"/>
      <c r="G10" s="3"/>
      <c r="H10" s="3"/>
      <c r="I10" s="4">
        <f>SUM(D10:H10)</f>
        <v>0</v>
      </c>
      <c r="J10" s="3">
        <f>SUMIF(Enlevements_ONUCI_WH!$G$8:'Enlevements_ONUCI_WH'!$G$228,"Bondoukou-Riz",Enlevements_ONUCI_WH!$K$8:'Enlevements_ONUCI_WH'!$K$228)+SUMIF(Enlevements_PORT!$G$8:'Enlevements_PORT'!$G$228,"Bondoukou-Riz",Enlevements_PORT!$K$8:'Enlevements_PORT'!$K$228)</f>
        <v>161.01499000000001</v>
      </c>
      <c r="K10" s="3">
        <f>SUMIF(Enlevements_ONUCI_WH!$G$8:'Enlevements_ONUCI_WH'!$G$228,"Bondoukou-Huile",Enlevements_ONUCI_WH!$K$8:'Enlevements_ONUCI_WH'!$K$228)+SUMIF(Enlevements_PORT!$G$8:'Enlevements_PORT'!$G$228,"Bondoukou-Huile",Enlevements_PORT!$K$8:'Enlevements_PORT'!$K$228)</f>
        <v>8.2649840000000001</v>
      </c>
      <c r="L10" s="3">
        <f>SUMIF(Enlevements_ONUCI_WH!$G$8:'Enlevements_ONUCI_WH'!$G$228,"Bondoukou-Pois_cassé",Enlevements_ONUCI_WH!$K$8:'Enlevements_ONUCI_WH'!$K$228)+SUMIF(Enlevements_PORT!$G$8:'Enlevements_PORT'!$G$228,"Bondoukou-Pois_cassé",Enlevements_PORT!$K$8:'Enlevements_PORT'!$K$228)</f>
        <v>28.983000000000001</v>
      </c>
      <c r="M10" s="3">
        <f>SUMIF(Enlevements_ONUCI_WH!$G$8:'Enlevements_ONUCI_WH'!$G$228,"Bondoukou-Sel",Enlevements_ONUCI_WH!$K$8:'Enlevements_ONUCI_WH'!$K$228)+SUMIF(Enlevements_PORT!$G$8:'Enlevements_PORT'!$G$228,"Bondoukou-Sel",Enlevements_PORT!$K$8:'Enlevements_PORT'!$K$228)</f>
        <v>3.2200000000000006</v>
      </c>
      <c r="N10" s="3">
        <f>SUMIF(Enlevements_ONUCI_WH!$G$8:'Enlevements_ONUCI_WH'!$G$228,"Bondoukou-Datte",Enlevements_ONUCI_WH!$K$8:'Enlevements_ONUCI_WH'!$K$228)+SUMIF(Enlevements_PORT!$G$8:'Enlevements_PORT'!$G$228,"Bondoukou-Datte",Enlevements_PORT!$K$8:'Enlevements_PORT'!$K$228)</f>
        <v>60.641999999999996</v>
      </c>
      <c r="O10" s="4">
        <f>SUM(J10:N10)</f>
        <v>262.12497400000001</v>
      </c>
      <c r="P10" s="3">
        <f>D10-J10</f>
        <v>-161.01499000000001</v>
      </c>
      <c r="Q10" s="3">
        <f>E10-K10</f>
        <v>-8.2649840000000001</v>
      </c>
      <c r="R10" s="3">
        <f>F10-L10</f>
        <v>-28.983000000000001</v>
      </c>
      <c r="S10" s="3">
        <f>G10-M10</f>
        <v>-3.2200000000000006</v>
      </c>
      <c r="T10" s="3">
        <f>H10-N10</f>
        <v>-60.641999999999996</v>
      </c>
      <c r="U10" s="3">
        <f>SUM(P10:T10)</f>
        <v>-262.12497400000001</v>
      </c>
    </row>
    <row r="11" spans="1:22" ht="18" customHeight="1">
      <c r="A11" s="52">
        <v>2</v>
      </c>
      <c r="B11" s="344"/>
      <c r="C11" s="55" t="s">
        <v>32</v>
      </c>
      <c r="D11" s="3"/>
      <c r="E11" s="3"/>
      <c r="F11" s="3"/>
      <c r="G11" s="3"/>
      <c r="H11" s="3"/>
      <c r="I11" s="4">
        <f t="shared" ref="I11:I21" si="0">SUM(D11:H11)</f>
        <v>0</v>
      </c>
      <c r="J11" s="3">
        <f>SUMIF(Enlevements_ONUCI_WH!$G$8:'Enlevements_ONUCI_WH'!$G$228,"Tanda-Riz",Enlevements_ONUCI_WH!$K$8:'Enlevements_ONUCI_WH'!$K$228)+SUMIF(Enlevements_PORT!$G$8:'Enlevements_PORT'!$G$228,"Tanda-Riz",Enlevements_PORT!$K$8:'Enlevements_PORT'!$K$228)</f>
        <v>259.58699999999999</v>
      </c>
      <c r="K11" s="3">
        <f>SUMIF(Enlevements_ONUCI_WH!$G$8:'Enlevements_ONUCI_WH'!$G$228,"Tanda-Huile",Enlevements_ONUCI_WH!$K$8:'Enlevements_ONUCI_WH'!$K$228)+SUMIF(Enlevements_PORT!$G$8:'Enlevements_PORT'!$G$228,"Tanda-Huile",Enlevements_PORT!$K$8:'Enlevements_PORT'!$K$228)</f>
        <v>13.324947999999999</v>
      </c>
      <c r="L11" s="3">
        <f>SUMIF(Enlevements_ONUCI_WH!$G$8:'Enlevements_ONUCI_WH'!$G$228,"Tanda-Pois_cassé",Enlevements_ONUCI_WH!$K$8:'Enlevements_ONUCI_WH'!$K$228)+SUMIF(Enlevements_PORT!$G$8:'Enlevements_PORT'!$G$228,"Tanda-Pois_cassé",Enlevements_PORT!$K$8:'Enlevements_PORT'!$K$228)</f>
        <v>46.725999999999999</v>
      </c>
      <c r="M11" s="3">
        <f>SUMIF(Enlevements_ONUCI_WH!$G$8:'Enlevements_ONUCI_WH'!$G$228,"Tanda-Sel",Enlevements_ONUCI_WH!$K$8:'Enlevements_ONUCI_WH'!$K$228)+SUMIF(Enlevements_PORT!$G$8:'Enlevements_PORT'!$G$228,"Tanda-Sel",Enlevements_PORT!$K$8:'Enlevements_PORT'!$K$228)</f>
        <v>5.1920000000000002</v>
      </c>
      <c r="N11" s="3">
        <f>SUMIF(Enlevements_ONUCI_WH!$G$8:'Enlevements_ONUCI_WH'!$G$228,"Tanda-Datte",Enlevements_ONUCI_WH!$K$8:'Enlevements_ONUCI_WH'!$K$228)+SUMIF(Enlevements_PORT!$G$8:'Enlevements_PORT'!$G$228,"Tanda-Datte",Enlevements_PORT!$K$8:'Enlevements_PORT'!$K$228)</f>
        <v>93.356999999999999</v>
      </c>
      <c r="O11" s="4">
        <f>SUM(J11:N11)</f>
        <v>418.18694800000003</v>
      </c>
      <c r="P11" s="3">
        <f t="shared" ref="P11:S13" si="1">D11-J11</f>
        <v>-259.58699999999999</v>
      </c>
      <c r="Q11" s="3">
        <f t="shared" si="1"/>
        <v>-13.324947999999999</v>
      </c>
      <c r="R11" s="3">
        <f t="shared" si="1"/>
        <v>-46.725999999999999</v>
      </c>
      <c r="S11" s="3">
        <f t="shared" si="1"/>
        <v>-5.1920000000000002</v>
      </c>
      <c r="T11" s="3">
        <f t="shared" ref="T11:T21" si="2">H11-N11</f>
        <v>-93.356999999999999</v>
      </c>
      <c r="U11" s="3">
        <f t="shared" ref="U11:U13" si="3">SUM(P11:T11)</f>
        <v>-418.18694800000003</v>
      </c>
    </row>
    <row r="12" spans="1:22" ht="18" customHeight="1">
      <c r="A12" s="52">
        <v>3</v>
      </c>
      <c r="B12" s="343" t="s">
        <v>1</v>
      </c>
      <c r="C12" s="54" t="s">
        <v>33</v>
      </c>
      <c r="D12" s="3"/>
      <c r="E12" s="3"/>
      <c r="F12" s="3"/>
      <c r="G12" s="3"/>
      <c r="H12" s="3"/>
      <c r="I12" s="4">
        <f t="shared" si="0"/>
        <v>0</v>
      </c>
      <c r="J12" s="3">
        <f>SUMIF(Enlevements_ONUCI_WH!$G$8:'Enlevements_ONUCI_WH'!$G$228,"Bouna-Riz",Enlevements_ONUCI_WH!$K$8:'Enlevements_ONUCI_WH'!$K$228)+SUMIF(Enlevements_PORT!$G$8:'Enlevements_PORT'!$G$228,"Bouna-Riz",Enlevements_PORT!$K$8:'Enlevements_PORT'!$K$228)</f>
        <v>69.727999999999994</v>
      </c>
      <c r="K12" s="3">
        <f>SUMIF(Enlevements_ONUCI_WH!$G$8:'Enlevements_ONUCI_WH'!$G$228,"Bouna-Huile",Enlevements_ONUCI_WH!$K$8:'Enlevements_ONUCI_WH'!$K$228)+SUMIF(Enlevements_PORT!$G$8:'Enlevements_PORT'!$G$228,"Bouna-Huile",Enlevements_PORT!$K$8:'Enlevements_PORT'!$K$228)</f>
        <v>3.5789936</v>
      </c>
      <c r="L12" s="3">
        <f>SUMIF(Enlevements_ONUCI_WH!$G$8:'Enlevements_ONUCI_WH'!$G$228,"Bouna-Pois_cassé",Enlevements_ONUCI_WH!$K$8:'Enlevements_ONUCI_WH'!$K$228)+SUMIF(Enlevements_PORT!$G$8:'Enlevements_PORT'!$G$228,"Bouna-Pois_cassé",Enlevements_PORT!$K$8:'Enlevements_PORT'!$K$228)</f>
        <v>12.551</v>
      </c>
      <c r="M12" s="3">
        <f>SUMIF(Enlevements_ONUCI_WH!$G$8:'Enlevements_ONUCI_WH'!$G$228,"Bouna-Sel",Enlevements_ONUCI_WH!$K$8:'Enlevements_ONUCI_WH'!$K$228)+SUMIF(Enlevements_PORT!$G$8:'Enlevements_PORT'!$G$228,"Bouna-Sel",Enlevements_PORT!$K$8:'Enlevements_PORT'!$K$228)</f>
        <v>1.395</v>
      </c>
      <c r="N12" s="3">
        <f>SUMIF(Enlevements_ONUCI_WH!$G$8:'Enlevements_ONUCI_WH'!$G$228,"Bouna-Datte",Enlevements_ONUCI_WH!$K$8:'Enlevements_ONUCI_WH'!$K$228)+SUMIF(Enlevements_PORT!$G$8:'Enlevements_PORT'!$G$228,"Bouna-Datte",Enlevements_PORT!$K$8:'Enlevements_PORT'!$K$228)</f>
        <v>0</v>
      </c>
      <c r="O12" s="4">
        <f t="shared" ref="O12:O13" si="4">SUM(J12:N12)</f>
        <v>87.252993599999996</v>
      </c>
      <c r="P12" s="3">
        <f t="shared" si="1"/>
        <v>-69.727999999999994</v>
      </c>
      <c r="Q12" s="3">
        <f t="shared" si="1"/>
        <v>-3.5789936</v>
      </c>
      <c r="R12" s="3">
        <f t="shared" si="1"/>
        <v>-12.551</v>
      </c>
      <c r="S12" s="3">
        <f t="shared" si="1"/>
        <v>-1.395</v>
      </c>
      <c r="T12" s="3">
        <f t="shared" si="2"/>
        <v>0</v>
      </c>
      <c r="U12" s="3">
        <f t="shared" si="3"/>
        <v>-87.252993599999996</v>
      </c>
    </row>
    <row r="13" spans="1:22" ht="18" customHeight="1">
      <c r="A13" s="52">
        <v>4</v>
      </c>
      <c r="B13" s="344"/>
      <c r="C13" s="54" t="s">
        <v>3</v>
      </c>
      <c r="D13" s="3"/>
      <c r="E13" s="3"/>
      <c r="F13" s="3"/>
      <c r="G13" s="3"/>
      <c r="H13" s="3"/>
      <c r="I13" s="4">
        <f t="shared" si="0"/>
        <v>0</v>
      </c>
      <c r="J13" s="3">
        <f>SUMIF(Enlevements_ONUCI_WH!$G$8:'Enlevements_ONUCI_WH'!$G$228,"Nassian-Riz",Enlevements_ONUCI_WH!$K$8:'Enlevements_ONUCI_WH'!$K$228)+SUMIF(Enlevements_PORT!$G$8:'Enlevements_PORT'!$G$228,"Nassian-Riz",Enlevements_PORT!$K$8:'Enlevements_PORT'!$K$228)</f>
        <v>31.896000000000001</v>
      </c>
      <c r="K13" s="3">
        <f>SUMIF(Enlevements_ONUCI_WH!$G$8:'Enlevements_ONUCI_WH'!$G$228,"Nassian-Huile",Enlevements_ONUCI_WH!$K$8:'Enlevements_ONUCI_WH'!$K$228)+SUMIF(Enlevements_PORT!$G$8:'Enlevements_PORT'!$G$228,"Nassian-Huile",Enlevements_PORT!$K$8:'Enlevements_PORT'!$K$228)</f>
        <v>1.6369989999999999</v>
      </c>
      <c r="L13" s="3">
        <f>SUMIF(Enlevements_ONUCI_WH!$G$8:'Enlevements_ONUCI_WH'!$G$228,"Nassian-Pois_cassé",Enlevements_ONUCI_WH!$K$8:'Enlevements_ONUCI_WH'!$K$228)+SUMIF(Enlevements_PORT!$G$8:'Enlevements_PORT'!$G$228,"Nassian-Pois_cassé",Enlevements_PORT!$K$8:'Enlevements_PORT'!$K$228)</f>
        <v>5.7409999999999997</v>
      </c>
      <c r="M13" s="3">
        <f>SUMIF(Enlevements_ONUCI_WH!$G$8:'Enlevements_ONUCI_WH'!$G$228,"Nassian-Sel",Enlevements_ONUCI_WH!$K$8:'Enlevements_ONUCI_WH'!$K$228)+SUMIF(Enlevements_PORT!$G$8:'Enlevements_PORT'!$G$228,"Nassian-Sel",Enlevements_PORT!$K$8:'Enlevements_PORT'!$K$228)</f>
        <v>0.63800000000000001</v>
      </c>
      <c r="N13" s="3">
        <f>SUMIF(Enlevements_ONUCI_WH!$G$8:'Enlevements_ONUCI_WH'!$G$228,"Nassian-Datte",Enlevements_ONUCI_WH!$K$8:'Enlevements_ONUCI_WH'!$K$228)+SUMIF(Enlevements_PORT!$G$8:'Enlevements_PORT'!$G$228,"Nassian-Datte",Enlevements_PORT!$K$8:'Enlevements_PORT'!$K$228)</f>
        <v>0</v>
      </c>
      <c r="O13" s="4">
        <f t="shared" si="4"/>
        <v>39.911999000000002</v>
      </c>
      <c r="P13" s="3">
        <f t="shared" si="1"/>
        <v>-31.896000000000001</v>
      </c>
      <c r="Q13" s="3">
        <f t="shared" si="1"/>
        <v>-1.6369989999999999</v>
      </c>
      <c r="R13" s="3">
        <f t="shared" si="1"/>
        <v>-5.7409999999999997</v>
      </c>
      <c r="S13" s="3">
        <f t="shared" si="1"/>
        <v>-0.63800000000000001</v>
      </c>
      <c r="T13" s="3">
        <f t="shared" si="2"/>
        <v>0</v>
      </c>
      <c r="U13" s="3">
        <f t="shared" si="3"/>
        <v>-39.911999000000002</v>
      </c>
    </row>
    <row r="14" spans="1:22" ht="18" customHeight="1">
      <c r="A14" s="345">
        <v>5</v>
      </c>
      <c r="B14" s="54" t="s">
        <v>2</v>
      </c>
      <c r="C14" s="343" t="s">
        <v>34</v>
      </c>
      <c r="D14" s="3"/>
      <c r="E14" s="3"/>
      <c r="F14" s="3"/>
      <c r="G14" s="3"/>
      <c r="H14" s="3"/>
      <c r="I14" s="4">
        <f t="shared" si="0"/>
        <v>0</v>
      </c>
      <c r="J14" s="347">
        <f>SUMIF(Enlevements_ONUCI_WH!$G$8:'Enlevements_ONUCI_WH'!$G$228,"Guiglo-Riz",Enlevements_ONUCI_WH!$K$8:'Enlevements_ONUCI_WH'!$K$228)+SUMIF(Enlevements_PORT!$G$8:'Enlevements_PORT'!$G$228,"Guiglo-Riz",Enlevements_PORT!$K$8:'Enlevements_PORT'!$K$228)</f>
        <v>573.15598</v>
      </c>
      <c r="K14" s="347">
        <f>SUMIF(Enlevements_ONUCI_WH!$G$8:'Enlevements_ONUCI_WH'!$G$228,"Guiglo-Huile",Enlevements_ONUCI_WH!$K$8:'Enlevements_ONUCI_WH'!$K$228)+SUMIF(Enlevements_PORT!$G$8:'Enlevements_PORT'!$G$228,"Guiglo-Huile",Enlevements_PORT!$K$8:'Enlevements_PORT'!$K$228)</f>
        <v>28.326989600000001</v>
      </c>
      <c r="L14" s="347">
        <f>SUMIF(Enlevements_ONUCI_WH!$G$8:'Enlevements_ONUCI_WH'!$G$228,"Guiglo-Pois_cassé",Enlevements_ONUCI_WH!$K$8:'Enlevements_ONUCI_WH'!$K$228)+SUMIF(Enlevements_PORT!$G$8:'Enlevements_PORT'!$G$228,"Guiglo-Pois_cassé",Enlevements_PORT!$K$8:'Enlevements_PORT'!$K$228)</f>
        <v>101.29300000000001</v>
      </c>
      <c r="M14" s="347">
        <f>SUMIF(Enlevements_ONUCI_WH!$G$8:'Enlevements_ONUCI_WH'!$G$228,"Guiglo-Sel",Enlevements_ONUCI_WH!$K$8:'Enlevements_ONUCI_WH'!$K$228)+SUMIF(Enlevements_PORT!$G$8:'Enlevements_PORT'!$G$228,"Guiglo-Sel",Enlevements_PORT!$K$8:'Enlevements_PORT'!$K$228)</f>
        <v>11.036000000000001</v>
      </c>
      <c r="N14" s="347">
        <f>SUMIF(Enlevements_ONUCI_WH!$G$8:'Enlevements_ONUCI_WH'!$G$228,"Guiglo-Datte",Enlevements_ONUCI_WH!$K$8:'Enlevements_ONUCI_WH'!$K$228)+SUMIF(Enlevements_PORT!$G$8:'Enlevements_PORT'!$G$228,"Guiglo-Datte",Enlevements_PORT!$K$8:'Enlevements_PORT'!$K$228)</f>
        <v>164.16199999999998</v>
      </c>
      <c r="O14" s="352">
        <f>SUM(J14:N14)</f>
        <v>877.97396960000015</v>
      </c>
      <c r="P14" s="347">
        <f>(D14+D15)-J14</f>
        <v>-573.15598</v>
      </c>
      <c r="Q14" s="347">
        <f>(E14+E15)-K14</f>
        <v>-28.326989600000001</v>
      </c>
      <c r="R14" s="347">
        <f>(F14+F15)-L14</f>
        <v>-101.29300000000001</v>
      </c>
      <c r="S14" s="347">
        <f>(G14+G15)-M14</f>
        <v>-11.036000000000001</v>
      </c>
      <c r="T14" s="347">
        <f>(H14+H15)-N14</f>
        <v>-164.16199999999998</v>
      </c>
      <c r="U14" s="347">
        <f>SUM(P14:T14)</f>
        <v>-877.97396960000015</v>
      </c>
    </row>
    <row r="15" spans="1:22" ht="18" customHeight="1">
      <c r="A15" s="346"/>
      <c r="B15" s="54" t="s">
        <v>4</v>
      </c>
      <c r="C15" s="344"/>
      <c r="D15" s="3"/>
      <c r="E15" s="3"/>
      <c r="F15" s="3"/>
      <c r="G15" s="3"/>
      <c r="H15" s="3"/>
      <c r="I15" s="4">
        <f t="shared" si="0"/>
        <v>0</v>
      </c>
      <c r="J15" s="348"/>
      <c r="K15" s="348"/>
      <c r="L15" s="348"/>
      <c r="M15" s="348"/>
      <c r="N15" s="348"/>
      <c r="O15" s="353"/>
      <c r="P15" s="348"/>
      <c r="Q15" s="348"/>
      <c r="R15" s="348"/>
      <c r="S15" s="348"/>
      <c r="T15" s="348"/>
      <c r="U15" s="348"/>
      <c r="V15" s="5"/>
    </row>
    <row r="16" spans="1:22" ht="18" customHeight="1">
      <c r="A16" s="52">
        <v>6</v>
      </c>
      <c r="B16" s="54" t="s">
        <v>8</v>
      </c>
      <c r="C16" s="54" t="s">
        <v>35</v>
      </c>
      <c r="D16" s="3"/>
      <c r="E16" s="3"/>
      <c r="F16" s="3"/>
      <c r="G16" s="3"/>
      <c r="H16" s="3"/>
      <c r="I16" s="4">
        <f t="shared" si="0"/>
        <v>0</v>
      </c>
      <c r="J16" s="3">
        <f>SUMIF(Enlevements_ONUCI_WH!$G$8:'Enlevements_ONUCI_WH'!$G$228,"Boundiali-Riz",Enlevements_ONUCI_WH!$K$8:'Enlevements_ONUCI_WH'!$K$228)+SUMIF(Enlevements_PORT!$G$8:'Enlevements_PORT'!$G$228,"Boundiali-Riz",Enlevements_PORT!$K$8:'Enlevements_PORT'!$K$228)</f>
        <v>107.946</v>
      </c>
      <c r="K16" s="3">
        <f>SUMIF(Enlevements_ONUCI_WH!$G$8:'Enlevements_ONUCI_WH'!$G$228,"Boundiali-Huile",Enlevements_ONUCI_WH!$K$8:'Enlevements_ONUCI_WH'!$K$228)+SUMIF(Enlevements_PORT!$G$8:'Enlevements_PORT'!$G$228,"Boundiali-Huile",Enlevements_PORT!$K$8:'Enlevements_PORT'!$K$228)</f>
        <v>5.5409899999999999</v>
      </c>
      <c r="L16" s="3">
        <f>SUMIF(Enlevements_ONUCI_WH!$G$8:'Enlevements_ONUCI_WH'!$G$228,"Boundiali-Pois_cassé",Enlevements_ONUCI_WH!$K$8:'Enlevements_ONUCI_WH'!$K$228)+SUMIF(Enlevements_PORT!$G$8:'Enlevements_PORT'!$G$228,"Boundiali-Pois_cassé",Enlevements_PORT!$K$8:'Enlevements_PORT'!$K$228)</f>
        <v>19.43</v>
      </c>
      <c r="M16" s="3">
        <f>SUMIF(Enlevements_ONUCI_WH!$G$8:'Enlevements_ONUCI_WH'!$G$228,"Boundiali-Sel",Enlevements_ONUCI_WH!$K$8:'Enlevements_ONUCI_WH'!$K$228)+SUMIF(Enlevements_PORT!$G$8:'Enlevements_PORT'!$G$228,"Boundiali-Sel",Enlevements_PORT!$K$8:'Enlevements_PORT'!$K$228)</f>
        <v>2.1589999999999998</v>
      </c>
      <c r="N16" s="3">
        <f>SUMIF(Enlevements_ONUCI_WH!$G$8:'Enlevements_ONUCI_WH'!$G$228,"Boundiali-Datte",Enlevements_ONUCI_WH!$K$8:'Enlevements_ONUCI_WH'!$K$228)+SUMIF(Enlevements_PORT!$G$8:'Enlevements_PORT'!$G$228,"Boundiali-Datte",Enlevements_PORT!$K$8:'Enlevements_PORT'!$K$228)</f>
        <v>36.386000000000003</v>
      </c>
      <c r="O16" s="4">
        <f>SUM(J16:N16)</f>
        <v>171.46198999999999</v>
      </c>
      <c r="P16" s="3">
        <f t="shared" ref="P16:S21" si="5">D16-J16</f>
        <v>-107.946</v>
      </c>
      <c r="Q16" s="3">
        <f t="shared" si="5"/>
        <v>-5.5409899999999999</v>
      </c>
      <c r="R16" s="3">
        <f t="shared" si="5"/>
        <v>-19.43</v>
      </c>
      <c r="S16" s="3">
        <f t="shared" si="5"/>
        <v>-2.1589999999999998</v>
      </c>
      <c r="T16" s="3">
        <f t="shared" si="2"/>
        <v>-36.386000000000003</v>
      </c>
      <c r="U16" s="3">
        <f>SUM(P16:T16)</f>
        <v>-171.46198999999999</v>
      </c>
    </row>
    <row r="17" spans="1:22" ht="18" customHeight="1">
      <c r="A17" s="52">
        <v>7</v>
      </c>
      <c r="B17" s="54" t="s">
        <v>36</v>
      </c>
      <c r="C17" s="54" t="s">
        <v>37</v>
      </c>
      <c r="D17" s="3"/>
      <c r="E17" s="3"/>
      <c r="F17" s="3"/>
      <c r="G17" s="3"/>
      <c r="H17" s="3"/>
      <c r="I17" s="4">
        <f t="shared" si="0"/>
        <v>0</v>
      </c>
      <c r="J17" s="3">
        <f>SUMIF(Enlevements_ONUCI_WH!$G$8:'Enlevements_ONUCI_WH'!$G$228,"Ferkessedougou-Riz",Enlevements_ONUCI_WH!$K$8:'Enlevements_ONUCI_WH'!$K$228)+SUMIF(Enlevements_PORT!$G$8:'Enlevements_PORT'!$G$228,"Ferkessedougou-Riz",Enlevements_PORT!$K$8:'Enlevements_PORT'!$K$228)</f>
        <v>118.908</v>
      </c>
      <c r="K17" s="3">
        <f>SUMIF(Enlevements_ONUCI_WH!$G$8:'Enlevements_ONUCI_WH'!$G$228,"Ferkessedougou-Huile",Enlevements_ONUCI_WH!$K$8:'Enlevements_ONUCI_WH'!$K$228)+SUMIF(Enlevements_PORT!$G$8:'Enlevements_PORT'!$G$228,"Ferkessedougou-Huile",Enlevements_PORT!$K$8:'Enlevements_PORT'!$K$228)</f>
        <v>6.1039887999999998</v>
      </c>
      <c r="L17" s="3">
        <f>SUMIF(Enlevements_ONUCI_WH!$G$8:'Enlevements_ONUCI_WH'!$G$228,"Ferkessedougou-Pois_cassé",Enlevements_ONUCI_WH!$K$8:'Enlevements_ONUCI_WH'!$K$228)+SUMIF(Enlevements_PORT!$G$8:'Enlevements_PORT'!$G$228,"Ferkessedougou-Pois_cassé",Enlevements_PORT!$K$8:'Enlevements_PORT'!$K$228)</f>
        <v>21.402999999999999</v>
      </c>
      <c r="M17" s="3">
        <f>SUMIF(Enlevements_ONUCI_WH!$G$8:'Enlevements_ONUCI_WH'!$G$228,"Ferkessedougou-Sel",Enlevements_ONUCI_WH!$K$8:'Enlevements_ONUCI_WH'!$K$228)+SUMIF(Enlevements_PORT!$G$8:'Enlevements_PORT'!$G$228,"Ferkessedougou-Sel",Enlevements_PORT!$K$8:'Enlevements_PORT'!$K$228)</f>
        <v>2.3780000000000001</v>
      </c>
      <c r="N17" s="3">
        <f>SUMIF(Enlevements_ONUCI_WH!$G$8:'Enlevements_ONUCI_WH'!$G$228,"Ferkessedougou-Datte",Enlevements_ONUCI_WH!$K$8:'Enlevements_ONUCI_WH'!$K$228)+SUMIF(Enlevements_PORT!$G$8:'Enlevements_PORT'!$G$228,"Ferkessedougou-Datte",Enlevements_PORT!$K$8:'Enlevements_PORT'!$K$228)</f>
        <v>36.6</v>
      </c>
      <c r="O17" s="4">
        <f t="shared" ref="O17:O19" si="6">SUM(J17:N17)</f>
        <v>185.39298879999998</v>
      </c>
      <c r="P17" s="3">
        <f t="shared" si="5"/>
        <v>-118.908</v>
      </c>
      <c r="Q17" s="3">
        <f t="shared" si="5"/>
        <v>-6.1039887999999998</v>
      </c>
      <c r="R17" s="3">
        <f t="shared" si="5"/>
        <v>-21.402999999999999</v>
      </c>
      <c r="S17" s="3">
        <f t="shared" si="5"/>
        <v>-2.3780000000000001</v>
      </c>
      <c r="T17" s="3">
        <f t="shared" si="2"/>
        <v>-36.6</v>
      </c>
      <c r="U17" s="3">
        <f t="shared" ref="U17:U21" si="7">SUM(P17:T17)</f>
        <v>-185.39298879999998</v>
      </c>
    </row>
    <row r="18" spans="1:22" ht="18" customHeight="1">
      <c r="A18" s="52">
        <v>8</v>
      </c>
      <c r="B18" s="54" t="s">
        <v>5</v>
      </c>
      <c r="C18" s="54" t="s">
        <v>38</v>
      </c>
      <c r="D18" s="3"/>
      <c r="E18" s="3"/>
      <c r="F18" s="3"/>
      <c r="G18" s="3"/>
      <c r="H18" s="3"/>
      <c r="I18" s="4">
        <f t="shared" si="0"/>
        <v>0</v>
      </c>
      <c r="J18" s="3">
        <f>SUMIF(Enlevements_ONUCI_WH!$G$8:'Enlevements_ONUCI_WH'!$G$228,"Korhogo-Riz",Enlevements_ONUCI_WH!$K$8:'Enlevements_ONUCI_WH'!$K$228)+SUMIF(Enlevements_PORT!$G$8:'Enlevements_PORT'!$G$228,"Korhogo-Riz",Enlevements_PORT!$K$8:'Enlevements_PORT'!$K$228)</f>
        <v>301.09999999999997</v>
      </c>
      <c r="K18" s="3">
        <f>SUMIF(Enlevements_ONUCI_WH!$G$8:'Enlevements_ONUCI_WH'!$G$228,"Korhogo-Huile",Enlevements_ONUCI_WH!$K$8:'Enlevements_ONUCI_WH'!$K$228)+SUMIF(Enlevements_PORT!$G$8:'Enlevements_PORT'!$G$228,"Korhogo-Huile",Enlevements_PORT!$K$8:'Enlevements_PORT'!$K$228)</f>
        <v>15.455985999999999</v>
      </c>
      <c r="L18" s="3">
        <f>SUMIF(Enlevements_ONUCI_WH!$G$8:'Enlevements_ONUCI_WH'!$G$228,"Korhogo-Pois_cassé",Enlevements_ONUCI_WH!$K$8:'Enlevements_ONUCI_WH'!$K$228)+SUMIF(Enlevements_PORT!$G$8:'Enlevements_PORT'!$G$228,"Korhogo-Pois_cassé",Enlevements_PORT!$K$8:'Enlevements_PORT'!$K$228)</f>
        <v>54.199999999999996</v>
      </c>
      <c r="M18" s="3">
        <f>SUMIF(Enlevements_ONUCI_WH!$G$8:'Enlevements_ONUCI_WH'!$G$228,"Korhogo-Sel",Enlevements_ONUCI_WH!$K$8:'Enlevements_ONUCI_WH'!$K$228)+SUMIF(Enlevements_PORT!$G$8:'Enlevements_PORT'!$G$228,"Korhogo-Sel",Enlevements_PORT!$K$8:'Enlevements_PORT'!$K$228)</f>
        <v>6.0220000000000002</v>
      </c>
      <c r="N18" s="3">
        <f>SUMIF(Enlevements_ONUCI_WH!$G$8:'Enlevements_ONUCI_WH'!$G$228,"Korhogo-Datte",Enlevements_ONUCI_WH!$K$8:'Enlevements_ONUCI_WH'!$K$228)+SUMIF(Enlevements_PORT!$G$8:'Enlevements_PORT'!$G$228,"Korhogo-Datte",Enlevements_PORT!$K$8:'Enlevements_PORT'!$K$228)</f>
        <v>143.322</v>
      </c>
      <c r="O18" s="4">
        <f t="shared" si="6"/>
        <v>520.09998599999994</v>
      </c>
      <c r="P18" s="3">
        <f t="shared" si="5"/>
        <v>-301.09999999999997</v>
      </c>
      <c r="Q18" s="3">
        <f t="shared" si="5"/>
        <v>-15.455985999999999</v>
      </c>
      <c r="R18" s="3">
        <f t="shared" si="5"/>
        <v>-54.199999999999996</v>
      </c>
      <c r="S18" s="3">
        <f t="shared" si="5"/>
        <v>-6.0220000000000002</v>
      </c>
      <c r="T18" s="3">
        <f t="shared" si="2"/>
        <v>-143.322</v>
      </c>
      <c r="U18" s="3">
        <f t="shared" si="7"/>
        <v>-520.09998599999994</v>
      </c>
    </row>
    <row r="19" spans="1:22" ht="18" customHeight="1">
      <c r="A19" s="52">
        <v>9</v>
      </c>
      <c r="B19" s="54" t="s">
        <v>9</v>
      </c>
      <c r="C19" s="54" t="s">
        <v>39</v>
      </c>
      <c r="D19" s="3"/>
      <c r="E19" s="3"/>
      <c r="F19" s="3"/>
      <c r="G19" s="3"/>
      <c r="H19" s="3"/>
      <c r="I19" s="4">
        <f t="shared" si="0"/>
        <v>0</v>
      </c>
      <c r="J19" s="3">
        <f>SUMIF(Enlevements_ONUCI_WH!$G$8:'Enlevements_ONUCI_WH'!$G$228,"Mankono-Riz",Enlevements_ONUCI_WH!$K$8:'Enlevements_ONUCI_WH'!$K$228)+SUMIF(Enlevements_PORT!$G$8:'Enlevements_PORT'!$G$228,"Mankono-Riz",Enlevements_PORT!$K$8:'Enlevements_PORT'!$K$228)</f>
        <v>117.779</v>
      </c>
      <c r="K19" s="3">
        <f>SUMIF(Enlevements_ONUCI_WH!$G$8:'Enlevements_ONUCI_WH'!$G$228,"Mankono-Huile",Enlevements_ONUCI_WH!$K$8:'Enlevements_ONUCI_WH'!$K$228)+SUMIF(Enlevements_PORT!$G$8:'Enlevements_PORT'!$G$228,"Mankono-Huile",Enlevements_PORT!$K$8:'Enlevements_PORT'!$K$228)</f>
        <v>6.045858</v>
      </c>
      <c r="L19" s="3">
        <f>SUMIF(Enlevements_ONUCI_WH!$G$8:'Enlevements_ONUCI_WH'!$G$228,"Mankono-Pois_cassé",Enlevements_ONUCI_WH!$K$8:'Enlevements_ONUCI_WH'!$K$228)+SUMIF(Enlevements_PORT!$G$8:'Enlevements_PORT'!$G$228,"Mankono-Pois_cassé",Enlevements_PORT!$K$8:'Enlevements_PORT'!$K$228)</f>
        <v>21.2</v>
      </c>
      <c r="M19" s="3">
        <f>SUMIF(Enlevements_ONUCI_WH!$G$8:'Enlevements_ONUCI_WH'!$G$228,"Mankono-Sel",Enlevements_ONUCI_WH!$K$8:'Enlevements_ONUCI_WH'!$K$228)+SUMIF(Enlevements_PORT!$G$8:'Enlevements_PORT'!$G$228,"Mankono-Sel",Enlevements_PORT!$K$8:'Enlevements_PORT'!$K$228)</f>
        <v>2.3559999999999999</v>
      </c>
      <c r="N19" s="3">
        <f>SUMIF(Enlevements_ONUCI_WH!$G$8:'Enlevements_ONUCI_WH'!$G$228,"Mankono-Datte",Enlevements_ONUCI_WH!$K$8:'Enlevements_ONUCI_WH'!$K$228)+SUMIF(Enlevements_PORT!$G$8:'Enlevements_PORT'!$G$228,"Mankono-Datte",Enlevements_PORT!$K$8:'Enlevements_PORT'!$K$228)</f>
        <v>0</v>
      </c>
      <c r="O19" s="4">
        <f t="shared" si="6"/>
        <v>147.38085799999999</v>
      </c>
      <c r="P19" s="3">
        <f t="shared" si="5"/>
        <v>-117.779</v>
      </c>
      <c r="Q19" s="3">
        <f t="shared" si="5"/>
        <v>-6.045858</v>
      </c>
      <c r="R19" s="3">
        <f t="shared" si="5"/>
        <v>-21.2</v>
      </c>
      <c r="S19" s="3">
        <f t="shared" si="5"/>
        <v>-2.3559999999999999</v>
      </c>
      <c r="T19" s="3">
        <f t="shared" si="2"/>
        <v>0</v>
      </c>
      <c r="U19" s="3">
        <f t="shared" si="7"/>
        <v>-147.38085799999999</v>
      </c>
    </row>
    <row r="20" spans="1:22" ht="18" customHeight="1">
      <c r="A20" s="52">
        <v>10</v>
      </c>
      <c r="B20" s="54" t="s">
        <v>6</v>
      </c>
      <c r="C20" s="54" t="s">
        <v>40</v>
      </c>
      <c r="D20" s="3"/>
      <c r="E20" s="3"/>
      <c r="F20" s="3"/>
      <c r="G20" s="3"/>
      <c r="H20" s="3"/>
      <c r="I20" s="4">
        <f t="shared" si="0"/>
        <v>0</v>
      </c>
      <c r="J20" s="3">
        <f>SUMIF(Enlevements_ONUCI_WH!$G$8:'Enlevements_ONUCI_WH'!$G$228,"Seguela-Riz",Enlevements_ONUCI_WH!$K$8:'Enlevements_ONUCI_WH'!$K$228)+SUMIF(Enlevements_PORT!$G$8:'Enlevements_PORT'!$G$228,"Seguela-Riz",Enlevements_PORT!$K$8:'Enlevements_PORT'!$K$228)</f>
        <v>107.973</v>
      </c>
      <c r="K20" s="3">
        <f>SUMIF(Enlevements_ONUCI_WH!$G$8:'Enlevements_ONUCI_WH'!$G$228,"Seguela-Huile",Enlevements_ONUCI_WH!$K$8:'Enlevements_ONUCI_WH'!$K$228)+SUMIF(Enlevements_PORT!$G$8:'Enlevements_PORT'!$G$228,"Seguela-Huile",Enlevements_PORT!$K$8:'Enlevements_PORT'!$K$228)</f>
        <v>5.5429919999999999</v>
      </c>
      <c r="L20" s="3">
        <f>SUMIF(Enlevements_ONUCI_WH!$G$8:'Enlevements_ONUCI_WH'!$G$228,"Seguela-Pois_cassé",Enlevements_ONUCI_WH!$K$8:'Enlevements_ONUCI_WH'!$K$228)+SUMIF(Enlevements_PORT!$G$8:'Enlevements_PORT'!$G$228,"Seguela-Pois_cassé",Enlevements_PORT!$K$8:'Enlevements_PORT'!$K$228)</f>
        <v>19.434999999999999</v>
      </c>
      <c r="M20" s="3">
        <f>SUMIF(Enlevements_ONUCI_WH!$G$8:'Enlevements_ONUCI_WH'!$G$228,"Seguela-Sel",Enlevements_ONUCI_WH!$K$8:'Enlevements_ONUCI_WH'!$K$228)+SUMIF(Enlevements_PORT!$G$8:'Enlevements_PORT'!$G$228,"Seguela-Sel",Enlevements_PORT!$K$8:'Enlevements_PORT'!$K$228)</f>
        <v>2.1589999999999998</v>
      </c>
      <c r="N20" s="3">
        <f>SUMIF(Enlevements_ONUCI_WH!$G$8:'Enlevements_ONUCI_WH'!$G$228,"Seguela-Datte",Enlevements_ONUCI_WH!$K$8:'Enlevements_ONUCI_WH'!$K$228)+SUMIF(Enlevements_PORT!$G$8:'Enlevements_PORT'!$G$228,"Seguela-Datte",Enlevements_PORT!$K$8:'Enlevements_PORT'!$K$228)</f>
        <v>36.393999999999998</v>
      </c>
      <c r="O20" s="4">
        <f>SUM(J20:N20)</f>
        <v>171.50399199999998</v>
      </c>
      <c r="P20" s="3">
        <f t="shared" si="5"/>
        <v>-107.973</v>
      </c>
      <c r="Q20" s="3">
        <f t="shared" si="5"/>
        <v>-5.5429919999999999</v>
      </c>
      <c r="R20" s="3">
        <f t="shared" si="5"/>
        <v>-19.434999999999999</v>
      </c>
      <c r="S20" s="3">
        <f t="shared" si="5"/>
        <v>-2.1589999999999998</v>
      </c>
      <c r="T20" s="3">
        <f t="shared" si="2"/>
        <v>-36.393999999999998</v>
      </c>
      <c r="U20" s="3">
        <f t="shared" si="7"/>
        <v>-171.50399199999998</v>
      </c>
      <c r="V20" s="5"/>
    </row>
    <row r="21" spans="1:22" ht="18" customHeight="1">
      <c r="A21" s="52">
        <v>11</v>
      </c>
      <c r="B21" s="54" t="s">
        <v>7</v>
      </c>
      <c r="C21" s="54" t="s">
        <v>41</v>
      </c>
      <c r="D21" s="3"/>
      <c r="E21" s="3"/>
      <c r="F21" s="3"/>
      <c r="G21" s="3"/>
      <c r="H21" s="3"/>
      <c r="I21" s="4">
        <f t="shared" si="0"/>
        <v>0</v>
      </c>
      <c r="J21" s="3">
        <f>SUMIF(Enlevements_ONUCI_WH!$G$8:'Enlevements_ONUCI_WH'!$G$228,"Touba-Riz",Enlevements_ONUCI_WH!$K$8:'Enlevements_ONUCI_WH'!$K$228)+SUMIF(Enlevements_PORT!$G$8:'Enlevements_PORT'!$G$228,"Touba-Riz",Enlevements_PORT!$K$8:'Enlevements_PORT'!$K$228)</f>
        <v>61.208999999999996</v>
      </c>
      <c r="K21" s="3">
        <f>SUMIF(Enlevements_ONUCI_WH!$G$8:'Enlevements_ONUCI_WH'!$G$228,"Touba-Huile",Enlevements_ONUCI_WH!$K$8:'Enlevements_ONUCI_WH'!$K$228)+SUMIF(Enlevements_PORT!$G$8:'Enlevements_PORT'!$G$228,"Touba-Huile",Enlevements_PORT!$K$8:'Enlevements_PORT'!$K$228)</f>
        <v>3.1419933999999996</v>
      </c>
      <c r="L21" s="3">
        <f>SUMIF(Enlevements_ONUCI_WH!$G$8:'Enlevements_ONUCI_WH'!$G$228,"Touba-Pois_cassé",Enlevements_ONUCI_WH!$K$8:'Enlevements_ONUCI_WH'!$K$228)+SUMIF(Enlevements_PORT!$G$8:'Enlevements_PORT'!$G$228,"Touba-Pois_cassé",Enlevements_PORT!$K$8:'Enlevements_PORT'!$K$228)</f>
        <v>11.018000000000001</v>
      </c>
      <c r="M21" s="3">
        <f>SUMIF(Enlevements_ONUCI_WH!$G$8:'Enlevements_ONUCI_WH'!$G$228,"Touba-Sel",Enlevements_ONUCI_WH!$K$8:'Enlevements_ONUCI_WH'!$K$228)+SUMIF(Enlevements_PORT!$G$8:'Enlevements_PORT'!$G$228,"Touba-Sel",Enlevements_PORT!$K$8:'Enlevements_PORT'!$K$228)</f>
        <v>1.224</v>
      </c>
      <c r="N21" s="3">
        <f>SUMIF(Enlevements_ONUCI_WH!$G$8:'Enlevements_ONUCI_WH'!$G$228,"Touba-Datte",Enlevements_ONUCI_WH!$K$8:'Enlevements_ONUCI_WH'!$K$228)+SUMIF(Enlevements_PORT!$G$8:'Enlevements_PORT'!$G$228,"Touba-Datte",Enlevements_PORT!$K$8:'Enlevements_PORT'!$K$228)</f>
        <v>29.135999999999999</v>
      </c>
      <c r="O21" s="4">
        <f>SUM(J21:N21)</f>
        <v>105.72899339999999</v>
      </c>
      <c r="P21" s="3">
        <f t="shared" si="5"/>
        <v>-61.208999999999996</v>
      </c>
      <c r="Q21" s="3">
        <f t="shared" si="5"/>
        <v>-3.1419933999999996</v>
      </c>
      <c r="R21" s="3">
        <f t="shared" si="5"/>
        <v>-11.018000000000001</v>
      </c>
      <c r="S21" s="3">
        <f t="shared" si="5"/>
        <v>-1.224</v>
      </c>
      <c r="T21" s="3">
        <f t="shared" si="2"/>
        <v>-29.135999999999999</v>
      </c>
      <c r="U21" s="3">
        <f t="shared" si="7"/>
        <v>-105.72899339999999</v>
      </c>
    </row>
    <row r="22" spans="1:22" ht="18" customHeight="1">
      <c r="A22" s="349" t="s">
        <v>42</v>
      </c>
      <c r="B22" s="350"/>
      <c r="C22" s="351"/>
      <c r="D22" s="4">
        <f t="shared" ref="D22:S22" si="8">SUM(D10:D21)</f>
        <v>0</v>
      </c>
      <c r="E22" s="4">
        <f t="shared" si="8"/>
        <v>0</v>
      </c>
      <c r="F22" s="4">
        <f t="shared" si="8"/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>SUM(J10:J21)</f>
        <v>1910.2969699999996</v>
      </c>
      <c r="K22" s="4">
        <f t="shared" ref="K22:N22" si="9">SUM(K10:K21)</f>
        <v>96.964722399999999</v>
      </c>
      <c r="L22" s="4">
        <f t="shared" si="9"/>
        <v>341.98</v>
      </c>
      <c r="M22" s="4">
        <f t="shared" si="9"/>
        <v>37.778999999999996</v>
      </c>
      <c r="N22" s="4">
        <f t="shared" si="9"/>
        <v>599.99900000000002</v>
      </c>
      <c r="O22" s="4">
        <f>SUM(O10:O21)</f>
        <v>2987.0196924000002</v>
      </c>
      <c r="P22" s="4">
        <f t="shared" si="8"/>
        <v>-1910.2969699999996</v>
      </c>
      <c r="Q22" s="4">
        <f t="shared" si="8"/>
        <v>-96.964722399999999</v>
      </c>
      <c r="R22" s="4">
        <f t="shared" si="8"/>
        <v>-341.98</v>
      </c>
      <c r="S22" s="4">
        <f t="shared" si="8"/>
        <v>-37.778999999999996</v>
      </c>
      <c r="T22" s="4">
        <f>SUM(T10:T21)</f>
        <v>-599.99900000000002</v>
      </c>
      <c r="U22" s="4">
        <f>SUM(U10:U21)</f>
        <v>-2987.0196924000002</v>
      </c>
    </row>
    <row r="23" spans="1:22" ht="18" customHeight="1">
      <c r="A23" s="6"/>
      <c r="B23" s="6"/>
      <c r="C23" s="6"/>
      <c r="D23" s="7"/>
      <c r="E23" s="7"/>
      <c r="F23" s="7"/>
      <c r="G23" s="7"/>
      <c r="H23" s="7"/>
      <c r="I23" s="7"/>
      <c r="V23" s="5"/>
    </row>
    <row r="24" spans="1:22">
      <c r="P24" s="38"/>
    </row>
    <row r="25" spans="1:22">
      <c r="B25" s="38"/>
      <c r="D25" s="38"/>
      <c r="I25" s="5"/>
      <c r="P25" s="38"/>
      <c r="S25" s="5"/>
      <c r="U25" s="1">
        <f>500/24</f>
        <v>20.833333333333332</v>
      </c>
    </row>
    <row r="26" spans="1:22">
      <c r="P26" s="38"/>
      <c r="S26" s="38"/>
    </row>
    <row r="27" spans="1:22">
      <c r="I27" s="5"/>
      <c r="L27" s="5"/>
      <c r="M27" s="5"/>
      <c r="N27" s="5"/>
      <c r="Q27" s="13"/>
      <c r="R27" s="16"/>
    </row>
    <row r="28" spans="1:22">
      <c r="L28" s="5"/>
      <c r="Q28" s="11"/>
    </row>
    <row r="29" spans="1:22">
      <c r="Q29" s="11"/>
    </row>
    <row r="30" spans="1:22">
      <c r="Q30" s="11"/>
    </row>
  </sheetData>
  <sheetProtection formatCells="0" formatColumns="0" formatRows="0" insertColumns="0" insertRows="0" insertHyperlinks="0" deleteColumns="0" deleteRows="0" sort="0" autoFilter="0" pivotTables="0"/>
  <mergeCells count="25">
    <mergeCell ref="S14:S15"/>
    <mergeCell ref="U14:U15"/>
    <mergeCell ref="A22:C22"/>
    <mergeCell ref="T14:T15"/>
    <mergeCell ref="N14:N15"/>
    <mergeCell ref="L14:L15"/>
    <mergeCell ref="M14:M15"/>
    <mergeCell ref="O14:O15"/>
    <mergeCell ref="P14:P15"/>
    <mergeCell ref="Q14:Q15"/>
    <mergeCell ref="R14:R15"/>
    <mergeCell ref="K14:K15"/>
    <mergeCell ref="B10:B11"/>
    <mergeCell ref="B12:B13"/>
    <mergeCell ref="A14:A15"/>
    <mergeCell ref="C14:C15"/>
    <mergeCell ref="J14:J15"/>
    <mergeCell ref="A5:U5"/>
    <mergeCell ref="A6:U6"/>
    <mergeCell ref="A8:A9"/>
    <mergeCell ref="B8:B9"/>
    <mergeCell ref="C8:C9"/>
    <mergeCell ref="D8:I8"/>
    <mergeCell ref="J8:O8"/>
    <mergeCell ref="P8:U8"/>
  </mergeCells>
  <conditionalFormatting sqref="D10:M21 O10:O21 N10:O14 N16:O22 D22:U22">
    <cfRule type="cellIs" dxfId="18" priority="4" operator="equal">
      <formula>0</formula>
    </cfRule>
  </conditionalFormatting>
  <conditionalFormatting sqref="P16:P21 P10:P14 Q10:T21 U10:U14 U16:U21">
    <cfRule type="cellIs" dxfId="17" priority="3" operator="between">
      <formula>-0.01</formula>
      <formula>0.01</formula>
    </cfRule>
  </conditionalFormatting>
  <printOptions horizontalCentered="1"/>
  <pageMargins left="0" right="0" top="0.39370078740157483" bottom="0.19685039370078741" header="0.31496062992125984" footer="0.31496062992125984"/>
  <pageSetup paperSize="9" orientation="landscape" r:id="rId1"/>
  <headerFooter>
    <oddFooter>&amp;L&amp;"+,Normal"&amp;9Année scolaire 2013-2014&amp;C&amp;"+,Normal"&amp;9 1ère Dotation&amp;R&amp;"+,Normal"&amp;9&amp;P/&amp;N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I28"/>
  <sheetViews>
    <sheetView topLeftCell="A7" workbookViewId="0">
      <selection activeCell="I18" sqref="I18"/>
    </sheetView>
  </sheetViews>
  <sheetFormatPr baseColWidth="10" defaultRowHeight="14.25"/>
  <cols>
    <col min="1" max="1" width="7.28515625" style="1" customWidth="1"/>
    <col min="2" max="2" width="28.85546875" style="1" customWidth="1"/>
    <col min="3" max="3" width="26" style="1" customWidth="1"/>
    <col min="4" max="6" width="20.7109375" style="1" customWidth="1"/>
    <col min="7" max="16384" width="11.42578125" style="1"/>
  </cols>
  <sheetData>
    <row r="1" spans="1:9">
      <c r="A1" s="48" t="s">
        <v>10</v>
      </c>
      <c r="B1" s="49"/>
      <c r="C1" s="49"/>
      <c r="D1" s="49"/>
      <c r="E1" s="49"/>
      <c r="F1" s="367" t="s">
        <v>11</v>
      </c>
      <c r="G1" s="367"/>
    </row>
    <row r="2" spans="1:9">
      <c r="A2" s="51" t="s">
        <v>12</v>
      </c>
      <c r="B2" s="49"/>
      <c r="C2" s="49"/>
      <c r="D2" s="49"/>
      <c r="E2" s="49"/>
      <c r="F2" s="367" t="s">
        <v>13</v>
      </c>
      <c r="G2" s="367"/>
    </row>
    <row r="3" spans="1:9">
      <c r="A3" s="51" t="s">
        <v>14</v>
      </c>
      <c r="B3" s="49"/>
      <c r="C3" s="49"/>
      <c r="D3" s="49"/>
      <c r="E3" s="49"/>
      <c r="F3" s="49"/>
    </row>
    <row r="4" spans="1:9">
      <c r="A4" s="51" t="s">
        <v>15</v>
      </c>
      <c r="B4" s="49"/>
      <c r="C4" s="49"/>
      <c r="D4" s="49"/>
      <c r="E4" s="49"/>
      <c r="F4" s="49"/>
    </row>
    <row r="5" spans="1:9">
      <c r="A5" s="51"/>
      <c r="B5" s="49"/>
      <c r="C5" s="49"/>
      <c r="D5" s="49"/>
      <c r="E5" s="49"/>
      <c r="F5" s="49"/>
    </row>
    <row r="6" spans="1:9" ht="22.5" customHeight="1">
      <c r="A6" s="335" t="s">
        <v>48</v>
      </c>
      <c r="B6" s="335"/>
      <c r="C6" s="335"/>
      <c r="D6" s="335"/>
      <c r="E6" s="335"/>
      <c r="F6" s="335"/>
    </row>
    <row r="7" spans="1:9" ht="21.75" customHeight="1">
      <c r="A7" s="335" t="s">
        <v>135</v>
      </c>
      <c r="B7" s="335"/>
      <c r="C7" s="335"/>
      <c r="D7" s="335"/>
      <c r="E7" s="335"/>
      <c r="F7" s="335"/>
    </row>
    <row r="8" spans="1:9" ht="15" customHeight="1">
      <c r="A8" s="44"/>
      <c r="B8" s="49"/>
      <c r="C8" s="49"/>
      <c r="D8" s="49"/>
      <c r="E8" s="49"/>
      <c r="F8" s="49"/>
    </row>
    <row r="9" spans="1:9" ht="20.100000000000001" customHeight="1">
      <c r="A9" s="357" t="s">
        <v>22</v>
      </c>
      <c r="B9" s="357" t="s">
        <v>23</v>
      </c>
      <c r="C9" s="366" t="s">
        <v>24</v>
      </c>
      <c r="D9" s="357" t="s">
        <v>132</v>
      </c>
      <c r="E9" s="357" t="s">
        <v>133</v>
      </c>
      <c r="F9" s="357" t="s">
        <v>134</v>
      </c>
    </row>
    <row r="10" spans="1:9" ht="20.100000000000001" customHeight="1">
      <c r="A10" s="357"/>
      <c r="B10" s="357"/>
      <c r="C10" s="366"/>
      <c r="D10" s="357"/>
      <c r="E10" s="357"/>
      <c r="F10" s="357"/>
    </row>
    <row r="11" spans="1:9" ht="20.100000000000001" customHeight="1">
      <c r="A11" s="152">
        <v>1</v>
      </c>
      <c r="B11" s="360" t="s">
        <v>0</v>
      </c>
      <c r="C11" s="25" t="s">
        <v>31</v>
      </c>
      <c r="D11" s="153">
        <v>76.642902000000021</v>
      </c>
      <c r="E11" s="153">
        <v>60.641999999999996</v>
      </c>
      <c r="F11" s="153">
        <v>16.000902000000025</v>
      </c>
    </row>
    <row r="12" spans="1:9" ht="20.100000000000001" customHeight="1">
      <c r="A12" s="152">
        <v>2</v>
      </c>
      <c r="B12" s="361"/>
      <c r="C12" s="154" t="s">
        <v>32</v>
      </c>
      <c r="D12" s="153">
        <v>123.56341200000001</v>
      </c>
      <c r="E12" s="153">
        <v>93.356999999999999</v>
      </c>
      <c r="F12" s="153">
        <v>30.206412000000014</v>
      </c>
    </row>
    <row r="13" spans="1:9" ht="20.100000000000001" customHeight="1">
      <c r="A13" s="152">
        <v>3</v>
      </c>
      <c r="B13" s="362" t="s">
        <v>1</v>
      </c>
      <c r="C13" s="160" t="s">
        <v>33</v>
      </c>
      <c r="D13" s="161">
        <v>33.190289999999997</v>
      </c>
      <c r="E13" s="161">
        <v>0</v>
      </c>
      <c r="F13" s="161">
        <v>33.190289999999997</v>
      </c>
      <c r="I13" s="162"/>
    </row>
    <row r="14" spans="1:9" ht="20.100000000000001" customHeight="1">
      <c r="A14" s="152">
        <v>4</v>
      </c>
      <c r="B14" s="363"/>
      <c r="C14" s="160" t="s">
        <v>3</v>
      </c>
      <c r="D14" s="161">
        <v>15.182496</v>
      </c>
      <c r="E14" s="161">
        <v>0</v>
      </c>
      <c r="F14" s="161">
        <v>15.182496</v>
      </c>
      <c r="I14" s="162"/>
    </row>
    <row r="15" spans="1:9" ht="20.100000000000001" customHeight="1">
      <c r="A15" s="364">
        <v>5</v>
      </c>
      <c r="B15" s="25" t="s">
        <v>2</v>
      </c>
      <c r="C15" s="360" t="s">
        <v>34</v>
      </c>
      <c r="D15" s="153">
        <v>144.07520400000004</v>
      </c>
      <c r="E15" s="358">
        <v>164.16199999999998</v>
      </c>
      <c r="F15" s="358">
        <v>98.502892000000031</v>
      </c>
      <c r="I15" s="162"/>
    </row>
    <row r="16" spans="1:9" ht="20.100000000000001" customHeight="1">
      <c r="A16" s="365"/>
      <c r="B16" s="25" t="s">
        <v>4</v>
      </c>
      <c r="C16" s="361"/>
      <c r="D16" s="153">
        <v>118.589688</v>
      </c>
      <c r="E16" s="359"/>
      <c r="F16" s="359"/>
      <c r="G16" s="5"/>
      <c r="I16" s="162"/>
    </row>
    <row r="17" spans="1:9" ht="20.100000000000001" customHeight="1">
      <c r="A17" s="152">
        <v>6</v>
      </c>
      <c r="B17" s="25" t="s">
        <v>8</v>
      </c>
      <c r="C17" s="25" t="s">
        <v>35</v>
      </c>
      <c r="D17" s="153">
        <v>51.382296000000011</v>
      </c>
      <c r="E17" s="153">
        <v>36.386000000000003</v>
      </c>
      <c r="F17" s="153">
        <v>14.996296000000008</v>
      </c>
      <c r="I17" s="162"/>
    </row>
    <row r="18" spans="1:9" ht="20.100000000000001" customHeight="1">
      <c r="A18" s="152">
        <v>7</v>
      </c>
      <c r="B18" s="25" t="s">
        <v>36</v>
      </c>
      <c r="C18" s="25" t="s">
        <v>37</v>
      </c>
      <c r="D18" s="153">
        <v>56.600208000000002</v>
      </c>
      <c r="E18" s="153">
        <v>36.6</v>
      </c>
      <c r="F18" s="153">
        <v>20.000208000000001</v>
      </c>
      <c r="I18" s="162"/>
    </row>
    <row r="19" spans="1:9" ht="20.100000000000001" customHeight="1">
      <c r="A19" s="152">
        <v>8</v>
      </c>
      <c r="B19" s="156" t="s">
        <v>5</v>
      </c>
      <c r="C19" s="156" t="s">
        <v>38</v>
      </c>
      <c r="D19" s="157">
        <v>143.323362</v>
      </c>
      <c r="E19" s="157">
        <v>143.322</v>
      </c>
      <c r="F19" s="153">
        <v>1.3620000000003074E-3</v>
      </c>
      <c r="I19" s="162"/>
    </row>
    <row r="20" spans="1:9" ht="20.100000000000001" customHeight="1">
      <c r="A20" s="152">
        <v>9</v>
      </c>
      <c r="B20" s="160" t="s">
        <v>9</v>
      </c>
      <c r="C20" s="160" t="s">
        <v>39</v>
      </c>
      <c r="D20" s="161">
        <v>56.062566000000004</v>
      </c>
      <c r="E20" s="161">
        <v>0</v>
      </c>
      <c r="F20" s="161">
        <v>56.062566000000004</v>
      </c>
      <c r="I20" s="162"/>
    </row>
    <row r="21" spans="1:9" ht="20.100000000000001" customHeight="1">
      <c r="A21" s="152">
        <v>10</v>
      </c>
      <c r="B21" s="25" t="s">
        <v>6</v>
      </c>
      <c r="C21" s="25" t="s">
        <v>40</v>
      </c>
      <c r="D21" s="153">
        <v>51.395147999999999</v>
      </c>
      <c r="E21" s="153">
        <v>36.393999999999998</v>
      </c>
      <c r="F21" s="153">
        <v>15.001148000000001</v>
      </c>
      <c r="G21" s="5"/>
      <c r="I21" s="162"/>
    </row>
    <row r="22" spans="1:9" ht="20.100000000000001" customHeight="1">
      <c r="A22" s="152">
        <v>11</v>
      </c>
      <c r="B22" s="159" t="s">
        <v>7</v>
      </c>
      <c r="C22" s="159" t="s">
        <v>41</v>
      </c>
      <c r="D22" s="158">
        <v>29.135484000000002</v>
      </c>
      <c r="E22" s="158">
        <v>29.135999999999999</v>
      </c>
      <c r="F22" s="153">
        <v>-5.1599999999751844E-4</v>
      </c>
      <c r="I22" s="162"/>
    </row>
    <row r="23" spans="1:9" ht="20.100000000000001" customHeight="1">
      <c r="A23" s="354" t="s">
        <v>42</v>
      </c>
      <c r="B23" s="355"/>
      <c r="C23" s="356"/>
      <c r="D23" s="155">
        <v>899.14305599999989</v>
      </c>
      <c r="E23" s="155">
        <v>599.99900000000002</v>
      </c>
      <c r="F23" s="155">
        <v>299.14405600000009</v>
      </c>
      <c r="I23" s="162"/>
    </row>
    <row r="24" spans="1:9" ht="18" customHeight="1">
      <c r="A24" s="6"/>
      <c r="B24" s="6"/>
      <c r="C24" s="6"/>
      <c r="D24" s="7"/>
      <c r="G24" s="5"/>
      <c r="I24" s="162"/>
    </row>
    <row r="26" spans="1:9">
      <c r="B26" s="38"/>
      <c r="D26" s="5"/>
    </row>
    <row r="28" spans="1:9">
      <c r="E28" s="5"/>
    </row>
  </sheetData>
  <sheetProtection formatCells="0" formatColumns="0" formatRows="0" insertColumns="0" insertRows="0" insertHyperlinks="0" deleteColumns="0" deleteRows="0" sort="0" autoFilter="0" pivotTables="0"/>
  <mergeCells count="17">
    <mergeCell ref="F1:G1"/>
    <mergeCell ref="F2:G2"/>
    <mergeCell ref="F15:F16"/>
    <mergeCell ref="A6:F6"/>
    <mergeCell ref="A7:F7"/>
    <mergeCell ref="A23:C23"/>
    <mergeCell ref="D9:D10"/>
    <mergeCell ref="E9:E10"/>
    <mergeCell ref="F9:F10"/>
    <mergeCell ref="E15:E16"/>
    <mergeCell ref="B11:B12"/>
    <mergeCell ref="B13:B14"/>
    <mergeCell ref="A15:A16"/>
    <mergeCell ref="C15:C16"/>
    <mergeCell ref="A9:A10"/>
    <mergeCell ref="B9:B10"/>
    <mergeCell ref="C9:C10"/>
  </mergeCells>
  <conditionalFormatting sqref="E11:E15 E17:E23 F23 D11:D23">
    <cfRule type="cellIs" dxfId="16" priority="2" operator="equal">
      <formula>0</formula>
    </cfRule>
  </conditionalFormatting>
  <conditionalFormatting sqref="F11:F22">
    <cfRule type="cellIs" dxfId="15" priority="1" operator="between">
      <formula>-0.01</formula>
      <formula>0.01</formula>
    </cfRule>
  </conditionalFormatting>
  <printOptions horizontalCentered="1"/>
  <pageMargins left="0" right="0" top="0.39370078740157483" bottom="0.19685039370078741" header="0.31496062992125984" footer="0.31496062992125984"/>
  <pageSetup paperSize="9" orientation="landscape" r:id="rId1"/>
  <headerFooter>
    <oddFooter>&amp;L&amp;"+,Normal"&amp;9Année scolaire 2013-2014&amp;C&amp;"+,Normal"&amp;9 1ère Dotation&amp;R&amp;"+,Normal"&amp;9&amp;P/&amp;N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1"/>
  <sheetViews>
    <sheetView workbookViewId="0">
      <selection activeCell="C7" sqref="C7"/>
    </sheetView>
  </sheetViews>
  <sheetFormatPr baseColWidth="10" defaultRowHeight="15"/>
  <cols>
    <col min="1" max="1" width="17.140625" style="32" customWidth="1"/>
    <col min="2" max="2" width="22.7109375" style="32" customWidth="1"/>
    <col min="3" max="8" width="16.7109375" style="32" customWidth="1"/>
    <col min="9" max="16384" width="11.42578125" style="32"/>
  </cols>
  <sheetData>
    <row r="1" spans="1:11">
      <c r="A1" s="82"/>
      <c r="B1" s="82"/>
      <c r="C1" s="82"/>
      <c r="D1" s="82"/>
      <c r="E1" s="82"/>
      <c r="F1" s="82"/>
      <c r="G1" s="82"/>
      <c r="H1" s="82"/>
    </row>
    <row r="2" spans="1:11" ht="26.25" customHeight="1">
      <c r="A2" s="372" t="s">
        <v>101</v>
      </c>
      <c r="B2" s="372"/>
      <c r="C2" s="372"/>
      <c r="D2" s="372"/>
      <c r="E2" s="372"/>
      <c r="F2" s="372"/>
      <c r="G2" s="372"/>
      <c r="H2" s="372"/>
    </row>
    <row r="3" spans="1:11" ht="26.25" customHeight="1">
      <c r="A3" s="372" t="s">
        <v>96</v>
      </c>
      <c r="B3" s="372"/>
      <c r="C3" s="372"/>
      <c r="D3" s="372"/>
      <c r="E3" s="372"/>
      <c r="F3" s="372"/>
      <c r="G3" s="372"/>
      <c r="H3" s="372"/>
    </row>
    <row r="4" spans="1:11" ht="23.25" customHeight="1">
      <c r="A4" s="82"/>
      <c r="B4" s="82"/>
      <c r="C4" s="82"/>
      <c r="D4" s="82"/>
      <c r="E4" s="82"/>
      <c r="F4" s="82"/>
      <c r="G4" s="82"/>
      <c r="H4" s="82"/>
    </row>
    <row r="5" spans="1:11" ht="30" customHeight="1">
      <c r="A5" s="375" t="s">
        <v>77</v>
      </c>
      <c r="B5" s="373" t="s">
        <v>98</v>
      </c>
      <c r="C5" s="371" t="s">
        <v>97</v>
      </c>
      <c r="D5" s="371"/>
      <c r="E5" s="371"/>
      <c r="F5" s="371"/>
      <c r="G5" s="371"/>
      <c r="H5" s="371"/>
    </row>
    <row r="6" spans="1:11" ht="30" customHeight="1">
      <c r="A6" s="375"/>
      <c r="B6" s="374"/>
      <c r="C6" s="126" t="s">
        <v>17</v>
      </c>
      <c r="D6" s="126" t="s">
        <v>18</v>
      </c>
      <c r="E6" s="126" t="s">
        <v>19</v>
      </c>
      <c r="F6" s="126" t="s">
        <v>20</v>
      </c>
      <c r="G6" s="126" t="s">
        <v>74</v>
      </c>
      <c r="H6" s="127" t="s">
        <v>30</v>
      </c>
    </row>
    <row r="7" spans="1:11" ht="39.950000000000003" customHeight="1">
      <c r="A7" s="376" t="s">
        <v>94</v>
      </c>
      <c r="B7" s="114" t="s">
        <v>100</v>
      </c>
      <c r="C7" s="119">
        <f>0.108+1810.748</f>
        <v>1810.856</v>
      </c>
      <c r="D7" s="119"/>
      <c r="E7" s="119">
        <f>0.071+308.828</f>
        <v>308.899</v>
      </c>
      <c r="F7" s="119"/>
      <c r="G7" s="119">
        <v>0</v>
      </c>
      <c r="H7" s="120">
        <f>SUM(C7:G7)</f>
        <v>2119.7550000000001</v>
      </c>
    </row>
    <row r="8" spans="1:11" ht="39.950000000000003" customHeight="1">
      <c r="A8" s="376"/>
      <c r="B8" s="114" t="s">
        <v>99</v>
      </c>
      <c r="C8" s="119">
        <f>78.01</f>
        <v>78.010000000000005</v>
      </c>
      <c r="D8" s="119">
        <v>98.180999999999997</v>
      </c>
      <c r="E8" s="119">
        <f>31.113</f>
        <v>31.113</v>
      </c>
      <c r="F8" s="119">
        <v>46.359000000000002</v>
      </c>
      <c r="G8" s="119">
        <v>0</v>
      </c>
      <c r="H8" s="120">
        <f>SUM(C8:G8)</f>
        <v>253.66300000000001</v>
      </c>
    </row>
    <row r="9" spans="1:11" ht="39.950000000000003" customHeight="1">
      <c r="A9" s="376"/>
      <c r="B9" s="115" t="s">
        <v>95</v>
      </c>
      <c r="C9" s="119">
        <f>SUM(C7:C8)</f>
        <v>1888.866</v>
      </c>
      <c r="D9" s="119">
        <f t="shared" ref="D9:G9" si="0">SUM(D7:D8)</f>
        <v>98.180999999999997</v>
      </c>
      <c r="E9" s="119">
        <f t="shared" si="0"/>
        <v>340.012</v>
      </c>
      <c r="F9" s="119">
        <f t="shared" si="0"/>
        <v>46.359000000000002</v>
      </c>
      <c r="G9" s="119">
        <f t="shared" si="0"/>
        <v>0</v>
      </c>
      <c r="H9" s="120">
        <f>SUM(H7:H8)</f>
        <v>2373.4180000000001</v>
      </c>
    </row>
    <row r="10" spans="1:11" ht="8.1" customHeight="1">
      <c r="A10" s="121"/>
      <c r="C10" s="121"/>
      <c r="D10" s="121"/>
      <c r="E10" s="121"/>
      <c r="F10" s="121"/>
      <c r="G10" s="121"/>
      <c r="H10" s="121"/>
    </row>
    <row r="11" spans="1:11" ht="39.950000000000003" customHeight="1">
      <c r="A11" s="377" t="s">
        <v>78</v>
      </c>
      <c r="B11" s="116" t="s">
        <v>93</v>
      </c>
      <c r="C11" s="122">
        <f>SUMIF(Enlevements_ONUCI_WH!$F$8:'Enlevements_ONUCI_WH'!$F$228,"Riz",Enlevements_ONUCI_WH!$K$8:'Enlevements_ONUCI_WH'!$K$228)</f>
        <v>1810.8560000000002</v>
      </c>
      <c r="D11" s="122">
        <f>SUMIF(Enlevements_ONUCI_WH!$F$8:'Enlevements_ONUCI_WH'!$F$228,"Huile",Enlevements_ONUCI_WH!$K$8:'Enlevements_ONUCI_WH'!$K$228)</f>
        <v>0</v>
      </c>
      <c r="E11" s="122">
        <f>SUMIF(Enlevements_ONUCI_WH!$F$8:'Enlevements_ONUCI_WH'!$F$228,"Pois_cassé",Enlevements_ONUCI_WH!$K$8:'Enlevements_ONUCI_WH'!$K$228)</f>
        <v>308.899</v>
      </c>
      <c r="F11" s="122">
        <f>SUMIF(Enlevements_ONUCI_WH!$F$8:'Enlevements_ONUCI_WH'!$F$228,"Sel",Enlevements_ONUCI_WH!$K$8:'Enlevements_ONUCI_WH'!$K$228)</f>
        <v>0</v>
      </c>
      <c r="G11" s="122">
        <f>SUMIF(Enlevements_ONUCI_WH!$F$8:'Enlevements_ONUCI_WH'!$F$228,"Datte",Enlevements_ONUCI_WH!$K$8:'Enlevements_ONUCI_WH'!$K$228)</f>
        <v>599.99900000000002</v>
      </c>
      <c r="H11" s="123">
        <f>SUM(C11:G11)</f>
        <v>2719.7539999999999</v>
      </c>
    </row>
    <row r="12" spans="1:11" ht="39.950000000000003" customHeight="1">
      <c r="A12" s="377"/>
      <c r="B12" s="116" t="s">
        <v>99</v>
      </c>
      <c r="C12" s="122">
        <f>SUMIF(Enlevements_PORT!$F$8:'Enlevements_PORT'!$F$228,"Riz",Enlevements_PORT!$K$8:'Enlevements_PORT'!$K$228)</f>
        <v>99.440970000000007</v>
      </c>
      <c r="D12" s="122">
        <f>SUMIF(Enlevements_PORT!$F$8:'Enlevements_PORT'!$F$228,"Huile",Enlevements_PORT!$K$8:'Enlevements_PORT'!$K$228)</f>
        <v>96.964722399999985</v>
      </c>
      <c r="E12" s="122">
        <f>SUMIF(Enlevements_PORT!$F$8:'Enlevements_PORT'!$F$228,"Pois_cassé",Enlevements_PORT!$K$8:'Enlevements_PORT'!$K$228)</f>
        <v>33.081000000000003</v>
      </c>
      <c r="F12" s="122">
        <f>SUMIF(Enlevements_PORT!$F$8:'Enlevements_PORT'!$F$228,"Sel",Enlevements_PORT!$K$8:'Enlevements_PORT'!$K$228)</f>
        <v>37.778999999999996</v>
      </c>
      <c r="G12" s="122">
        <f>SUMIF(Enlevements_PORT!$F$8:'Enlevements_PORT'!$F$228,"Datte",Enlevements_PORT!$K$8:'Enlevements_PORT'!$K$228)</f>
        <v>0</v>
      </c>
      <c r="H12" s="123">
        <f>SUM(C12:G12)</f>
        <v>267.26569239999998</v>
      </c>
    </row>
    <row r="13" spans="1:11" ht="39.950000000000003" customHeight="1">
      <c r="A13" s="377"/>
      <c r="B13" s="117" t="s">
        <v>43</v>
      </c>
      <c r="C13" s="122">
        <f>SUM(C11:C12)</f>
        <v>1910.2969700000003</v>
      </c>
      <c r="D13" s="122">
        <f>SUM(D11:D12)</f>
        <v>96.964722399999985</v>
      </c>
      <c r="E13" s="122">
        <f t="shared" ref="E13:G13" si="1">SUM(E11:E12)</f>
        <v>341.98</v>
      </c>
      <c r="F13" s="122">
        <f t="shared" si="1"/>
        <v>37.778999999999996</v>
      </c>
      <c r="G13" s="122">
        <f t="shared" si="1"/>
        <v>599.99900000000002</v>
      </c>
      <c r="H13" s="123">
        <f>SUM(H11:H12)</f>
        <v>2987.0196923999997</v>
      </c>
    </row>
    <row r="14" spans="1:11" ht="8.1" customHeight="1">
      <c r="A14" s="121"/>
      <c r="C14" s="121"/>
      <c r="D14" s="121"/>
      <c r="E14" s="121"/>
      <c r="F14" s="121"/>
      <c r="G14" s="121"/>
      <c r="H14" s="121"/>
    </row>
    <row r="15" spans="1:11" ht="39.950000000000003" customHeight="1">
      <c r="A15" s="368" t="s">
        <v>79</v>
      </c>
      <c r="B15" s="114" t="s">
        <v>93</v>
      </c>
      <c r="C15" s="119">
        <f>C7-C11</f>
        <v>0</v>
      </c>
      <c r="D15" s="119">
        <f t="shared" ref="D15:H15" si="2">D7-D11</f>
        <v>0</v>
      </c>
      <c r="E15" s="119">
        <f>E7-E11</f>
        <v>0</v>
      </c>
      <c r="F15" s="119">
        <f t="shared" si="2"/>
        <v>0</v>
      </c>
      <c r="G15" s="119">
        <f t="shared" si="2"/>
        <v>-599.99900000000002</v>
      </c>
      <c r="H15" s="120">
        <f t="shared" si="2"/>
        <v>-599.9989999999998</v>
      </c>
      <c r="K15" s="111"/>
    </row>
    <row r="16" spans="1:11" ht="39.950000000000003" customHeight="1">
      <c r="A16" s="369"/>
      <c r="B16" s="114" t="s">
        <v>99</v>
      </c>
      <c r="C16" s="119">
        <f>C8-C12</f>
        <v>-21.430970000000002</v>
      </c>
      <c r="D16" s="119">
        <f>D8-D12</f>
        <v>1.2162776000000122</v>
      </c>
      <c r="E16" s="119">
        <f t="shared" ref="E16:H16" si="3">E8-E12</f>
        <v>-1.9680000000000035</v>
      </c>
      <c r="F16" s="119">
        <f t="shared" si="3"/>
        <v>8.5800000000000054</v>
      </c>
      <c r="G16" s="119">
        <f t="shared" si="3"/>
        <v>0</v>
      </c>
      <c r="H16" s="120">
        <f t="shared" si="3"/>
        <v>-13.602692399999967</v>
      </c>
    </row>
    <row r="17" spans="1:8" ht="39.950000000000003" customHeight="1">
      <c r="A17" s="370"/>
      <c r="B17" s="118" t="s">
        <v>95</v>
      </c>
      <c r="C17" s="124">
        <f>(C7+C8)-(C12+C11)</f>
        <v>-21.430970000000343</v>
      </c>
      <c r="D17" s="124">
        <f t="shared" ref="D17:H17" si="4">(D7+D8)-(D12+D11)</f>
        <v>1.2162776000000122</v>
      </c>
      <c r="E17" s="124">
        <f t="shared" si="4"/>
        <v>-1.9680000000000177</v>
      </c>
      <c r="F17" s="124">
        <f t="shared" si="4"/>
        <v>8.5800000000000054</v>
      </c>
      <c r="G17" s="124">
        <f>(G7+G8)-(G12+G11)</f>
        <v>-599.99900000000002</v>
      </c>
      <c r="H17" s="125">
        <f t="shared" si="4"/>
        <v>-613.60169239999959</v>
      </c>
    </row>
    <row r="18" spans="1:8">
      <c r="C18" s="40"/>
      <c r="D18" s="40"/>
      <c r="E18" s="40"/>
      <c r="F18" s="40"/>
      <c r="G18" s="40"/>
    </row>
    <row r="20" spans="1:8">
      <c r="C20" s="111"/>
    </row>
    <row r="21" spans="1:8">
      <c r="C21" s="111"/>
    </row>
  </sheetData>
  <sheetProtection formatCells="0" formatColumns="0" formatRows="0" insertColumns="0" insertRows="0" insertHyperlinks="0" deleteColumns="0" deleteRows="0" sort="0" autoFilter="0" pivotTables="0"/>
  <mergeCells count="8">
    <mergeCell ref="A15:A17"/>
    <mergeCell ref="C5:H5"/>
    <mergeCell ref="A3:H3"/>
    <mergeCell ref="A2:H2"/>
    <mergeCell ref="B5:B6"/>
    <mergeCell ref="A5:A6"/>
    <mergeCell ref="A7:A9"/>
    <mergeCell ref="A11:A13"/>
  </mergeCells>
  <conditionalFormatting sqref="C17:H17">
    <cfRule type="cellIs" dxfId="14" priority="1" operator="between">
      <formula>-0.0001</formula>
      <formula>0.0001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1"/>
  <sheetViews>
    <sheetView topLeftCell="A4" workbookViewId="0">
      <selection activeCell="C7" sqref="C7"/>
    </sheetView>
  </sheetViews>
  <sheetFormatPr baseColWidth="10" defaultRowHeight="15"/>
  <cols>
    <col min="1" max="1" width="17.140625" style="32" customWidth="1"/>
    <col min="2" max="2" width="22.7109375" style="32" customWidth="1"/>
    <col min="3" max="8" width="16.7109375" style="32" customWidth="1"/>
    <col min="9" max="16384" width="11.42578125" style="32"/>
  </cols>
  <sheetData>
    <row r="1" spans="1:11">
      <c r="A1" s="82"/>
      <c r="B1" s="82"/>
      <c r="C1" s="82"/>
      <c r="D1" s="82"/>
      <c r="E1" s="82"/>
      <c r="F1" s="82"/>
      <c r="G1" s="82"/>
      <c r="H1" s="82"/>
    </row>
    <row r="2" spans="1:11" ht="26.25" customHeight="1">
      <c r="A2" s="372" t="s">
        <v>101</v>
      </c>
      <c r="B2" s="372"/>
      <c r="C2" s="372"/>
      <c r="D2" s="372"/>
      <c r="E2" s="372"/>
      <c r="F2" s="372"/>
      <c r="G2" s="372"/>
      <c r="H2" s="372"/>
    </row>
    <row r="3" spans="1:11" ht="26.25" customHeight="1">
      <c r="A3" s="372" t="s">
        <v>96</v>
      </c>
      <c r="B3" s="372"/>
      <c r="C3" s="372"/>
      <c r="D3" s="372"/>
      <c r="E3" s="372"/>
      <c r="F3" s="372"/>
      <c r="G3" s="372"/>
      <c r="H3" s="372"/>
    </row>
    <row r="4" spans="1:11" ht="23.25" customHeight="1">
      <c r="A4" s="82"/>
      <c r="B4" s="82"/>
      <c r="C4" s="82"/>
      <c r="D4" s="82"/>
      <c r="E4" s="82"/>
      <c r="F4" s="82"/>
      <c r="G4" s="82"/>
      <c r="H4" s="82"/>
    </row>
    <row r="5" spans="1:11" ht="30" customHeight="1">
      <c r="A5" s="375" t="s">
        <v>77</v>
      </c>
      <c r="B5" s="373" t="s">
        <v>98</v>
      </c>
      <c r="C5" s="371" t="s">
        <v>97</v>
      </c>
      <c r="D5" s="371"/>
      <c r="E5" s="371"/>
      <c r="F5" s="371"/>
      <c r="G5" s="371"/>
      <c r="H5" s="371"/>
    </row>
    <row r="6" spans="1:11" ht="30" customHeight="1">
      <c r="A6" s="375"/>
      <c r="B6" s="374"/>
      <c r="C6" s="126" t="s">
        <v>17</v>
      </c>
      <c r="D6" s="126" t="s">
        <v>18</v>
      </c>
      <c r="E6" s="126" t="s">
        <v>19</v>
      </c>
      <c r="F6" s="126" t="s">
        <v>20</v>
      </c>
      <c r="G6" s="126" t="s">
        <v>74</v>
      </c>
      <c r="H6" s="127" t="s">
        <v>30</v>
      </c>
    </row>
    <row r="7" spans="1:11" ht="39.950000000000003" customHeight="1">
      <c r="A7" s="376" t="s">
        <v>94</v>
      </c>
      <c r="B7" s="114" t="s">
        <v>100</v>
      </c>
      <c r="C7" s="119">
        <f>0.108+1810.748</f>
        <v>1810.856</v>
      </c>
      <c r="D7" s="119"/>
      <c r="E7" s="119">
        <f>0.071+308.828</f>
        <v>308.899</v>
      </c>
      <c r="F7" s="119"/>
      <c r="G7" s="119">
        <v>0</v>
      </c>
      <c r="H7" s="120">
        <f>SUM(C7:G7)</f>
        <v>2119.7550000000001</v>
      </c>
    </row>
    <row r="8" spans="1:11" ht="39.950000000000003" customHeight="1">
      <c r="A8" s="376"/>
      <c r="B8" s="114" t="s">
        <v>99</v>
      </c>
      <c r="C8" s="119">
        <f>78.01+21.339</f>
        <v>99.349000000000004</v>
      </c>
      <c r="D8" s="119">
        <v>98.180999999999997</v>
      </c>
      <c r="E8" s="119">
        <f>31.113+1.966</f>
        <v>33.079000000000001</v>
      </c>
      <c r="F8" s="119">
        <v>46.359000000000002</v>
      </c>
      <c r="G8" s="119">
        <v>0</v>
      </c>
      <c r="H8" s="120">
        <f>SUM(C8:G8)</f>
        <v>276.96800000000002</v>
      </c>
    </row>
    <row r="9" spans="1:11" ht="39.950000000000003" customHeight="1">
      <c r="A9" s="376"/>
      <c r="B9" s="115" t="s">
        <v>95</v>
      </c>
      <c r="C9" s="119">
        <f>SUM(C7:C8)</f>
        <v>1910.2049999999999</v>
      </c>
      <c r="D9" s="119">
        <f t="shared" ref="D9:G9" si="0">SUM(D7:D8)</f>
        <v>98.180999999999997</v>
      </c>
      <c r="E9" s="119">
        <f t="shared" si="0"/>
        <v>341.97800000000001</v>
      </c>
      <c r="F9" s="119">
        <f t="shared" si="0"/>
        <v>46.359000000000002</v>
      </c>
      <c r="G9" s="119">
        <f t="shared" si="0"/>
        <v>0</v>
      </c>
      <c r="H9" s="120">
        <f>SUM(H7:H8)</f>
        <v>2396.723</v>
      </c>
    </row>
    <row r="10" spans="1:11" ht="8.1" customHeight="1">
      <c r="A10" s="121"/>
      <c r="C10" s="121"/>
      <c r="D10" s="121"/>
      <c r="E10" s="121"/>
      <c r="F10" s="121"/>
      <c r="G10" s="121"/>
      <c r="H10" s="121"/>
    </row>
    <row r="11" spans="1:11" ht="39.950000000000003" customHeight="1">
      <c r="A11" s="377" t="s">
        <v>78</v>
      </c>
      <c r="B11" s="116" t="s">
        <v>93</v>
      </c>
      <c r="C11" s="122">
        <f>SUMIF(Enlevements_ONUCI_WH!$F$8:'Enlevements_ONUCI_WH'!$F$228,"Riz",Enlevements_ONUCI_WH!$K$8:'Enlevements_ONUCI_WH'!$K$228)</f>
        <v>1810.8560000000002</v>
      </c>
      <c r="D11" s="122">
        <f>SUMIF(Enlevements_ONUCI_WH!$F$8:'Enlevements_ONUCI_WH'!$F$228,"Huile",Enlevements_ONUCI_WH!$K$8:'Enlevements_ONUCI_WH'!$K$228)</f>
        <v>0</v>
      </c>
      <c r="E11" s="122">
        <f>SUMIF(Enlevements_ONUCI_WH!$F$8:'Enlevements_ONUCI_WH'!$F$228,"Pois_cassé",Enlevements_ONUCI_WH!$K$8:'Enlevements_ONUCI_WH'!$K$228)</f>
        <v>308.899</v>
      </c>
      <c r="F11" s="122">
        <f>SUMIF(Enlevements_ONUCI_WH!$F$8:'Enlevements_ONUCI_WH'!$F$228,"Sel",Enlevements_ONUCI_WH!$K$8:'Enlevements_ONUCI_WH'!$K$228)</f>
        <v>0</v>
      </c>
      <c r="G11" s="122">
        <f>SUMIF(Enlevements_ONUCI_WH!$F$8:'Enlevements_ONUCI_WH'!$F$228,"Datte",Enlevements_ONUCI_WH!$K$8:'Enlevements_ONUCI_WH'!$K$228)</f>
        <v>599.99900000000002</v>
      </c>
      <c r="H11" s="123">
        <f>SUM(C11:G11)</f>
        <v>2719.7539999999999</v>
      </c>
    </row>
    <row r="12" spans="1:11" ht="39.950000000000003" customHeight="1">
      <c r="A12" s="377"/>
      <c r="B12" s="116" t="s">
        <v>99</v>
      </c>
      <c r="C12" s="122">
        <f>SUMIF(Enlevements_PORT!$F$8:'Enlevements_PORT'!$F$228,"Riz",Enlevements_PORT!$K$8:'Enlevements_PORT'!$K$228)</f>
        <v>99.440970000000007</v>
      </c>
      <c r="D12" s="122">
        <f>SUMIF(Enlevements_PORT!$F$8:'Enlevements_PORT'!$F$228,"Huile",Enlevements_PORT!$K$8:'Enlevements_PORT'!$K$228)</f>
        <v>96.964722399999985</v>
      </c>
      <c r="E12" s="122">
        <f>SUMIF(Enlevements_PORT!$F$8:'Enlevements_PORT'!$F$228,"Pois_cassé",Enlevements_PORT!$K$8:'Enlevements_PORT'!$K$228)</f>
        <v>33.081000000000003</v>
      </c>
      <c r="F12" s="122">
        <f>SUMIF(Enlevements_PORT!$F$8:'Enlevements_PORT'!$F$228,"Sel",Enlevements_PORT!$K$8:'Enlevements_PORT'!$K$228)</f>
        <v>37.778999999999996</v>
      </c>
      <c r="G12" s="122">
        <f>SUMIF(Enlevements_PORT!$F$8:'Enlevements_PORT'!$F$228,"Datte",Enlevements_PORT!$K$8:'Enlevements_PORT'!$K$228)</f>
        <v>0</v>
      </c>
      <c r="H12" s="123">
        <f>SUM(C12:G12)</f>
        <v>267.26569239999998</v>
      </c>
    </row>
    <row r="13" spans="1:11" ht="39.950000000000003" customHeight="1">
      <c r="A13" s="377"/>
      <c r="B13" s="117" t="s">
        <v>43</v>
      </c>
      <c r="C13" s="122">
        <f>SUM(C11:C12)</f>
        <v>1910.2969700000003</v>
      </c>
      <c r="D13" s="122">
        <f>SUM(D11:D12)</f>
        <v>96.964722399999985</v>
      </c>
      <c r="E13" s="122">
        <f t="shared" ref="E13:G13" si="1">SUM(E11:E12)</f>
        <v>341.98</v>
      </c>
      <c r="F13" s="122">
        <f t="shared" si="1"/>
        <v>37.778999999999996</v>
      </c>
      <c r="G13" s="122">
        <f t="shared" si="1"/>
        <v>599.99900000000002</v>
      </c>
      <c r="H13" s="123">
        <f>SUM(H11:H12)</f>
        <v>2987.0196923999997</v>
      </c>
    </row>
    <row r="14" spans="1:11" ht="8.1" customHeight="1">
      <c r="A14" s="121"/>
      <c r="C14" s="121"/>
      <c r="D14" s="121"/>
      <c r="E14" s="121"/>
      <c r="F14" s="121"/>
      <c r="G14" s="121"/>
      <c r="H14" s="121"/>
    </row>
    <row r="15" spans="1:11" ht="39.950000000000003" customHeight="1">
      <c r="A15" s="368" t="s">
        <v>79</v>
      </c>
      <c r="B15" s="114" t="s">
        <v>93</v>
      </c>
      <c r="C15" s="119">
        <f>C7-C11</f>
        <v>0</v>
      </c>
      <c r="D15" s="119">
        <f t="shared" ref="D15:H15" si="2">D7-D11</f>
        <v>0</v>
      </c>
      <c r="E15" s="119">
        <f>E7-E11</f>
        <v>0</v>
      </c>
      <c r="F15" s="119">
        <f t="shared" si="2"/>
        <v>0</v>
      </c>
      <c r="G15" s="119">
        <f t="shared" si="2"/>
        <v>-599.99900000000002</v>
      </c>
      <c r="H15" s="120">
        <f t="shared" si="2"/>
        <v>-599.9989999999998</v>
      </c>
      <c r="K15" s="111"/>
    </row>
    <row r="16" spans="1:11" ht="39.950000000000003" customHeight="1">
      <c r="A16" s="369"/>
      <c r="B16" s="114" t="s">
        <v>99</v>
      </c>
      <c r="C16" s="119">
        <f>C8-C12</f>
        <v>-9.1970000000003438E-2</v>
      </c>
      <c r="D16" s="119">
        <f>D8-D12</f>
        <v>1.2162776000000122</v>
      </c>
      <c r="E16" s="119">
        <f t="shared" ref="E16:H16" si="3">E8-E12</f>
        <v>-2.0000000000024443E-3</v>
      </c>
      <c r="F16" s="119">
        <f t="shared" si="3"/>
        <v>8.5800000000000054</v>
      </c>
      <c r="G16" s="119">
        <f t="shared" si="3"/>
        <v>0</v>
      </c>
      <c r="H16" s="120">
        <f t="shared" si="3"/>
        <v>9.7023076000000401</v>
      </c>
    </row>
    <row r="17" spans="1:8" ht="39.950000000000003" customHeight="1">
      <c r="A17" s="370"/>
      <c r="B17" s="118" t="s">
        <v>95</v>
      </c>
      <c r="C17" s="124">
        <f>(C7+C8)-(C12+C11)</f>
        <v>-9.1970000000401342E-2</v>
      </c>
      <c r="D17" s="124">
        <f t="shared" ref="D17:H17" si="4">(D7+D8)-(D12+D11)</f>
        <v>1.2162776000000122</v>
      </c>
      <c r="E17" s="124">
        <f t="shared" si="4"/>
        <v>-2.0000000000095497E-3</v>
      </c>
      <c r="F17" s="124">
        <f t="shared" si="4"/>
        <v>8.5800000000000054</v>
      </c>
      <c r="G17" s="124">
        <f>(G7+G8)-(G12+G11)</f>
        <v>-599.99900000000002</v>
      </c>
      <c r="H17" s="125">
        <f t="shared" si="4"/>
        <v>-590.29669239999976</v>
      </c>
    </row>
    <row r="18" spans="1:8">
      <c r="C18" s="40"/>
      <c r="D18" s="40"/>
      <c r="E18" s="40"/>
      <c r="F18" s="40"/>
      <c r="G18" s="40"/>
    </row>
    <row r="20" spans="1:8">
      <c r="C20" s="111"/>
    </row>
    <row r="21" spans="1:8">
      <c r="C21" s="111"/>
    </row>
  </sheetData>
  <sheetProtection formatCells="0" formatColumns="0" formatRows="0" insertColumns="0" insertRows="0" insertHyperlinks="0" deleteColumns="0" deleteRows="0" sort="0" autoFilter="0" pivotTables="0"/>
  <mergeCells count="8">
    <mergeCell ref="A11:A13"/>
    <mergeCell ref="A15:A17"/>
    <mergeCell ref="A2:H2"/>
    <mergeCell ref="A3:H3"/>
    <mergeCell ref="A5:A6"/>
    <mergeCell ref="B5:B6"/>
    <mergeCell ref="C5:H5"/>
    <mergeCell ref="A7:A9"/>
  </mergeCells>
  <conditionalFormatting sqref="C17:H17">
    <cfRule type="cellIs" dxfId="13" priority="1" operator="between">
      <formula>-0.0001</formula>
      <formula>0.0001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G12"/>
  <sheetViews>
    <sheetView workbookViewId="0">
      <selection activeCell="B6" sqref="B6"/>
    </sheetView>
  </sheetViews>
  <sheetFormatPr baseColWidth="10" defaultRowHeight="15"/>
  <cols>
    <col min="1" max="1" width="25.5703125" style="32" customWidth="1"/>
    <col min="2" max="7" width="16.7109375" style="32" customWidth="1"/>
    <col min="8" max="16384" width="11.42578125" style="32"/>
  </cols>
  <sheetData>
    <row r="1" spans="1:7">
      <c r="A1" s="82"/>
      <c r="B1" s="82"/>
      <c r="C1" s="82"/>
      <c r="D1" s="82"/>
      <c r="E1" s="82"/>
      <c r="F1" s="82"/>
      <c r="G1" s="82"/>
    </row>
    <row r="2" spans="1:7" ht="26.25" customHeight="1">
      <c r="A2" s="378" t="s">
        <v>83</v>
      </c>
      <c r="B2" s="378"/>
      <c r="C2" s="378"/>
      <c r="D2" s="378"/>
      <c r="E2" s="378"/>
      <c r="F2" s="378"/>
      <c r="G2" s="378"/>
    </row>
    <row r="3" spans="1:7" ht="23.25" customHeight="1">
      <c r="A3" s="82"/>
      <c r="B3" s="82"/>
      <c r="C3" s="82"/>
      <c r="D3" s="82"/>
      <c r="E3" s="82"/>
      <c r="F3" s="82"/>
      <c r="G3" s="82"/>
    </row>
    <row r="4" spans="1:7" ht="30" customHeight="1">
      <c r="A4" s="379" t="s">
        <v>77</v>
      </c>
      <c r="B4" s="380" t="s">
        <v>27</v>
      </c>
      <c r="C4" s="380"/>
      <c r="D4" s="380"/>
      <c r="E4" s="380"/>
      <c r="F4" s="380"/>
      <c r="G4" s="380"/>
    </row>
    <row r="5" spans="1:7" ht="30" customHeight="1">
      <c r="A5" s="379"/>
      <c r="B5" s="42" t="s">
        <v>17</v>
      </c>
      <c r="C5" s="42" t="s">
        <v>18</v>
      </c>
      <c r="D5" s="42" t="s">
        <v>19</v>
      </c>
      <c r="E5" s="42" t="s">
        <v>20</v>
      </c>
      <c r="F5" s="42" t="s">
        <v>74</v>
      </c>
      <c r="G5" s="43" t="s">
        <v>30</v>
      </c>
    </row>
    <row r="6" spans="1:7" ht="39.950000000000003" customHeight="1">
      <c r="A6" s="99" t="s">
        <v>85</v>
      </c>
      <c r="B6" s="100">
        <f>1050.656+21.339+61.209</f>
        <v>1133.204</v>
      </c>
      <c r="C6" s="100">
        <f>65.04+3.142062</f>
        <v>68.182062000000002</v>
      </c>
      <c r="D6" s="100">
        <f>189.118+1.966+11.01762</f>
        <v>202.10162</v>
      </c>
      <c r="E6" s="100">
        <f>21.013+1.22418</f>
        <v>22.237180000000002</v>
      </c>
      <c r="F6" s="100">
        <f>500.112+29.135484</f>
        <v>529.24748399999999</v>
      </c>
      <c r="G6" s="101">
        <f>SUM(B6:F6)</f>
        <v>1954.972346</v>
      </c>
    </row>
    <row r="7" spans="1:7" ht="39.950000000000003" customHeight="1">
      <c r="A7" s="41" t="s">
        <v>86</v>
      </c>
      <c r="B7" s="83">
        <f>SUMIF(Enlevements_ONUCI_WH!$H$8:'Enlevements_ONUCI_WH'!$H$228,"Grain_Argent-Riz",Enlevements_ONUCI_WH!$K$8:'Enlevements_ONUCI_WH'!$K$228)+SUMIF(Enlevements_PORT!$H$8:'Enlevements_PORT'!$H$228,"Grain_Argent-Riz",Enlevements_PORT!$K$8:'Enlevements_PORT'!$K$228)</f>
        <v>1375.7559699999999</v>
      </c>
      <c r="C7" s="83">
        <f>SUMIF(Enlevements_ONUCI_WH!$H$8:'Enlevements_ONUCI_WH'!$H$228,"Grain_Argent-Huile",Enlevements_ONUCI_WH!$K$8:'Enlevements_ONUCI_WH'!$K$228)+SUMIF(Enlevements_PORT!$H$8:'Enlevements_PORT'!$H$228,"Grain_Argent-Huile",Enlevements_PORT!$K$8:'Enlevements_PORT'!$K$228)</f>
        <v>77.926739799999993</v>
      </c>
      <c r="D7" s="83">
        <f>SUMIF(Enlevements_ONUCI_WH!$H$8:'Enlevements_ONUCI_WH'!$H$228,"Grain_Argent-Pois_cassé",Enlevements_ONUCI_WH!$K$8:'Enlevements_ONUCI_WH'!$K$228)+SUMIF(Enlevements_PORT!$H$8:'Enlevements_PORT'!$H$228,"Grain_Argent-Pois_cassé",Enlevements_PORT!$K$8:'Enlevements_PORT'!$K$228)</f>
        <v>341.98</v>
      </c>
      <c r="E7" s="83">
        <f>SUMIF(Enlevements_ONUCI_WH!$H$8:'Enlevements_ONUCI_WH'!$H$228,"Grain_Argent-Sel",Enlevements_ONUCI_WH!$K$8:'Enlevements_ONUCI_WH'!$K$228)+SUMIF(Enlevements_PORT!$H$8:'Enlevements_PORT'!$H$228,"Grain_Argent-Sel",Enlevements_PORT!$K$8:'Enlevements_PORT'!$K$228)</f>
        <v>29.379000000000001</v>
      </c>
      <c r="F7" s="83">
        <f>SUMIF(Enlevements_ONUCI_WH!$H$8:'Enlevements_ONUCI_WH'!$H$228,"Grain_Argent-Datte",Enlevements_ONUCI_WH!$K$8:'Enlevements_ONUCI_WH'!$K$228)+SUMIF(Enlevements_PORT!$H$8:'Enlevements_PORT'!$H$228,"Grain_Argent-Datte",Enlevements_PORT!$K$8:'Enlevements_PORT'!$K$228)</f>
        <v>0</v>
      </c>
      <c r="G7" s="39">
        <f>SUM(B7:F7)</f>
        <v>1825.0417097999998</v>
      </c>
    </row>
    <row r="8" spans="1:7" ht="39.950000000000003" customHeight="1">
      <c r="A8" s="102" t="s">
        <v>79</v>
      </c>
      <c r="B8" s="103">
        <f>B6-B7</f>
        <v>-242.55196999999998</v>
      </c>
      <c r="C8" s="103">
        <f t="shared" ref="C8:F8" si="0">C6-C7</f>
        <v>-9.744677799999991</v>
      </c>
      <c r="D8" s="103">
        <f t="shared" si="0"/>
        <v>-139.87838000000002</v>
      </c>
      <c r="E8" s="103">
        <f t="shared" si="0"/>
        <v>-7.1418199999999992</v>
      </c>
      <c r="F8" s="103">
        <f t="shared" si="0"/>
        <v>529.24748399999999</v>
      </c>
      <c r="G8" s="104">
        <f>SUM(B8:F8)</f>
        <v>129.93063620000004</v>
      </c>
    </row>
    <row r="9" spans="1:7">
      <c r="B9" s="40"/>
      <c r="C9" s="40"/>
      <c r="D9" s="40"/>
      <c r="E9" s="40"/>
      <c r="F9" s="40"/>
    </row>
    <row r="12" spans="1:7">
      <c r="B12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2:G2"/>
    <mergeCell ref="A4:A5"/>
    <mergeCell ref="B4:G4"/>
  </mergeCells>
  <conditionalFormatting sqref="B8:G8">
    <cfRule type="cellIs" dxfId="12" priority="2" operator="between">
      <formula>-0.0001</formula>
      <formula>0.0001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12"/>
  <sheetViews>
    <sheetView workbookViewId="0">
      <selection activeCell="F6" sqref="F6"/>
    </sheetView>
  </sheetViews>
  <sheetFormatPr baseColWidth="10" defaultRowHeight="15"/>
  <cols>
    <col min="1" max="1" width="23.140625" style="32" customWidth="1"/>
    <col min="2" max="7" width="17.7109375" style="32" customWidth="1"/>
    <col min="8" max="16384" width="11.42578125" style="32"/>
  </cols>
  <sheetData>
    <row r="1" spans="1:7">
      <c r="A1" s="82"/>
      <c r="B1" s="82"/>
      <c r="C1" s="82"/>
      <c r="D1" s="82"/>
      <c r="E1" s="82"/>
      <c r="F1" s="82"/>
      <c r="G1" s="82"/>
    </row>
    <row r="2" spans="1:7" ht="26.25" customHeight="1">
      <c r="A2" s="378" t="s">
        <v>84</v>
      </c>
      <c r="B2" s="378"/>
      <c r="C2" s="378"/>
      <c r="D2" s="378"/>
      <c r="E2" s="378"/>
      <c r="F2" s="378"/>
      <c r="G2" s="378"/>
    </row>
    <row r="3" spans="1:7" ht="23.25" customHeight="1">
      <c r="A3" s="82"/>
      <c r="B3" s="82"/>
      <c r="C3" s="82"/>
      <c r="D3" s="82"/>
      <c r="E3" s="82"/>
      <c r="F3" s="82"/>
      <c r="G3" s="82"/>
    </row>
    <row r="4" spans="1:7" ht="30" customHeight="1">
      <c r="A4" s="379" t="s">
        <v>77</v>
      </c>
      <c r="B4" s="380" t="s">
        <v>27</v>
      </c>
      <c r="C4" s="380"/>
      <c r="D4" s="380"/>
      <c r="E4" s="380"/>
      <c r="F4" s="380"/>
      <c r="G4" s="380"/>
    </row>
    <row r="5" spans="1:7" ht="30" customHeight="1">
      <c r="A5" s="379"/>
      <c r="B5" s="42" t="s">
        <v>17</v>
      </c>
      <c r="C5" s="42" t="s">
        <v>18</v>
      </c>
      <c r="D5" s="42" t="s">
        <v>19</v>
      </c>
      <c r="E5" s="42" t="s">
        <v>20</v>
      </c>
      <c r="F5" s="42" t="s">
        <v>74</v>
      </c>
      <c r="G5" s="43" t="s">
        <v>30</v>
      </c>
    </row>
    <row r="6" spans="1:7" ht="39.950000000000003" customHeight="1">
      <c r="A6" s="99" t="s">
        <v>85</v>
      </c>
      <c r="B6" s="100">
        <f>838.301-61.209</f>
        <v>777.0920000000001</v>
      </c>
      <c r="C6" s="100">
        <f>31.927-3.142062</f>
        <v>28.784938</v>
      </c>
      <c r="D6" s="100">
        <f>150.894-11.01762</f>
        <v>139.87638000000001</v>
      </c>
      <c r="E6" s="100">
        <f>16.766-1.22418</f>
        <v>15.541819999999998</v>
      </c>
      <c r="F6" s="100">
        <f>399.031-29.135484</f>
        <v>369.89551599999999</v>
      </c>
      <c r="G6" s="101">
        <f>SUM(B6:F6)</f>
        <v>1331.1906540000002</v>
      </c>
    </row>
    <row r="7" spans="1:7" ht="39.950000000000003" customHeight="1">
      <c r="A7" s="41" t="s">
        <v>86</v>
      </c>
      <c r="B7" s="83">
        <f>SUMIF(Enlevements_ONUCI_WH!$H$8:'Enlevements_ONUCI_WH'!$H$228,"Mikili-Riz",Enlevements_ONUCI_WH!$K$8:'Enlevements_ONUCI_WH'!$K$228)+SUMIF(Enlevements_PORT!$H$8:'Enlevements_PORT'!$H$228,"Mikili-Riz",Enlevements_PORT!$K$8:'Enlevements_PORT'!$K$228)</f>
        <v>534.54100000000005</v>
      </c>
      <c r="C7" s="83">
        <f>SUMIF(Enlevements_ONUCI_WH!$H$8:'Enlevements_ONUCI_WH'!$H$228,"Mikili-Huile",Enlevements_ONUCI_WH!$K$8:'Enlevements_ONUCI_WH'!$K$228)+SUMIF(Enlevements_PORT!$H$8:'Enlevements_PORT'!$H$228,"Mikili-Huile",Enlevements_PORT!$K$8:'Enlevements_PORT'!$K$228)</f>
        <v>19.037982599999999</v>
      </c>
      <c r="D7" s="83">
        <f>SUMIF(Enlevements_ONUCI_WH!$H$8:'Enlevements_ONUCI_WH'!$H$228,"Mikili-Pois_cassé",Enlevements_ONUCI_WH!$K$8:'Enlevements_ONUCI_WH'!$K$228)+SUMIF(Enlevements_PORT!$H$8:'Enlevements_PORT'!$H$228,"Mikili-Pois_cassé",Enlevements_PORT!$K$8:'Enlevements_PORT'!$K$228)</f>
        <v>0</v>
      </c>
      <c r="E7" s="83">
        <f>SUMIF(Enlevements_ONUCI_WH!$H$8:'Enlevements_ONUCI_WH'!$H$228,"Mikili-Sel",Enlevements_ONUCI_WH!$K$8:'Enlevements_ONUCI_WH'!$K$228)+SUMIF(Enlevements_PORT!$H$8:'Enlevements_PORT'!$H$228,"Mikili-Sel",Enlevements_PORT!$K$8:'Enlevements_PORT'!$K$228)</f>
        <v>8.4</v>
      </c>
      <c r="F7" s="83">
        <f>SUMIF(Enlevements_ONUCI_WH!$H$8:'Enlevements_ONUCI_WH'!$H$228,"Mikili-Datte",Enlevements_ONUCI_WH!$K$8:'Enlevements_ONUCI_WH'!$K$228)+SUMIF(Enlevements_PORT!$H$8:'Enlevements_PORT'!$H$228,"Mikili-Datte",Enlevements_PORT!$K$8:'Enlevements_PORT'!$K$228)</f>
        <v>0</v>
      </c>
      <c r="G7" s="39">
        <f>SUM(B7:F7)</f>
        <v>561.97898259999999</v>
      </c>
    </row>
    <row r="8" spans="1:7" ht="39.950000000000003" customHeight="1">
      <c r="A8" s="102" t="s">
        <v>79</v>
      </c>
      <c r="B8" s="103">
        <f>B6-B7</f>
        <v>242.55100000000004</v>
      </c>
      <c r="C8" s="103">
        <f t="shared" ref="C8:F8" si="0">C6-C7</f>
        <v>9.7469554000000009</v>
      </c>
      <c r="D8" s="103">
        <f t="shared" si="0"/>
        <v>139.87638000000001</v>
      </c>
      <c r="E8" s="103">
        <f t="shared" si="0"/>
        <v>7.1418199999999974</v>
      </c>
      <c r="F8" s="103">
        <f t="shared" si="0"/>
        <v>369.89551599999999</v>
      </c>
      <c r="G8" s="104">
        <f>SUM(B8:F8)</f>
        <v>769.2116714</v>
      </c>
    </row>
    <row r="9" spans="1:7">
      <c r="B9" s="40"/>
      <c r="C9" s="40"/>
      <c r="D9" s="40"/>
      <c r="E9" s="40"/>
      <c r="F9" s="40"/>
    </row>
    <row r="12" spans="1:7">
      <c r="B12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2:G2"/>
    <mergeCell ref="A4:A5"/>
    <mergeCell ref="B4:G4"/>
  </mergeCells>
  <conditionalFormatting sqref="B8:G8">
    <cfRule type="cellIs" dxfId="11" priority="1" operator="between">
      <formula>-0.0001</formula>
      <formula>0.0001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O32"/>
  <sheetViews>
    <sheetView workbookViewId="0">
      <selection activeCell="R18" sqref="R18:S20"/>
    </sheetView>
  </sheetViews>
  <sheetFormatPr baseColWidth="10" defaultRowHeight="14.25"/>
  <cols>
    <col min="1" max="1" width="6.28515625" style="29" customWidth="1"/>
    <col min="2" max="2" width="17.85546875" style="29" customWidth="1"/>
    <col min="3" max="3" width="17" style="29" customWidth="1"/>
    <col min="4" max="7" width="9.7109375" style="29" customWidth="1"/>
    <col min="8" max="8" width="9.85546875" style="29" customWidth="1"/>
    <col min="9" max="12" width="9.7109375" style="29" customWidth="1"/>
    <col min="13" max="16384" width="11.42578125" style="29"/>
  </cols>
  <sheetData>
    <row r="1" spans="1:15">
      <c r="A1" s="84" t="s">
        <v>10</v>
      </c>
      <c r="B1" s="85"/>
      <c r="C1" s="85"/>
      <c r="D1" s="85"/>
      <c r="E1" s="85"/>
      <c r="F1" s="85"/>
      <c r="G1" s="85"/>
      <c r="H1" s="85"/>
      <c r="I1" s="85"/>
      <c r="J1" s="86"/>
      <c r="K1" s="86"/>
      <c r="L1" s="289" t="s">
        <v>11</v>
      </c>
      <c r="M1" s="289"/>
    </row>
    <row r="2" spans="1:15">
      <c r="A2" s="84" t="s">
        <v>75</v>
      </c>
      <c r="B2" s="85"/>
      <c r="C2" s="85"/>
      <c r="D2" s="85"/>
      <c r="E2" s="85"/>
      <c r="F2" s="85"/>
      <c r="G2" s="85"/>
      <c r="H2" s="85"/>
      <c r="I2" s="85"/>
      <c r="J2" s="86"/>
      <c r="K2" s="86"/>
      <c r="L2" s="289" t="s">
        <v>13</v>
      </c>
      <c r="M2" s="289"/>
    </row>
    <row r="3" spans="1:15">
      <c r="A3" s="87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5">
      <c r="A4" s="87" t="s">
        <v>76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5">
      <c r="A5" s="87" t="s">
        <v>15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5" ht="22.5" customHeight="1">
      <c r="A6" s="270" t="s">
        <v>137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5" ht="21.75" customHeight="1">
      <c r="A7" s="270" t="s">
        <v>150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5" ht="14.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85"/>
    </row>
    <row r="9" spans="1:15" ht="14.1" customHeight="1">
      <c r="A9" s="163"/>
      <c r="B9" s="163"/>
      <c r="C9" s="163"/>
      <c r="D9" s="163"/>
      <c r="E9" s="163"/>
      <c r="F9" s="163"/>
      <c r="G9" s="163"/>
      <c r="H9" s="163"/>
      <c r="I9" s="85"/>
      <c r="J9" s="290" t="s">
        <v>16</v>
      </c>
      <c r="K9" s="291"/>
      <c r="L9" s="291"/>
      <c r="M9" s="292"/>
    </row>
    <row r="10" spans="1:15" ht="14.1" customHeight="1">
      <c r="A10" s="163"/>
      <c r="B10" s="163"/>
      <c r="C10" s="163"/>
      <c r="D10" s="163"/>
      <c r="E10" s="163"/>
      <c r="F10" s="163"/>
      <c r="G10" s="163"/>
      <c r="H10" s="163"/>
      <c r="I10" s="85"/>
      <c r="J10" s="88" t="s">
        <v>17</v>
      </c>
      <c r="K10" s="88" t="s">
        <v>18</v>
      </c>
      <c r="L10" s="88" t="s">
        <v>19</v>
      </c>
      <c r="M10" s="88" t="s">
        <v>20</v>
      </c>
    </row>
    <row r="11" spans="1:15" ht="14.1" customHeight="1">
      <c r="A11" s="89" t="s">
        <v>21</v>
      </c>
      <c r="B11" s="90"/>
      <c r="C11" s="90"/>
      <c r="D11" s="91">
        <v>25</v>
      </c>
      <c r="E11" s="85"/>
      <c r="F11" s="92"/>
      <c r="G11" s="92"/>
      <c r="H11" s="92"/>
      <c r="I11" s="85"/>
      <c r="J11" s="88">
        <v>150</v>
      </c>
      <c r="K11" s="88">
        <v>10</v>
      </c>
      <c r="L11" s="88">
        <v>30</v>
      </c>
      <c r="M11" s="88">
        <v>5</v>
      </c>
    </row>
    <row r="12" spans="1:15" ht="15" customHeight="1">
      <c r="A12" s="93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5" ht="18.75" customHeight="1">
      <c r="A13" s="293" t="s">
        <v>22</v>
      </c>
      <c r="B13" s="293" t="s">
        <v>23</v>
      </c>
      <c r="C13" s="295" t="s">
        <v>24</v>
      </c>
      <c r="D13" s="297" t="s">
        <v>25</v>
      </c>
      <c r="E13" s="299" t="s">
        <v>26</v>
      </c>
      <c r="F13" s="300"/>
      <c r="G13" s="300"/>
      <c r="H13" s="301"/>
      <c r="I13" s="283" t="s">
        <v>27</v>
      </c>
      <c r="J13" s="283"/>
      <c r="K13" s="283"/>
      <c r="L13" s="283"/>
      <c r="M13" s="283"/>
    </row>
    <row r="14" spans="1:15" ht="14.25" customHeight="1">
      <c r="A14" s="294"/>
      <c r="B14" s="294"/>
      <c r="C14" s="296"/>
      <c r="D14" s="298"/>
      <c r="E14" s="94" t="s">
        <v>28</v>
      </c>
      <c r="F14" s="94" t="s">
        <v>29</v>
      </c>
      <c r="G14" s="95" t="s">
        <v>30</v>
      </c>
      <c r="H14" s="95" t="s">
        <v>136</v>
      </c>
      <c r="I14" s="94" t="s">
        <v>17</v>
      </c>
      <c r="J14" s="94" t="s">
        <v>18</v>
      </c>
      <c r="K14" s="94" t="s">
        <v>19</v>
      </c>
      <c r="L14" s="94" t="s">
        <v>20</v>
      </c>
      <c r="M14" s="95" t="s">
        <v>30</v>
      </c>
    </row>
    <row r="15" spans="1:15" ht="18" customHeight="1">
      <c r="A15" s="94">
        <v>1</v>
      </c>
      <c r="B15" s="284" t="s">
        <v>0</v>
      </c>
      <c r="C15" s="96" t="s">
        <v>31</v>
      </c>
      <c r="D15" s="94">
        <v>150</v>
      </c>
      <c r="E15" s="97">
        <v>18373</v>
      </c>
      <c r="F15" s="97">
        <v>20550</v>
      </c>
      <c r="G15" s="2">
        <v>38923</v>
      </c>
      <c r="H15" s="2">
        <v>35413</v>
      </c>
      <c r="I15" s="3">
        <f t="shared" ref="I15:I24" si="0">H15*$J$11*jrs/1000000</f>
        <v>132.79875000000001</v>
      </c>
      <c r="J15" s="3">
        <f t="shared" ref="J15:J24" si="1">H15*$K$11*jrs/1000000</f>
        <v>8.8532499999999992</v>
      </c>
      <c r="K15" s="3">
        <f t="shared" ref="K15:K24" si="2">H15*$L$11*jrs/1000000</f>
        <v>26.559750000000001</v>
      </c>
      <c r="L15" s="3">
        <f t="shared" ref="L15:L24" si="3">H15*$M$11*jrs/1000000</f>
        <v>4.4266249999999996</v>
      </c>
      <c r="M15" s="4">
        <f t="shared" ref="M15:M24" si="4">SUM(I15:L15)</f>
        <v>172.63837500000002</v>
      </c>
      <c r="O15" s="38"/>
    </row>
    <row r="16" spans="1:15" ht="18" customHeight="1">
      <c r="A16" s="94">
        <v>2</v>
      </c>
      <c r="B16" s="285"/>
      <c r="C16" s="98" t="s">
        <v>32</v>
      </c>
      <c r="D16" s="94">
        <v>228</v>
      </c>
      <c r="E16" s="97">
        <v>28104</v>
      </c>
      <c r="F16" s="97">
        <v>31104</v>
      </c>
      <c r="G16" s="2">
        <v>59208</v>
      </c>
      <c r="H16" s="2">
        <v>53869</v>
      </c>
      <c r="I16" s="3">
        <f t="shared" si="0"/>
        <v>202.00874999999999</v>
      </c>
      <c r="J16" s="3">
        <f t="shared" si="1"/>
        <v>13.46725</v>
      </c>
      <c r="K16" s="3">
        <f t="shared" si="2"/>
        <v>40.40175</v>
      </c>
      <c r="L16" s="3">
        <f t="shared" si="3"/>
        <v>6.733625</v>
      </c>
      <c r="M16" s="4">
        <f t="shared" si="4"/>
        <v>262.61137500000001</v>
      </c>
    </row>
    <row r="17" spans="1:15" ht="18" customHeight="1">
      <c r="A17" s="94">
        <v>3</v>
      </c>
      <c r="B17" s="284" t="s">
        <v>1</v>
      </c>
      <c r="C17" s="96" t="s">
        <v>33</v>
      </c>
      <c r="D17" s="94">
        <v>82</v>
      </c>
      <c r="E17" s="97">
        <v>8460</v>
      </c>
      <c r="F17" s="97">
        <v>10048</v>
      </c>
      <c r="G17" s="2">
        <v>18508</v>
      </c>
      <c r="H17" s="2">
        <v>16839</v>
      </c>
      <c r="I17" s="3">
        <f t="shared" si="0"/>
        <v>63.146250000000002</v>
      </c>
      <c r="J17" s="3">
        <f t="shared" si="1"/>
        <v>4.2097499999999997</v>
      </c>
      <c r="K17" s="3">
        <f t="shared" si="2"/>
        <v>12.629250000000001</v>
      </c>
      <c r="L17" s="3">
        <f t="shared" si="3"/>
        <v>2.1048749999999998</v>
      </c>
      <c r="M17" s="4">
        <f t="shared" si="4"/>
        <v>82.090125</v>
      </c>
      <c r="O17" s="38"/>
    </row>
    <row r="18" spans="1:15" ht="18" customHeight="1">
      <c r="A18" s="94">
        <v>4</v>
      </c>
      <c r="B18" s="285"/>
      <c r="C18" s="96" t="s">
        <v>3</v>
      </c>
      <c r="D18" s="94">
        <v>29</v>
      </c>
      <c r="E18" s="97">
        <v>3649</v>
      </c>
      <c r="F18" s="97">
        <v>3842</v>
      </c>
      <c r="G18" s="2">
        <v>7491</v>
      </c>
      <c r="H18" s="2">
        <v>6816</v>
      </c>
      <c r="I18" s="3">
        <f t="shared" si="0"/>
        <v>25.56</v>
      </c>
      <c r="J18" s="3">
        <f t="shared" si="1"/>
        <v>1.704</v>
      </c>
      <c r="K18" s="3">
        <f t="shared" si="2"/>
        <v>5.1120000000000001</v>
      </c>
      <c r="L18" s="3">
        <f t="shared" si="3"/>
        <v>0.85199999999999998</v>
      </c>
      <c r="M18" s="4">
        <f t="shared" si="4"/>
        <v>33.227999999999994</v>
      </c>
    </row>
    <row r="19" spans="1:15" ht="18" customHeight="1">
      <c r="A19" s="94">
        <v>5</v>
      </c>
      <c r="B19" s="96" t="s">
        <v>8</v>
      </c>
      <c r="C19" s="96" t="s">
        <v>35</v>
      </c>
      <c r="D19" s="94">
        <v>92</v>
      </c>
      <c r="E19" s="97">
        <v>10098</v>
      </c>
      <c r="F19" s="97">
        <v>17127</v>
      </c>
      <c r="G19" s="2">
        <v>27225</v>
      </c>
      <c r="H19" s="2">
        <v>24770</v>
      </c>
      <c r="I19" s="3">
        <f t="shared" si="0"/>
        <v>92.887500000000003</v>
      </c>
      <c r="J19" s="3">
        <f t="shared" si="1"/>
        <v>6.1924999999999999</v>
      </c>
      <c r="K19" s="3">
        <f t="shared" si="2"/>
        <v>18.577500000000001</v>
      </c>
      <c r="L19" s="3">
        <f t="shared" si="3"/>
        <v>3.0962499999999999</v>
      </c>
      <c r="M19" s="4">
        <f t="shared" si="4"/>
        <v>120.75375</v>
      </c>
      <c r="O19" s="5"/>
    </row>
    <row r="20" spans="1:15" ht="18" customHeight="1">
      <c r="A20" s="94">
        <v>6</v>
      </c>
      <c r="B20" s="96" t="s">
        <v>36</v>
      </c>
      <c r="C20" s="96" t="s">
        <v>37</v>
      </c>
      <c r="D20" s="94">
        <v>95</v>
      </c>
      <c r="E20" s="97">
        <v>12993</v>
      </c>
      <c r="F20" s="97">
        <v>14676</v>
      </c>
      <c r="G20" s="2">
        <v>27669</v>
      </c>
      <c r="H20" s="2">
        <v>25174</v>
      </c>
      <c r="I20" s="3">
        <f t="shared" si="0"/>
        <v>94.402500000000003</v>
      </c>
      <c r="J20" s="3">
        <f t="shared" si="1"/>
        <v>6.2934999999999999</v>
      </c>
      <c r="K20" s="3">
        <f t="shared" si="2"/>
        <v>18.880500000000001</v>
      </c>
      <c r="L20" s="3">
        <f t="shared" si="3"/>
        <v>3.1467499999999999</v>
      </c>
      <c r="M20" s="4">
        <f t="shared" si="4"/>
        <v>122.72324999999999</v>
      </c>
    </row>
    <row r="21" spans="1:15" ht="18" customHeight="1">
      <c r="A21" s="94">
        <v>7</v>
      </c>
      <c r="B21" s="96" t="s">
        <v>5</v>
      </c>
      <c r="C21" s="96" t="s">
        <v>38</v>
      </c>
      <c r="D21" s="94">
        <v>213</v>
      </c>
      <c r="E21" s="97">
        <v>32699</v>
      </c>
      <c r="F21" s="97">
        <v>36898</v>
      </c>
      <c r="G21" s="2">
        <v>69597</v>
      </c>
      <c r="H21" s="2">
        <v>63322</v>
      </c>
      <c r="I21" s="3">
        <f t="shared" si="0"/>
        <v>237.45750000000001</v>
      </c>
      <c r="J21" s="3">
        <f t="shared" si="1"/>
        <v>15.830500000000001</v>
      </c>
      <c r="K21" s="3">
        <f t="shared" si="2"/>
        <v>47.491500000000002</v>
      </c>
      <c r="L21" s="3">
        <f t="shared" si="3"/>
        <v>7.9152500000000003</v>
      </c>
      <c r="M21" s="4">
        <f t="shared" si="4"/>
        <v>308.69475</v>
      </c>
    </row>
    <row r="22" spans="1:15" ht="18" customHeight="1">
      <c r="A22" s="94">
        <v>8</v>
      </c>
      <c r="B22" s="96" t="s">
        <v>9</v>
      </c>
      <c r="C22" s="96" t="s">
        <v>39</v>
      </c>
      <c r="D22" s="94">
        <v>106</v>
      </c>
      <c r="E22" s="97">
        <v>12815</v>
      </c>
      <c r="F22" s="97">
        <v>14660</v>
      </c>
      <c r="G22" s="2">
        <v>27475</v>
      </c>
      <c r="H22" s="2">
        <v>24998</v>
      </c>
      <c r="I22" s="3">
        <f t="shared" si="0"/>
        <v>93.742500000000007</v>
      </c>
      <c r="J22" s="3">
        <f t="shared" si="1"/>
        <v>6.2495000000000003</v>
      </c>
      <c r="K22" s="3">
        <f t="shared" si="2"/>
        <v>18.7485</v>
      </c>
      <c r="L22" s="3">
        <f t="shared" si="3"/>
        <v>3.1247500000000001</v>
      </c>
      <c r="M22" s="4">
        <f t="shared" si="4"/>
        <v>121.86525</v>
      </c>
    </row>
    <row r="23" spans="1:15" ht="18" customHeight="1">
      <c r="A23" s="94">
        <v>9</v>
      </c>
      <c r="B23" s="96" t="s">
        <v>6</v>
      </c>
      <c r="C23" s="96" t="s">
        <v>40</v>
      </c>
      <c r="D23" s="94">
        <v>96</v>
      </c>
      <c r="E23" s="97">
        <v>16225</v>
      </c>
      <c r="F23" s="97">
        <v>20946</v>
      </c>
      <c r="G23" s="2">
        <v>37171</v>
      </c>
      <c r="H23" s="2">
        <v>33819</v>
      </c>
      <c r="I23" s="3">
        <f t="shared" si="0"/>
        <v>126.82125000000001</v>
      </c>
      <c r="J23" s="3">
        <f t="shared" si="1"/>
        <v>8.4547500000000007</v>
      </c>
      <c r="K23" s="3">
        <f t="shared" si="2"/>
        <v>25.364249999999998</v>
      </c>
      <c r="L23" s="3">
        <f t="shared" si="3"/>
        <v>4.2273750000000003</v>
      </c>
      <c r="M23" s="4">
        <f t="shared" si="4"/>
        <v>164.867625</v>
      </c>
    </row>
    <row r="24" spans="1:15" ht="18" customHeight="1">
      <c r="A24" s="94">
        <v>10</v>
      </c>
      <c r="B24" s="96" t="s">
        <v>7</v>
      </c>
      <c r="C24" s="96" t="s">
        <v>41</v>
      </c>
      <c r="D24" s="94">
        <v>76</v>
      </c>
      <c r="E24" s="97">
        <v>7048</v>
      </c>
      <c r="F24" s="97">
        <v>9416</v>
      </c>
      <c r="G24" s="2">
        <v>16464</v>
      </c>
      <c r="H24" s="2">
        <v>14980</v>
      </c>
      <c r="I24" s="3">
        <f t="shared" si="0"/>
        <v>56.174999999999997</v>
      </c>
      <c r="J24" s="3">
        <f t="shared" si="1"/>
        <v>3.7450000000000001</v>
      </c>
      <c r="K24" s="3">
        <f t="shared" si="2"/>
        <v>11.234999999999999</v>
      </c>
      <c r="L24" s="3">
        <f t="shared" si="3"/>
        <v>1.8725000000000001</v>
      </c>
      <c r="M24" s="4">
        <f t="shared" si="4"/>
        <v>73.027500000000003</v>
      </c>
    </row>
    <row r="25" spans="1:15" ht="18" customHeight="1">
      <c r="A25" s="286" t="s">
        <v>42</v>
      </c>
      <c r="B25" s="287"/>
      <c r="C25" s="288"/>
      <c r="D25" s="9">
        <f t="shared" ref="D25:F25" si="5">SUM(D15:D24)</f>
        <v>1167</v>
      </c>
      <c r="E25" s="9">
        <f t="shared" si="5"/>
        <v>150464</v>
      </c>
      <c r="F25" s="9">
        <f t="shared" si="5"/>
        <v>179267</v>
      </c>
      <c r="G25" s="9">
        <f>SUM(G15:G24)</f>
        <v>329731</v>
      </c>
      <c r="H25" s="9">
        <f>SUM(H15:H24)</f>
        <v>300000</v>
      </c>
      <c r="I25" s="10">
        <f>SUM(I15:I24)</f>
        <v>1125</v>
      </c>
      <c r="J25" s="10">
        <f t="shared" ref="J25:L25" si="6">SUM(J15:J24)</f>
        <v>75</v>
      </c>
      <c r="K25" s="10">
        <f t="shared" si="6"/>
        <v>225</v>
      </c>
      <c r="L25" s="10">
        <f t="shared" si="6"/>
        <v>37.5</v>
      </c>
      <c r="M25" s="10">
        <f>SUM(M15:M24)</f>
        <v>1462.5000000000002</v>
      </c>
    </row>
    <row r="26" spans="1:15" ht="18" customHeight="1"/>
    <row r="27" spans="1:15" ht="18" customHeight="1">
      <c r="A27" s="30"/>
      <c r="B27" s="30"/>
      <c r="C27" s="30"/>
      <c r="D27" s="30"/>
      <c r="E27" s="30"/>
      <c r="F27" s="30"/>
      <c r="G27" s="30"/>
      <c r="H27" s="30"/>
      <c r="I27" s="31"/>
      <c r="J27" s="31"/>
      <c r="K27" s="31"/>
      <c r="L27" s="31"/>
    </row>
    <row r="30" spans="1:15">
      <c r="H30" s="164"/>
    </row>
    <row r="32" spans="1:15">
      <c r="H32" s="164"/>
    </row>
  </sheetData>
  <sheetProtection formatCells="0" formatColumns="0" formatRows="0" insertColumns="0" insertRows="0" insertHyperlinks="0" deleteColumns="0" deleteRows="0" sort="0" autoFilter="0" pivotTables="0"/>
  <mergeCells count="14">
    <mergeCell ref="I13:M13"/>
    <mergeCell ref="B15:B16"/>
    <mergeCell ref="B17:B18"/>
    <mergeCell ref="A25:C25"/>
    <mergeCell ref="L1:M1"/>
    <mergeCell ref="L2:M2"/>
    <mergeCell ref="A6:M6"/>
    <mergeCell ref="A7:M7"/>
    <mergeCell ref="J9:M9"/>
    <mergeCell ref="A13:A14"/>
    <mergeCell ref="B13:B14"/>
    <mergeCell ref="C13:C14"/>
    <mergeCell ref="D13:D14"/>
    <mergeCell ref="E13:H13"/>
  </mergeCells>
  <conditionalFormatting sqref="I15:M25">
    <cfRule type="cellIs" dxfId="62" priority="3" operator="equal">
      <formula>0</formula>
    </cfRule>
  </conditionalFormatting>
  <conditionalFormatting sqref="I25:M25">
    <cfRule type="cellIs" dxfId="61" priority="1" operator="equal">
      <formula>0</formula>
    </cfRule>
    <cfRule type="cellIs" dxfId="60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M19"/>
  <sheetViews>
    <sheetView workbookViewId="0">
      <selection activeCell="I16" sqref="I16"/>
    </sheetView>
  </sheetViews>
  <sheetFormatPr baseColWidth="10" defaultRowHeight="12.75"/>
  <cols>
    <col min="1" max="1" width="18.140625" style="12" customWidth="1"/>
    <col min="2" max="2" width="17.85546875" style="12" customWidth="1"/>
    <col min="3" max="3" width="32" style="12" customWidth="1"/>
    <col min="4" max="4" width="11.140625" style="131" customWidth="1"/>
    <col min="5" max="5" width="10.42578125" style="131" customWidth="1"/>
    <col min="6" max="6" width="15" style="12" customWidth="1"/>
    <col min="7" max="8" width="8.7109375" style="133" customWidth="1"/>
    <col min="9" max="9" width="12.42578125" style="12" customWidth="1"/>
    <col min="10" max="16384" width="11.42578125" style="12"/>
  </cols>
  <sheetData>
    <row r="2" spans="1:13" ht="12" customHeight="1">
      <c r="A2" s="44"/>
      <c r="B2" s="44"/>
      <c r="C2" s="44"/>
      <c r="D2" s="129"/>
      <c r="E2" s="129"/>
      <c r="F2" s="44"/>
      <c r="G2" s="132"/>
      <c r="H2" s="132"/>
      <c r="I2" s="44"/>
    </row>
    <row r="3" spans="1:13" ht="24.95" customHeight="1">
      <c r="A3" s="381" t="s">
        <v>49</v>
      </c>
      <c r="B3" s="381"/>
      <c r="C3" s="381"/>
      <c r="D3" s="381"/>
      <c r="E3" s="381"/>
      <c r="F3" s="381"/>
      <c r="G3" s="381"/>
      <c r="H3" s="381"/>
      <c r="I3" s="381"/>
      <c r="J3" s="14"/>
      <c r="K3" s="34"/>
      <c r="L3" s="34"/>
      <c r="M3" s="34"/>
    </row>
    <row r="4" spans="1:13" ht="24.95" customHeight="1">
      <c r="A4" s="381" t="s">
        <v>108</v>
      </c>
      <c r="B4" s="381"/>
      <c r="C4" s="381"/>
      <c r="D4" s="381"/>
      <c r="E4" s="381"/>
      <c r="F4" s="381"/>
      <c r="G4" s="381"/>
      <c r="H4" s="381"/>
      <c r="I4" s="381"/>
      <c r="J4" s="14"/>
      <c r="K4" s="34"/>
      <c r="L4" s="34"/>
      <c r="M4" s="34"/>
    </row>
    <row r="5" spans="1:13" ht="25.5" customHeight="1">
      <c r="A5" s="381" t="s">
        <v>110</v>
      </c>
      <c r="B5" s="381"/>
      <c r="C5" s="381"/>
      <c r="D5" s="381"/>
      <c r="E5" s="381"/>
      <c r="F5" s="381"/>
      <c r="G5" s="381"/>
      <c r="H5" s="381"/>
      <c r="I5" s="381"/>
      <c r="K5" s="15"/>
      <c r="L5" s="15"/>
      <c r="M5" s="15"/>
    </row>
    <row r="6" spans="1:13" ht="15" customHeight="1">
      <c r="A6" s="45"/>
      <c r="B6" s="45"/>
      <c r="D6" s="129"/>
      <c r="E6" s="129"/>
      <c r="F6" s="44"/>
      <c r="G6" s="132"/>
      <c r="H6" s="132"/>
      <c r="I6" s="44"/>
    </row>
    <row r="7" spans="1:13" ht="15" customHeight="1">
      <c r="A7" s="45"/>
      <c r="B7" s="45"/>
      <c r="D7" s="129"/>
      <c r="E7" s="129"/>
      <c r="F7" s="44"/>
      <c r="G7" s="132"/>
      <c r="H7" s="132"/>
      <c r="I7" s="44"/>
    </row>
    <row r="8" spans="1:13" ht="18.75" customHeight="1">
      <c r="A8" s="44"/>
      <c r="B8" s="44"/>
      <c r="C8" s="44"/>
      <c r="D8" s="129"/>
      <c r="E8" s="129"/>
      <c r="F8" s="44"/>
      <c r="G8" s="132"/>
      <c r="H8" s="132"/>
      <c r="I8" s="44"/>
    </row>
    <row r="9" spans="1:13" ht="47.25" customHeight="1">
      <c r="A9" s="141" t="s">
        <v>47</v>
      </c>
      <c r="B9" s="141" t="s">
        <v>59</v>
      </c>
      <c r="C9" s="141" t="s">
        <v>103</v>
      </c>
      <c r="D9" s="141" t="s">
        <v>55</v>
      </c>
      <c r="E9" s="141" t="s">
        <v>52</v>
      </c>
      <c r="F9" s="141" t="s">
        <v>61</v>
      </c>
      <c r="G9" s="141" t="s">
        <v>53</v>
      </c>
      <c r="H9" s="141" t="s">
        <v>57</v>
      </c>
      <c r="I9" s="141" t="s">
        <v>107</v>
      </c>
    </row>
    <row r="10" spans="1:13" ht="24.95" customHeight="1">
      <c r="A10" s="134">
        <v>42108</v>
      </c>
      <c r="B10" s="140" t="s">
        <v>34</v>
      </c>
      <c r="C10" s="137" t="s">
        <v>104</v>
      </c>
      <c r="D10" s="137"/>
      <c r="E10" s="137">
        <v>37530</v>
      </c>
      <c r="F10" s="135" t="s">
        <v>69</v>
      </c>
      <c r="G10" s="138">
        <v>740</v>
      </c>
      <c r="H10" s="138">
        <v>50</v>
      </c>
      <c r="I10" s="139">
        <f>(G10*H10)/1000</f>
        <v>37</v>
      </c>
    </row>
    <row r="11" spans="1:13" ht="24.95" customHeight="1">
      <c r="A11" s="134">
        <v>42108</v>
      </c>
      <c r="B11" s="140" t="s">
        <v>34</v>
      </c>
      <c r="C11" s="382" t="s">
        <v>105</v>
      </c>
      <c r="D11" s="137"/>
      <c r="E11" s="137">
        <v>37530</v>
      </c>
      <c r="F11" s="135" t="s">
        <v>69</v>
      </c>
      <c r="G11" s="138">
        <v>46.02</v>
      </c>
      <c r="H11" s="138">
        <v>50</v>
      </c>
      <c r="I11" s="139">
        <f t="shared" ref="I11:I14" si="0">(G11*H11)/1000</f>
        <v>2.3010000000000002</v>
      </c>
      <c r="L11" s="112"/>
    </row>
    <row r="12" spans="1:13" ht="24.95" customHeight="1">
      <c r="A12" s="134">
        <v>42108</v>
      </c>
      <c r="B12" s="140" t="s">
        <v>34</v>
      </c>
      <c r="C12" s="383"/>
      <c r="D12" s="137"/>
      <c r="E12" s="137">
        <v>30499</v>
      </c>
      <c r="F12" s="135" t="s">
        <v>69</v>
      </c>
      <c r="G12" s="138">
        <v>1.42</v>
      </c>
      <c r="H12" s="138">
        <v>50</v>
      </c>
      <c r="I12" s="139">
        <f t="shared" si="0"/>
        <v>7.0999999999999994E-2</v>
      </c>
    </row>
    <row r="13" spans="1:13" ht="24.95" customHeight="1">
      <c r="A13" s="134">
        <v>42108</v>
      </c>
      <c r="B13" s="140" t="s">
        <v>39</v>
      </c>
      <c r="C13" s="382" t="s">
        <v>106</v>
      </c>
      <c r="D13" s="137"/>
      <c r="E13" s="137">
        <v>37530</v>
      </c>
      <c r="F13" s="135" t="s">
        <v>69</v>
      </c>
      <c r="G13" s="138">
        <v>200</v>
      </c>
      <c r="H13" s="138">
        <v>50</v>
      </c>
      <c r="I13" s="139">
        <f t="shared" si="0"/>
        <v>10</v>
      </c>
    </row>
    <row r="14" spans="1:13" ht="24.95" customHeight="1">
      <c r="A14" s="134">
        <v>42108</v>
      </c>
      <c r="B14" s="140" t="s">
        <v>102</v>
      </c>
      <c r="C14" s="383"/>
      <c r="D14" s="137"/>
      <c r="E14" s="137">
        <v>37530</v>
      </c>
      <c r="F14" s="135" t="s">
        <v>69</v>
      </c>
      <c r="G14" s="138">
        <v>388.7</v>
      </c>
      <c r="H14" s="138">
        <v>50</v>
      </c>
      <c r="I14" s="139">
        <f t="shared" si="0"/>
        <v>19.434999999999999</v>
      </c>
    </row>
    <row r="15" spans="1:13" ht="25.5" customHeight="1">
      <c r="I15" s="112">
        <f>SUM(I10:I14)</f>
        <v>68.807000000000002</v>
      </c>
    </row>
    <row r="19" spans="3:3">
      <c r="C19" s="12">
        <f>1000000/(166*150)</f>
        <v>40.160642570281126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3:I3"/>
    <mergeCell ref="A4:I4"/>
    <mergeCell ref="A5:I5"/>
    <mergeCell ref="C11:C12"/>
    <mergeCell ref="C13:C14"/>
  </mergeCells>
  <conditionalFormatting sqref="I10:I14">
    <cfRule type="cellIs" dxfId="10" priority="6" operator="equal">
      <formula>0</formula>
    </cfRule>
  </conditionalFormatting>
  <dataValidations count="1">
    <dataValidation type="list" showInputMessage="1" showErrorMessage="1" errorTitle="DONNEES NON VALIDES" error="Veuillez choisir un element de la liste deroulante" sqref="F10:F14">
      <formula1>ListeDenrees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landscape" r:id="rId1"/>
  <headerFooter>
    <oddFooter>&amp;L&amp;"+,Normal"&amp;9&amp;D&amp;C&amp;"+,Normal"&amp;9Etat des enlèvements Koumassi ONUCI&amp;R&amp;"+,Normal"&amp;9&amp;P/&amp;N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M22"/>
  <sheetViews>
    <sheetView topLeftCell="A7" workbookViewId="0">
      <selection activeCell="A6" sqref="A6"/>
    </sheetView>
  </sheetViews>
  <sheetFormatPr baseColWidth="10" defaultRowHeight="12.75"/>
  <cols>
    <col min="1" max="1" width="18.140625" style="12" customWidth="1"/>
    <col min="2" max="2" width="23.28515625" style="12" customWidth="1"/>
    <col min="3" max="3" width="26.85546875" style="12" customWidth="1"/>
    <col min="4" max="4" width="11.140625" style="131" customWidth="1"/>
    <col min="5" max="5" width="10.42578125" style="131" customWidth="1"/>
    <col min="6" max="6" width="15" style="12" customWidth="1"/>
    <col min="7" max="8" width="8.7109375" style="133" customWidth="1"/>
    <col min="9" max="9" width="12.42578125" style="12" customWidth="1"/>
    <col min="10" max="16384" width="11.42578125" style="12"/>
  </cols>
  <sheetData>
    <row r="2" spans="1:13" ht="12" customHeight="1">
      <c r="A2" s="44"/>
      <c r="B2" s="44"/>
      <c r="C2" s="44"/>
      <c r="D2" s="129"/>
      <c r="E2" s="129"/>
      <c r="F2" s="44"/>
      <c r="G2" s="132"/>
      <c r="H2" s="132"/>
      <c r="I2" s="44"/>
    </row>
    <row r="3" spans="1:13" ht="24.95" customHeight="1">
      <c r="A3" s="381" t="s">
        <v>49</v>
      </c>
      <c r="B3" s="381"/>
      <c r="C3" s="381"/>
      <c r="D3" s="381"/>
      <c r="E3" s="381"/>
      <c r="F3" s="381"/>
      <c r="G3" s="381"/>
      <c r="H3" s="381"/>
      <c r="I3" s="381"/>
      <c r="J3" s="14"/>
      <c r="K3" s="34"/>
      <c r="L3" s="34"/>
      <c r="M3" s="34"/>
    </row>
    <row r="4" spans="1:13" ht="24.95" customHeight="1">
      <c r="A4" s="381" t="s">
        <v>108</v>
      </c>
      <c r="B4" s="381"/>
      <c r="C4" s="381"/>
      <c r="D4" s="381"/>
      <c r="E4" s="381"/>
      <c r="F4" s="381"/>
      <c r="G4" s="381"/>
      <c r="H4" s="381"/>
      <c r="I4" s="381"/>
      <c r="J4" s="14"/>
      <c r="K4" s="34"/>
      <c r="L4" s="34"/>
      <c r="M4" s="34"/>
    </row>
    <row r="5" spans="1:13" ht="25.5" customHeight="1">
      <c r="A5" s="381" t="s">
        <v>109</v>
      </c>
      <c r="B5" s="381"/>
      <c r="C5" s="381"/>
      <c r="D5" s="381"/>
      <c r="E5" s="381"/>
      <c r="F5" s="381"/>
      <c r="G5" s="381"/>
      <c r="H5" s="381"/>
      <c r="I5" s="381"/>
      <c r="K5" s="15"/>
      <c r="L5" s="15"/>
      <c r="M5" s="15"/>
    </row>
    <row r="6" spans="1:13" ht="15" customHeight="1">
      <c r="A6" s="45"/>
      <c r="B6" s="45"/>
      <c r="D6" s="129"/>
      <c r="E6" s="129"/>
      <c r="F6" s="44"/>
      <c r="G6" s="132"/>
      <c r="H6" s="132"/>
      <c r="I6" s="44"/>
    </row>
    <row r="7" spans="1:13" ht="15" customHeight="1">
      <c r="A7" s="45"/>
      <c r="B7" s="45"/>
      <c r="D7" s="129"/>
      <c r="E7" s="129"/>
      <c r="F7" s="44"/>
      <c r="G7" s="132"/>
      <c r="H7" s="132"/>
      <c r="I7" s="44"/>
    </row>
    <row r="8" spans="1:13" ht="18.75" customHeight="1">
      <c r="A8" s="44"/>
      <c r="C8" s="44"/>
      <c r="D8" s="129"/>
      <c r="E8" s="129"/>
      <c r="F8" s="44"/>
      <c r="G8" s="132"/>
      <c r="H8" s="132"/>
      <c r="I8" s="44"/>
    </row>
    <row r="9" spans="1:13" ht="47.25" customHeight="1">
      <c r="A9" s="141" t="s">
        <v>47</v>
      </c>
      <c r="B9" s="141" t="s">
        <v>51</v>
      </c>
      <c r="C9" s="141" t="s">
        <v>59</v>
      </c>
      <c r="D9" s="141" t="s">
        <v>55</v>
      </c>
      <c r="E9" s="141" t="s">
        <v>52</v>
      </c>
      <c r="F9" s="141" t="s">
        <v>61</v>
      </c>
      <c r="G9" s="141" t="s">
        <v>53</v>
      </c>
      <c r="H9" s="141" t="s">
        <v>57</v>
      </c>
      <c r="I9" s="141" t="s">
        <v>107</v>
      </c>
    </row>
    <row r="10" spans="1:13" ht="24.95" customHeight="1">
      <c r="A10" s="134"/>
      <c r="B10" s="140"/>
      <c r="C10" s="137"/>
      <c r="D10" s="137"/>
      <c r="E10" s="137"/>
      <c r="F10" s="135"/>
      <c r="G10" s="138"/>
      <c r="H10" s="138"/>
      <c r="I10" s="139">
        <f>(G10*H10)/1000</f>
        <v>0</v>
      </c>
    </row>
    <row r="11" spans="1:13" ht="24.95" customHeight="1">
      <c r="A11" s="134"/>
      <c r="B11" s="140"/>
      <c r="C11" s="137"/>
      <c r="D11" s="137"/>
      <c r="E11" s="137"/>
      <c r="F11" s="135"/>
      <c r="G11" s="138"/>
      <c r="H11" s="138"/>
      <c r="I11" s="139"/>
    </row>
    <row r="12" spans="1:13" ht="24.95" customHeight="1">
      <c r="A12" s="134"/>
      <c r="B12" s="140"/>
      <c r="C12" s="137"/>
      <c r="D12" s="137"/>
      <c r="E12" s="137"/>
      <c r="F12" s="135"/>
      <c r="G12" s="138"/>
      <c r="H12" s="138"/>
      <c r="I12" s="139"/>
    </row>
    <row r="13" spans="1:13" ht="24.95" customHeight="1">
      <c r="A13" s="134"/>
      <c r="B13" s="140"/>
      <c r="C13" s="137"/>
      <c r="D13" s="137"/>
      <c r="E13" s="137"/>
      <c r="F13" s="135"/>
      <c r="G13" s="138"/>
      <c r="H13" s="138"/>
      <c r="I13" s="139"/>
    </row>
    <row r="14" spans="1:13" ht="24.95" customHeight="1">
      <c r="A14" s="134"/>
      <c r="B14" s="140"/>
      <c r="C14" s="137"/>
      <c r="D14" s="137"/>
      <c r="E14" s="137"/>
      <c r="F14" s="135"/>
      <c r="G14" s="138"/>
      <c r="H14" s="138"/>
      <c r="I14" s="139"/>
    </row>
    <row r="15" spans="1:13" ht="24.95" customHeight="1">
      <c r="A15" s="134"/>
      <c r="B15" s="140"/>
      <c r="C15" s="137"/>
      <c r="D15" s="137"/>
      <c r="E15" s="137"/>
      <c r="F15" s="135"/>
      <c r="G15" s="138"/>
      <c r="H15" s="138"/>
      <c r="I15" s="139"/>
    </row>
    <row r="16" spans="1:13" ht="24.95" customHeight="1">
      <c r="A16" s="134"/>
      <c r="B16" s="140"/>
      <c r="C16" s="137"/>
      <c r="D16" s="137"/>
      <c r="E16" s="137"/>
      <c r="F16" s="135"/>
      <c r="G16" s="138"/>
      <c r="H16" s="138"/>
      <c r="I16" s="139"/>
    </row>
    <row r="17" spans="1:12" ht="24.95" customHeight="1">
      <c r="A17" s="134"/>
      <c r="B17" s="140"/>
      <c r="C17" s="137"/>
      <c r="D17" s="137"/>
      <c r="E17" s="137"/>
      <c r="F17" s="135"/>
      <c r="G17" s="138"/>
      <c r="H17" s="138"/>
      <c r="I17" s="139"/>
    </row>
    <row r="18" spans="1:12" ht="24.95" customHeight="1">
      <c r="A18" s="134"/>
      <c r="B18" s="140"/>
      <c r="C18" s="136"/>
      <c r="D18" s="137"/>
      <c r="E18" s="137"/>
      <c r="F18" s="135"/>
      <c r="G18" s="138"/>
      <c r="H18" s="138"/>
      <c r="I18" s="139">
        <f t="shared" ref="I18:I21" si="0">(G18*H18)/1000</f>
        <v>0</v>
      </c>
      <c r="L18" s="112"/>
    </row>
    <row r="19" spans="1:12" ht="24.95" customHeight="1">
      <c r="A19" s="134"/>
      <c r="B19" s="140"/>
      <c r="C19" s="136"/>
      <c r="D19" s="137"/>
      <c r="E19" s="137"/>
      <c r="F19" s="135"/>
      <c r="G19" s="138"/>
      <c r="H19" s="138"/>
      <c r="I19" s="139">
        <f t="shared" si="0"/>
        <v>0</v>
      </c>
    </row>
    <row r="20" spans="1:12" ht="24.95" customHeight="1">
      <c r="A20" s="134"/>
      <c r="B20" s="140"/>
      <c r="C20" s="136"/>
      <c r="D20" s="137"/>
      <c r="E20" s="137"/>
      <c r="F20" s="135"/>
      <c r="G20" s="138"/>
      <c r="H20" s="138"/>
      <c r="I20" s="139">
        <f t="shared" si="0"/>
        <v>0</v>
      </c>
    </row>
    <row r="21" spans="1:12" ht="24.95" customHeight="1">
      <c r="A21" s="134"/>
      <c r="B21" s="140"/>
      <c r="C21" s="136"/>
      <c r="D21" s="137"/>
      <c r="E21" s="137"/>
      <c r="F21" s="135"/>
      <c r="G21" s="138"/>
      <c r="H21" s="138"/>
      <c r="I21" s="139">
        <f t="shared" si="0"/>
        <v>0</v>
      </c>
    </row>
    <row r="22" spans="1:12" ht="25.5" customHeight="1">
      <c r="I22" s="112"/>
    </row>
  </sheetData>
  <sheetProtection formatCells="0" formatColumns="0" formatRows="0" insertColumns="0" insertRows="0" insertHyperlinks="0" deleteColumns="0" deleteRows="0" sort="0" autoFilter="0" pivotTables="0"/>
  <mergeCells count="3">
    <mergeCell ref="A3:I3"/>
    <mergeCell ref="A4:I4"/>
    <mergeCell ref="A5:I5"/>
  </mergeCells>
  <conditionalFormatting sqref="I10:I21">
    <cfRule type="cellIs" dxfId="9" priority="1" operator="equal">
      <formula>0</formula>
    </cfRule>
  </conditionalFormatting>
  <dataValidations count="1">
    <dataValidation type="list" showInputMessage="1" showErrorMessage="1" errorTitle="DONNEES NON VALIDES" error="Veuillez choisir un element de la liste deroulante" sqref="F10:F21">
      <formula1>ListeDenrees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landscape" r:id="rId1"/>
  <headerFooter>
    <oddFooter>&amp;L&amp;"+,Normal"&amp;9&amp;D&amp;C&amp;"+,Normal"&amp;9Etat des enlèvements Yopougon&amp;R&amp;"+,Normal"&amp;9&amp;P/&amp;N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W31"/>
  <sheetViews>
    <sheetView zoomScale="90" zoomScaleNormal="90" workbookViewId="0">
      <selection activeCell="A3" sqref="A3:U3"/>
    </sheetView>
  </sheetViews>
  <sheetFormatPr baseColWidth="10" defaultRowHeight="12.75"/>
  <cols>
    <col min="1" max="1" width="10" style="12" customWidth="1"/>
    <col min="2" max="2" width="8.7109375" style="12" customWidth="1"/>
    <col min="3" max="3" width="7.7109375" style="12" customWidth="1"/>
    <col min="4" max="4" width="6.7109375" style="12" customWidth="1"/>
    <col min="5" max="5" width="5.7109375" style="12" customWidth="1"/>
    <col min="6" max="6" width="8.42578125" style="12" customWidth="1"/>
    <col min="7" max="7" width="7.7109375" style="12" customWidth="1"/>
    <col min="8" max="8" width="6.7109375" style="12" customWidth="1"/>
    <col min="9" max="9" width="5.7109375" style="12" customWidth="1"/>
    <col min="10" max="10" width="8.42578125" style="12" customWidth="1"/>
    <col min="11" max="11" width="7.7109375" style="12" customWidth="1"/>
    <col min="12" max="12" width="6.7109375" style="12" customWidth="1"/>
    <col min="13" max="13" width="5.7109375" style="12" customWidth="1"/>
    <col min="14" max="14" width="8.42578125" style="12" customWidth="1"/>
    <col min="15" max="15" width="7.7109375" style="12" customWidth="1"/>
    <col min="16" max="16" width="6.7109375" style="12" customWidth="1"/>
    <col min="17" max="17" width="5.7109375" style="12" customWidth="1"/>
    <col min="18" max="18" width="8.42578125" style="12" customWidth="1"/>
    <col min="19" max="19" width="8.7109375" style="12" customWidth="1"/>
    <col min="20" max="20" width="14.28515625" style="12" customWidth="1"/>
    <col min="21" max="21" width="14.7109375" style="12" customWidth="1"/>
    <col min="22" max="16384" width="11.42578125" style="12"/>
  </cols>
  <sheetData>
    <row r="1" spans="1:23" ht="12" customHeight="1"/>
    <row r="2" spans="1:23" ht="24.95" customHeight="1">
      <c r="A2" s="392" t="s">
        <v>49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4"/>
      <c r="W2" s="14"/>
    </row>
    <row r="3" spans="1:23" ht="24.95" customHeight="1">
      <c r="A3" s="392" t="s">
        <v>50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14"/>
      <c r="W3" s="14"/>
    </row>
    <row r="4" spans="1:23" ht="15" customHeight="1">
      <c r="A4" s="15" t="s">
        <v>60</v>
      </c>
    </row>
    <row r="5" spans="1:23" ht="15" customHeight="1">
      <c r="A5" s="15"/>
    </row>
    <row r="6" spans="1:23" ht="9.9499999999999993" customHeight="1"/>
    <row r="7" spans="1:23" ht="18" customHeight="1">
      <c r="A7" s="384" t="s">
        <v>47</v>
      </c>
      <c r="B7" s="384" t="s">
        <v>55</v>
      </c>
      <c r="C7" s="393" t="s">
        <v>54</v>
      </c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87" t="s">
        <v>58</v>
      </c>
      <c r="T7" s="387" t="s">
        <v>59</v>
      </c>
      <c r="U7" s="384" t="s">
        <v>51</v>
      </c>
    </row>
    <row r="8" spans="1:23" ht="18" customHeight="1">
      <c r="A8" s="385"/>
      <c r="B8" s="385"/>
      <c r="C8" s="340" t="s">
        <v>17</v>
      </c>
      <c r="D8" s="341"/>
      <c r="E8" s="341"/>
      <c r="F8" s="342"/>
      <c r="G8" s="340" t="s">
        <v>18</v>
      </c>
      <c r="H8" s="341"/>
      <c r="I8" s="341"/>
      <c r="J8" s="342"/>
      <c r="K8" s="340" t="s">
        <v>19</v>
      </c>
      <c r="L8" s="341"/>
      <c r="M8" s="341"/>
      <c r="N8" s="342"/>
      <c r="O8" s="340" t="s">
        <v>20</v>
      </c>
      <c r="P8" s="341"/>
      <c r="Q8" s="341"/>
      <c r="R8" s="341"/>
      <c r="S8" s="388"/>
      <c r="T8" s="388"/>
      <c r="U8" s="385"/>
    </row>
    <row r="9" spans="1:23" ht="18" customHeight="1">
      <c r="A9" s="386"/>
      <c r="B9" s="386"/>
      <c r="C9" s="18" t="s">
        <v>52</v>
      </c>
      <c r="D9" s="18" t="s">
        <v>53</v>
      </c>
      <c r="E9" s="18" t="s">
        <v>57</v>
      </c>
      <c r="F9" s="24" t="s">
        <v>56</v>
      </c>
      <c r="G9" s="18" t="s">
        <v>52</v>
      </c>
      <c r="H9" s="18" t="s">
        <v>53</v>
      </c>
      <c r="I9" s="18" t="s">
        <v>57</v>
      </c>
      <c r="J9" s="24" t="s">
        <v>56</v>
      </c>
      <c r="K9" s="18" t="s">
        <v>52</v>
      </c>
      <c r="L9" s="18" t="s">
        <v>53</v>
      </c>
      <c r="M9" s="18" t="s">
        <v>57</v>
      </c>
      <c r="N9" s="24" t="s">
        <v>56</v>
      </c>
      <c r="O9" s="18" t="s">
        <v>52</v>
      </c>
      <c r="P9" s="18" t="s">
        <v>53</v>
      </c>
      <c r="Q9" s="18" t="s">
        <v>57</v>
      </c>
      <c r="R9" s="24" t="s">
        <v>56</v>
      </c>
      <c r="S9" s="389"/>
      <c r="T9" s="389"/>
      <c r="U9" s="386"/>
    </row>
    <row r="10" spans="1:23" ht="18" customHeight="1">
      <c r="A10" s="17"/>
      <c r="B10" s="18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>
        <f t="shared" ref="S10:S28" si="0">SUM(C10:O10)</f>
        <v>0</v>
      </c>
      <c r="T10" s="20"/>
      <c r="U10" s="21"/>
    </row>
    <row r="11" spans="1:23" ht="18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>
        <f t="shared" si="0"/>
        <v>0</v>
      </c>
      <c r="T11" s="20"/>
      <c r="U11" s="22"/>
    </row>
    <row r="12" spans="1:23" ht="18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>
        <f t="shared" si="0"/>
        <v>0</v>
      </c>
      <c r="T12" s="20"/>
      <c r="U12" s="22"/>
    </row>
    <row r="13" spans="1:23" ht="18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>
        <f t="shared" si="0"/>
        <v>0</v>
      </c>
      <c r="T13" s="20"/>
      <c r="U13" s="22"/>
    </row>
    <row r="14" spans="1:23" ht="18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>
        <f t="shared" si="0"/>
        <v>0</v>
      </c>
      <c r="T14" s="20"/>
      <c r="U14" s="22"/>
    </row>
    <row r="15" spans="1:23" ht="18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>
        <f t="shared" si="0"/>
        <v>0</v>
      </c>
      <c r="T15" s="20"/>
      <c r="U15" s="22"/>
    </row>
    <row r="16" spans="1:23" ht="18" customHeight="1">
      <c r="A16" s="23"/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>
        <f t="shared" si="0"/>
        <v>0</v>
      </c>
      <c r="T16" s="20"/>
      <c r="U16" s="22"/>
    </row>
    <row r="17" spans="1:21" ht="18" customHeight="1">
      <c r="A17" s="23"/>
      <c r="B17" s="2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>
        <f t="shared" si="0"/>
        <v>0</v>
      </c>
      <c r="T17" s="20"/>
      <c r="U17" s="22"/>
    </row>
    <row r="18" spans="1:21" ht="18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>
        <f t="shared" si="0"/>
        <v>0</v>
      </c>
      <c r="T18" s="20"/>
      <c r="U18" s="22"/>
    </row>
    <row r="19" spans="1:21" ht="18" customHeight="1">
      <c r="A19" s="23"/>
      <c r="B19" s="22"/>
      <c r="C19" s="18"/>
      <c r="D19" s="18"/>
      <c r="E19" s="18"/>
      <c r="F19" s="18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0">
        <f t="shared" si="0"/>
        <v>0</v>
      </c>
      <c r="T19" s="20"/>
      <c r="U19" s="22"/>
    </row>
    <row r="20" spans="1:21" ht="18" customHeight="1">
      <c r="A20" s="23"/>
      <c r="B20" s="22"/>
      <c r="C20" s="18"/>
      <c r="D20" s="18"/>
      <c r="E20" s="18"/>
      <c r="F20" s="18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0">
        <f t="shared" si="0"/>
        <v>0</v>
      </c>
      <c r="T20" s="20"/>
      <c r="U20" s="22"/>
    </row>
    <row r="21" spans="1:21" ht="18" customHeight="1">
      <c r="A21" s="23"/>
      <c r="B21" s="22"/>
      <c r="C21" s="18"/>
      <c r="D21" s="18"/>
      <c r="E21" s="18"/>
      <c r="F21" s="18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0">
        <f t="shared" si="0"/>
        <v>0</v>
      </c>
      <c r="T21" s="20"/>
      <c r="U21" s="22"/>
    </row>
    <row r="22" spans="1:21" ht="18" customHeight="1">
      <c r="A22" s="17"/>
      <c r="B22" s="22"/>
      <c r="C22" s="18"/>
      <c r="D22" s="18"/>
      <c r="E22" s="18"/>
      <c r="F22" s="18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0">
        <f t="shared" si="0"/>
        <v>0</v>
      </c>
      <c r="T22" s="20"/>
      <c r="U22" s="22"/>
    </row>
    <row r="23" spans="1:21" ht="18" customHeight="1">
      <c r="A23" s="17"/>
      <c r="B23" s="22"/>
      <c r="C23" s="18"/>
      <c r="D23" s="18"/>
      <c r="E23" s="18"/>
      <c r="F23" s="18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0">
        <f t="shared" si="0"/>
        <v>0</v>
      </c>
      <c r="T23" s="20"/>
      <c r="U23" s="22"/>
    </row>
    <row r="24" spans="1:21" ht="18" customHeight="1">
      <c r="A24" s="23"/>
      <c r="B24" s="22"/>
      <c r="C24" s="18"/>
      <c r="D24" s="18"/>
      <c r="E24" s="18"/>
      <c r="F24" s="18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0">
        <f t="shared" si="0"/>
        <v>0</v>
      </c>
      <c r="T24" s="20"/>
      <c r="U24" s="22"/>
    </row>
    <row r="25" spans="1:21" ht="18" customHeight="1">
      <c r="A25" s="23"/>
      <c r="B25" s="22"/>
      <c r="C25" s="18"/>
      <c r="D25" s="18"/>
      <c r="E25" s="18"/>
      <c r="F25" s="18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0">
        <f t="shared" si="0"/>
        <v>0</v>
      </c>
      <c r="T25" s="20"/>
      <c r="U25" s="22"/>
    </row>
    <row r="26" spans="1:21" ht="18" customHeight="1">
      <c r="A26" s="23"/>
      <c r="B26" s="22"/>
      <c r="C26" s="18"/>
      <c r="D26" s="18"/>
      <c r="E26" s="18"/>
      <c r="F26" s="18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0">
        <f t="shared" si="0"/>
        <v>0</v>
      </c>
      <c r="T26" s="20"/>
      <c r="U26" s="22"/>
    </row>
    <row r="27" spans="1:21" ht="18" customHeight="1">
      <c r="A27" s="23"/>
      <c r="B27" s="22"/>
      <c r="C27" s="18"/>
      <c r="D27" s="18"/>
      <c r="E27" s="18"/>
      <c r="F27" s="18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0">
        <f t="shared" si="0"/>
        <v>0</v>
      </c>
      <c r="T27" s="20"/>
      <c r="U27" s="22"/>
    </row>
    <row r="28" spans="1:21" ht="18" customHeight="1">
      <c r="A28" s="23"/>
      <c r="B28" s="22"/>
      <c r="C28" s="18"/>
      <c r="D28" s="18"/>
      <c r="E28" s="18"/>
      <c r="F28" s="18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0">
        <f t="shared" si="0"/>
        <v>0</v>
      </c>
      <c r="T28" s="20"/>
      <c r="U28" s="22"/>
    </row>
    <row r="29" spans="1:21" ht="18" customHeight="1">
      <c r="A29" s="23"/>
      <c r="B29" s="22"/>
      <c r="C29" s="18"/>
      <c r="D29" s="18"/>
      <c r="E29" s="18"/>
      <c r="F29" s="1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0"/>
      <c r="T29" s="20"/>
      <c r="U29" s="22"/>
    </row>
    <row r="30" spans="1:21" ht="18" customHeight="1">
      <c r="A30" s="23"/>
      <c r="B30" s="22"/>
      <c r="C30" s="18"/>
      <c r="D30" s="18"/>
      <c r="E30" s="18"/>
      <c r="F30" s="1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0"/>
      <c r="T30" s="20"/>
      <c r="U30" s="22"/>
    </row>
    <row r="31" spans="1:21" ht="18" customHeight="1">
      <c r="A31" s="390" t="s">
        <v>43</v>
      </c>
      <c r="B31" s="391"/>
      <c r="C31" s="20">
        <f>SUM(C9:C28)</f>
        <v>0</v>
      </c>
      <c r="D31" s="20"/>
      <c r="E31" s="20"/>
      <c r="F31" s="20"/>
      <c r="G31" s="20">
        <f t="shared" ref="G31:S31" si="1">SUM(G9:G28)</f>
        <v>0</v>
      </c>
      <c r="H31" s="20"/>
      <c r="I31" s="20"/>
      <c r="J31" s="20"/>
      <c r="K31" s="20">
        <f t="shared" si="1"/>
        <v>0</v>
      </c>
      <c r="L31" s="20"/>
      <c r="M31" s="20"/>
      <c r="N31" s="20"/>
      <c r="O31" s="20">
        <f t="shared" si="1"/>
        <v>0</v>
      </c>
      <c r="P31" s="20"/>
      <c r="Q31" s="20"/>
      <c r="R31" s="20"/>
      <c r="S31" s="20">
        <f t="shared" si="1"/>
        <v>0</v>
      </c>
      <c r="T31" s="20"/>
      <c r="U31" s="22"/>
    </row>
  </sheetData>
  <sheetProtection formatCells="0" formatColumns="0" formatRows="0" insertColumns="0" insertRows="0" insertHyperlinks="0" deleteColumns="0" deleteRows="0" sort="0" autoFilter="0" pivotTables="0"/>
  <mergeCells count="13">
    <mergeCell ref="U7:U9"/>
    <mergeCell ref="T7:T9"/>
    <mergeCell ref="A31:B31"/>
    <mergeCell ref="A2:U2"/>
    <mergeCell ref="A3:U3"/>
    <mergeCell ref="C8:F8"/>
    <mergeCell ref="G8:J8"/>
    <mergeCell ref="K8:N8"/>
    <mergeCell ref="O8:R8"/>
    <mergeCell ref="C7:R7"/>
    <mergeCell ref="S7:S9"/>
    <mergeCell ref="A7:A9"/>
    <mergeCell ref="B7:B9"/>
  </mergeCells>
  <conditionalFormatting sqref="S10:T30">
    <cfRule type="cellIs" dxfId="8" priority="2" operator="equal">
      <formula>0</formula>
    </cfRule>
    <cfRule type="cellIs" dxfId="7" priority="3" operator="equal">
      <formula>0</formula>
    </cfRule>
  </conditionalFormatting>
  <conditionalFormatting sqref="C31:T31">
    <cfRule type="cellIs" dxfId="6" priority="1" operator="equal">
      <formula>0</formula>
    </cfRule>
  </conditionalFormatting>
  <dataValidations count="2">
    <dataValidation type="date" allowBlank="1" showInputMessage="1" showErrorMessage="1" errorTitle="Message d'erreur" error="La date entrée n'est pas valide.&#10;Veuillez saisir une autre date." sqref="A15:A19 A22:A27">
      <formula1>41883</formula1>
      <formula2>42185</formula2>
    </dataValidation>
    <dataValidation type="date" allowBlank="1" showInputMessage="1" showErrorMessage="1" errorTitle="Message d'erreur" error="La date entrée n'est pas valide.&#10;Veuillez saisir une autre date." promptTitle="Format de la date : jj/mm/aa" prompt="Exemple : 01/02/15" sqref="A10:A11 A20:A21 A28:A30">
      <formula1>41883</formula1>
      <formula2>42185</formula2>
    </dataValidation>
  </dataValidations>
  <printOptions horizontalCentered="1"/>
  <pageMargins left="0" right="0" top="0.19685039370078741" bottom="0.19685039370078741" header="0.31496062992125984" footer="0.31496062992125984"/>
  <pageSetup paperSize="9" orientation="landscape" r:id="rId1"/>
  <headerFooter>
    <oddFooter>&amp;L&amp;"+,Normal"&amp;9&amp;D&amp;C&amp;"+,Normal"&amp;9Etat des enlèvements&amp;R&amp;"+,Normal"&amp;9&amp;P/&amp;N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W31"/>
  <sheetViews>
    <sheetView zoomScale="90" zoomScaleNormal="90" workbookViewId="0">
      <selection activeCell="A3" sqref="A3:U3"/>
    </sheetView>
  </sheetViews>
  <sheetFormatPr baseColWidth="10" defaultRowHeight="12.75"/>
  <cols>
    <col min="1" max="1" width="10" style="12" customWidth="1"/>
    <col min="2" max="2" width="8.7109375" style="12" customWidth="1"/>
    <col min="3" max="3" width="7.7109375" style="12" customWidth="1"/>
    <col min="4" max="4" width="6.7109375" style="12" customWidth="1"/>
    <col min="5" max="5" width="5.7109375" style="12" customWidth="1"/>
    <col min="6" max="6" width="8.42578125" style="12" customWidth="1"/>
    <col min="7" max="7" width="7.7109375" style="12" customWidth="1"/>
    <col min="8" max="8" width="6.7109375" style="12" customWidth="1"/>
    <col min="9" max="9" width="5.7109375" style="12" customWidth="1"/>
    <col min="10" max="10" width="8.42578125" style="12" customWidth="1"/>
    <col min="11" max="11" width="7.7109375" style="12" customWidth="1"/>
    <col min="12" max="12" width="6.7109375" style="12" customWidth="1"/>
    <col min="13" max="13" width="5.7109375" style="12" customWidth="1"/>
    <col min="14" max="14" width="8.42578125" style="12" customWidth="1"/>
    <col min="15" max="15" width="7.7109375" style="12" customWidth="1"/>
    <col min="16" max="16" width="6.7109375" style="12" customWidth="1"/>
    <col min="17" max="17" width="5.7109375" style="12" customWidth="1"/>
    <col min="18" max="18" width="8.42578125" style="12" customWidth="1"/>
    <col min="19" max="19" width="8.7109375" style="12" customWidth="1"/>
    <col min="20" max="20" width="14.28515625" style="12" customWidth="1"/>
    <col min="21" max="21" width="14.7109375" style="12" customWidth="1"/>
    <col min="22" max="16384" width="11.42578125" style="12"/>
  </cols>
  <sheetData>
    <row r="1" spans="1:23" ht="12" customHeight="1"/>
    <row r="2" spans="1:23" ht="24.95" customHeight="1">
      <c r="A2" s="392" t="s">
        <v>49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14"/>
      <c r="W2" s="14"/>
    </row>
    <row r="3" spans="1:23" ht="24.95" customHeight="1">
      <c r="A3" s="392" t="s">
        <v>70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14"/>
      <c r="W3" s="14"/>
    </row>
    <row r="4" spans="1:23" ht="15" customHeight="1">
      <c r="A4" s="15" t="s">
        <v>60</v>
      </c>
    </row>
    <row r="5" spans="1:23" ht="15" customHeight="1">
      <c r="A5" s="15"/>
    </row>
    <row r="6" spans="1:23" ht="9.9499999999999993" customHeight="1"/>
    <row r="7" spans="1:23" ht="18" customHeight="1">
      <c r="A7" s="384" t="s">
        <v>47</v>
      </c>
      <c r="B7" s="384" t="s">
        <v>55</v>
      </c>
      <c r="C7" s="393" t="s">
        <v>54</v>
      </c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87" t="s">
        <v>58</v>
      </c>
      <c r="T7" s="387" t="s">
        <v>59</v>
      </c>
      <c r="U7" s="384" t="s">
        <v>51</v>
      </c>
    </row>
    <row r="8" spans="1:23" ht="18" customHeight="1">
      <c r="A8" s="385"/>
      <c r="B8" s="385"/>
      <c r="C8" s="340" t="s">
        <v>17</v>
      </c>
      <c r="D8" s="341"/>
      <c r="E8" s="341"/>
      <c r="F8" s="342"/>
      <c r="G8" s="340" t="s">
        <v>18</v>
      </c>
      <c r="H8" s="341"/>
      <c r="I8" s="341"/>
      <c r="J8" s="342"/>
      <c r="K8" s="340" t="s">
        <v>19</v>
      </c>
      <c r="L8" s="341"/>
      <c r="M8" s="341"/>
      <c r="N8" s="342"/>
      <c r="O8" s="340" t="s">
        <v>20</v>
      </c>
      <c r="P8" s="341"/>
      <c r="Q8" s="341"/>
      <c r="R8" s="341"/>
      <c r="S8" s="388"/>
      <c r="T8" s="388"/>
      <c r="U8" s="385"/>
    </row>
    <row r="9" spans="1:23" ht="18" customHeight="1">
      <c r="A9" s="386"/>
      <c r="B9" s="386"/>
      <c r="C9" s="18" t="s">
        <v>52</v>
      </c>
      <c r="D9" s="18" t="s">
        <v>53</v>
      </c>
      <c r="E9" s="18" t="s">
        <v>57</v>
      </c>
      <c r="F9" s="24" t="s">
        <v>56</v>
      </c>
      <c r="G9" s="18" t="s">
        <v>52</v>
      </c>
      <c r="H9" s="18" t="s">
        <v>53</v>
      </c>
      <c r="I9" s="18" t="s">
        <v>57</v>
      </c>
      <c r="J9" s="24" t="s">
        <v>56</v>
      </c>
      <c r="K9" s="18" t="s">
        <v>52</v>
      </c>
      <c r="L9" s="18" t="s">
        <v>53</v>
      </c>
      <c r="M9" s="18" t="s">
        <v>57</v>
      </c>
      <c r="N9" s="24" t="s">
        <v>56</v>
      </c>
      <c r="O9" s="18" t="s">
        <v>52</v>
      </c>
      <c r="P9" s="18" t="s">
        <v>53</v>
      </c>
      <c r="Q9" s="18" t="s">
        <v>57</v>
      </c>
      <c r="R9" s="24" t="s">
        <v>56</v>
      </c>
      <c r="S9" s="389"/>
      <c r="T9" s="389"/>
      <c r="U9" s="386"/>
    </row>
    <row r="10" spans="1:23" ht="18" customHeight="1">
      <c r="A10" s="17"/>
      <c r="B10" s="18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>
        <f t="shared" ref="S10:S28" si="0">SUM(C10:O10)</f>
        <v>0</v>
      </c>
      <c r="T10" s="20"/>
      <c r="U10" s="21"/>
    </row>
    <row r="11" spans="1:23" ht="18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>
        <f t="shared" si="0"/>
        <v>0</v>
      </c>
      <c r="T11" s="20"/>
      <c r="U11" s="22"/>
    </row>
    <row r="12" spans="1:23" ht="18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>
        <f t="shared" si="0"/>
        <v>0</v>
      </c>
      <c r="T12" s="20"/>
      <c r="U12" s="22"/>
    </row>
    <row r="13" spans="1:23" ht="18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0">
        <f t="shared" si="0"/>
        <v>0</v>
      </c>
      <c r="T13" s="20"/>
      <c r="U13" s="22"/>
    </row>
    <row r="14" spans="1:23" ht="18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>
        <f t="shared" si="0"/>
        <v>0</v>
      </c>
      <c r="T14" s="20"/>
      <c r="U14" s="22"/>
    </row>
    <row r="15" spans="1:23" ht="18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>
        <f t="shared" si="0"/>
        <v>0</v>
      </c>
      <c r="T15" s="20"/>
      <c r="U15" s="22"/>
    </row>
    <row r="16" spans="1:23" ht="18" customHeight="1">
      <c r="A16" s="23"/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>
        <f t="shared" si="0"/>
        <v>0</v>
      </c>
      <c r="T16" s="20"/>
      <c r="U16" s="22"/>
    </row>
    <row r="17" spans="1:21" ht="18" customHeight="1">
      <c r="A17" s="23"/>
      <c r="B17" s="2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>
        <f t="shared" si="0"/>
        <v>0</v>
      </c>
      <c r="T17" s="20"/>
      <c r="U17" s="22"/>
    </row>
    <row r="18" spans="1:21" ht="18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>
        <f t="shared" si="0"/>
        <v>0</v>
      </c>
      <c r="T18" s="20"/>
      <c r="U18" s="22"/>
    </row>
    <row r="19" spans="1:21" ht="18" customHeight="1">
      <c r="A19" s="23"/>
      <c r="B19" s="22"/>
      <c r="C19" s="18"/>
      <c r="D19" s="18"/>
      <c r="E19" s="18"/>
      <c r="F19" s="18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0">
        <f t="shared" si="0"/>
        <v>0</v>
      </c>
      <c r="T19" s="20"/>
      <c r="U19" s="22"/>
    </row>
    <row r="20" spans="1:21" ht="18" customHeight="1">
      <c r="A20" s="23"/>
      <c r="B20" s="22"/>
      <c r="C20" s="18"/>
      <c r="D20" s="18"/>
      <c r="E20" s="18"/>
      <c r="F20" s="18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0">
        <f t="shared" si="0"/>
        <v>0</v>
      </c>
      <c r="T20" s="20"/>
      <c r="U20" s="22"/>
    </row>
    <row r="21" spans="1:21" ht="18" customHeight="1">
      <c r="A21" s="23"/>
      <c r="B21" s="22"/>
      <c r="C21" s="18"/>
      <c r="D21" s="18"/>
      <c r="E21" s="18"/>
      <c r="F21" s="18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0">
        <f t="shared" si="0"/>
        <v>0</v>
      </c>
      <c r="T21" s="20"/>
      <c r="U21" s="22"/>
    </row>
    <row r="22" spans="1:21" ht="18" customHeight="1">
      <c r="A22" s="17"/>
      <c r="B22" s="22"/>
      <c r="C22" s="18"/>
      <c r="D22" s="18"/>
      <c r="E22" s="18"/>
      <c r="F22" s="18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0">
        <f t="shared" si="0"/>
        <v>0</v>
      </c>
      <c r="T22" s="20"/>
      <c r="U22" s="22"/>
    </row>
    <row r="23" spans="1:21" ht="18" customHeight="1">
      <c r="A23" s="17"/>
      <c r="B23" s="22"/>
      <c r="C23" s="18"/>
      <c r="D23" s="18"/>
      <c r="E23" s="18"/>
      <c r="F23" s="18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0">
        <f t="shared" si="0"/>
        <v>0</v>
      </c>
      <c r="T23" s="20"/>
      <c r="U23" s="22"/>
    </row>
    <row r="24" spans="1:21" ht="18" customHeight="1">
      <c r="A24" s="23"/>
      <c r="B24" s="22"/>
      <c r="C24" s="18"/>
      <c r="D24" s="18"/>
      <c r="E24" s="18"/>
      <c r="F24" s="18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0">
        <f t="shared" si="0"/>
        <v>0</v>
      </c>
      <c r="T24" s="20"/>
      <c r="U24" s="22"/>
    </row>
    <row r="25" spans="1:21" ht="18" customHeight="1">
      <c r="A25" s="23"/>
      <c r="B25" s="22"/>
      <c r="C25" s="18"/>
      <c r="D25" s="18"/>
      <c r="E25" s="18"/>
      <c r="F25" s="18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0">
        <f t="shared" si="0"/>
        <v>0</v>
      </c>
      <c r="T25" s="20"/>
      <c r="U25" s="22"/>
    </row>
    <row r="26" spans="1:21" ht="18" customHeight="1">
      <c r="A26" s="23"/>
      <c r="B26" s="22"/>
      <c r="C26" s="18"/>
      <c r="D26" s="18"/>
      <c r="E26" s="18"/>
      <c r="F26" s="18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0">
        <f t="shared" si="0"/>
        <v>0</v>
      </c>
      <c r="T26" s="20"/>
      <c r="U26" s="22"/>
    </row>
    <row r="27" spans="1:21" ht="18" customHeight="1">
      <c r="A27" s="23"/>
      <c r="B27" s="22"/>
      <c r="C27" s="18"/>
      <c r="D27" s="18"/>
      <c r="E27" s="18"/>
      <c r="F27" s="18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0">
        <f t="shared" si="0"/>
        <v>0</v>
      </c>
      <c r="T27" s="20"/>
      <c r="U27" s="22"/>
    </row>
    <row r="28" spans="1:21" ht="18" customHeight="1">
      <c r="A28" s="23"/>
      <c r="B28" s="22"/>
      <c r="C28" s="18"/>
      <c r="D28" s="18"/>
      <c r="E28" s="18"/>
      <c r="F28" s="18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0">
        <f t="shared" si="0"/>
        <v>0</v>
      </c>
      <c r="T28" s="20"/>
      <c r="U28" s="22"/>
    </row>
    <row r="29" spans="1:21" ht="18" customHeight="1">
      <c r="A29" s="23"/>
      <c r="B29" s="22"/>
      <c r="C29" s="18"/>
      <c r="D29" s="18"/>
      <c r="E29" s="18"/>
      <c r="F29" s="18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0"/>
      <c r="T29" s="20"/>
      <c r="U29" s="22"/>
    </row>
    <row r="30" spans="1:21" ht="18" customHeight="1">
      <c r="A30" s="23"/>
      <c r="B30" s="22"/>
      <c r="C30" s="18"/>
      <c r="D30" s="18"/>
      <c r="E30" s="18"/>
      <c r="F30" s="1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0"/>
      <c r="T30" s="20"/>
      <c r="U30" s="22"/>
    </row>
    <row r="31" spans="1:21" ht="18" customHeight="1">
      <c r="A31" s="390" t="s">
        <v>43</v>
      </c>
      <c r="B31" s="391"/>
      <c r="C31" s="20">
        <f>SUM(C9:C28)</f>
        <v>0</v>
      </c>
      <c r="D31" s="20"/>
      <c r="E31" s="20"/>
      <c r="F31" s="20"/>
      <c r="G31" s="20">
        <f t="shared" ref="G31:S31" si="1">SUM(G9:G28)</f>
        <v>0</v>
      </c>
      <c r="H31" s="20"/>
      <c r="I31" s="20"/>
      <c r="J31" s="20"/>
      <c r="K31" s="20">
        <f t="shared" si="1"/>
        <v>0</v>
      </c>
      <c r="L31" s="20"/>
      <c r="M31" s="20"/>
      <c r="N31" s="20"/>
      <c r="O31" s="20">
        <f t="shared" si="1"/>
        <v>0</v>
      </c>
      <c r="P31" s="20"/>
      <c r="Q31" s="20"/>
      <c r="R31" s="20"/>
      <c r="S31" s="20">
        <f t="shared" si="1"/>
        <v>0</v>
      </c>
      <c r="T31" s="20"/>
      <c r="U31" s="22"/>
    </row>
  </sheetData>
  <sheetProtection formatCells="0" formatColumns="0" formatRows="0" insertColumns="0" insertRows="0" insertHyperlinks="0" deleteColumns="0" deleteRows="0" sort="0" autoFilter="0" pivotTables="0"/>
  <mergeCells count="13">
    <mergeCell ref="K8:N8"/>
    <mergeCell ref="O8:R8"/>
    <mergeCell ref="A31:B31"/>
    <mergeCell ref="A2:U2"/>
    <mergeCell ref="A3:U3"/>
    <mergeCell ref="A7:A9"/>
    <mergeCell ref="B7:B9"/>
    <mergeCell ref="C7:R7"/>
    <mergeCell ref="S7:S9"/>
    <mergeCell ref="T7:T9"/>
    <mergeCell ref="U7:U9"/>
    <mergeCell ref="C8:F8"/>
    <mergeCell ref="G8:J8"/>
  </mergeCells>
  <conditionalFormatting sqref="S10:T30">
    <cfRule type="cellIs" dxfId="5" priority="2" operator="equal">
      <formula>0</formula>
    </cfRule>
    <cfRule type="cellIs" dxfId="4" priority="3" operator="equal">
      <formula>0</formula>
    </cfRule>
  </conditionalFormatting>
  <conditionalFormatting sqref="C31:T31">
    <cfRule type="cellIs" dxfId="3" priority="1" operator="equal">
      <formula>0</formula>
    </cfRule>
  </conditionalFormatting>
  <dataValidations count="2">
    <dataValidation type="date" allowBlank="1" showInputMessage="1" showErrorMessage="1" errorTitle="Message d'erreur" error="La date entrée n'est pas valide.&#10;Veuillez saisir une autre date." promptTitle="Format de la date : jj/mm/aa" prompt="Exemple : 01/02/15" sqref="A10:A11 A20:A21 A28:A30">
      <formula1>41883</formula1>
      <formula2>42185</formula2>
    </dataValidation>
    <dataValidation type="date" allowBlank="1" showInputMessage="1" showErrorMessage="1" errorTitle="Message d'erreur" error="La date entrée n'est pas valide.&#10;Veuillez saisir une autre date." sqref="A15:A19 A22:A27">
      <formula1>41883</formula1>
      <formula2>42185</formula2>
    </dataValidation>
  </dataValidations>
  <printOptions horizontalCentered="1"/>
  <pageMargins left="0" right="0" top="0.19685039370078741" bottom="0.19685039370078741" header="0.31496062992125984" footer="0.31496062992125984"/>
  <pageSetup paperSize="9" orientation="landscape" r:id="rId1"/>
  <headerFooter>
    <oddFooter>&amp;L&amp;"+,Normal"&amp;9&amp;D&amp;C&amp;"+,Normal"&amp;9Etat des enlèvements&amp;R&amp;"+,Normal"&amp;9&amp;P/&amp;N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E16" sqref="E16"/>
    </sheetView>
  </sheetViews>
  <sheetFormatPr baseColWidth="10" defaultRowHeight="15"/>
  <cols>
    <col min="1" max="1" width="25" style="32" customWidth="1"/>
    <col min="2" max="2" width="17.140625" style="32" customWidth="1"/>
    <col min="3" max="16384" width="11.42578125" style="32"/>
  </cols>
  <sheetData>
    <row r="2" spans="1:2" ht="18" customHeight="1">
      <c r="A2" s="33" t="s">
        <v>66</v>
      </c>
      <c r="B2" s="33" t="s">
        <v>67</v>
      </c>
    </row>
    <row r="3" spans="1:2" ht="18" customHeight="1">
      <c r="A3" s="25" t="s">
        <v>31</v>
      </c>
      <c r="B3" s="35" t="s">
        <v>17</v>
      </c>
    </row>
    <row r="4" spans="1:2" ht="18" customHeight="1">
      <c r="A4" s="26" t="s">
        <v>32</v>
      </c>
      <c r="B4" s="35" t="s">
        <v>18</v>
      </c>
    </row>
    <row r="5" spans="1:2" ht="18" customHeight="1">
      <c r="A5" s="25" t="s">
        <v>33</v>
      </c>
      <c r="B5" s="35" t="s">
        <v>69</v>
      </c>
    </row>
    <row r="6" spans="1:2" ht="18" customHeight="1">
      <c r="A6" s="25" t="s">
        <v>3</v>
      </c>
      <c r="B6" s="35" t="s">
        <v>64</v>
      </c>
    </row>
    <row r="7" spans="1:2" ht="18" customHeight="1">
      <c r="A7" s="27" t="s">
        <v>34</v>
      </c>
      <c r="B7" s="35" t="s">
        <v>20</v>
      </c>
    </row>
    <row r="8" spans="1:2" ht="18" customHeight="1">
      <c r="A8" s="25" t="s">
        <v>35</v>
      </c>
      <c r="B8" s="35" t="s">
        <v>65</v>
      </c>
    </row>
    <row r="9" spans="1:2" ht="18" customHeight="1">
      <c r="A9" s="25" t="s">
        <v>37</v>
      </c>
      <c r="B9" s="35" t="s">
        <v>74</v>
      </c>
    </row>
    <row r="10" spans="1:2" ht="18" customHeight="1">
      <c r="A10" s="25" t="s">
        <v>38</v>
      </c>
      <c r="B10" s="35"/>
    </row>
    <row r="11" spans="1:2" ht="18" customHeight="1">
      <c r="A11" s="25" t="s">
        <v>39</v>
      </c>
      <c r="B11" s="35"/>
    </row>
    <row r="12" spans="1:2" ht="18" customHeight="1">
      <c r="A12" s="25" t="s">
        <v>40</v>
      </c>
      <c r="B12" s="35"/>
    </row>
    <row r="13" spans="1:2" ht="18" customHeight="1">
      <c r="A13" s="25" t="s">
        <v>41</v>
      </c>
      <c r="B13" s="35"/>
    </row>
    <row r="14" spans="1:2" ht="18" customHeight="1">
      <c r="A14" s="25" t="s">
        <v>72</v>
      </c>
      <c r="B14" s="35"/>
    </row>
    <row r="15" spans="1:2" ht="15.75">
      <c r="A15" s="25" t="s">
        <v>71</v>
      </c>
      <c r="B15" s="36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</sheetPr>
  <dimension ref="A1:M26"/>
  <sheetViews>
    <sheetView topLeftCell="A4" workbookViewId="0">
      <selection activeCell="F32" sqref="F32"/>
    </sheetView>
  </sheetViews>
  <sheetFormatPr baseColWidth="10" defaultRowHeight="14.25"/>
  <cols>
    <col min="1" max="1" width="6.28515625" style="29" customWidth="1"/>
    <col min="2" max="2" width="19.140625" style="29" customWidth="1"/>
    <col min="3" max="3" width="15.42578125" style="29" customWidth="1"/>
    <col min="4" max="4" width="11.7109375" style="29" customWidth="1"/>
    <col min="5" max="7" width="10.7109375" style="29" customWidth="1"/>
    <col min="8" max="12" width="11.28515625" style="29" customWidth="1"/>
    <col min="13" max="16384" width="11.42578125" style="29"/>
  </cols>
  <sheetData>
    <row r="1" spans="1:13">
      <c r="A1" s="214" t="s">
        <v>10</v>
      </c>
      <c r="I1" s="215"/>
      <c r="J1" s="399" t="s">
        <v>11</v>
      </c>
      <c r="K1" s="399"/>
      <c r="L1" s="399"/>
      <c r="M1" s="215"/>
    </row>
    <row r="2" spans="1:13">
      <c r="A2" s="214" t="s">
        <v>75</v>
      </c>
      <c r="I2" s="215"/>
      <c r="J2" s="399" t="s">
        <v>13</v>
      </c>
      <c r="K2" s="399"/>
      <c r="L2" s="399"/>
      <c r="M2" s="215"/>
    </row>
    <row r="3" spans="1:13">
      <c r="A3" s="216" t="s">
        <v>73</v>
      </c>
    </row>
    <row r="4" spans="1:13">
      <c r="A4" s="216" t="s">
        <v>76</v>
      </c>
    </row>
    <row r="5" spans="1:13">
      <c r="A5" s="216" t="s">
        <v>15</v>
      </c>
    </row>
    <row r="6" spans="1:13" ht="22.5" customHeight="1">
      <c r="A6" s="398" t="s">
        <v>137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</row>
    <row r="7" spans="1:13" ht="21.75" customHeight="1">
      <c r="A7" s="398" t="s">
        <v>157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</row>
    <row r="8" spans="1:13" ht="21.7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</row>
    <row r="9" spans="1:13" ht="14.1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3" ht="15.95" customHeight="1">
      <c r="A10" s="217"/>
      <c r="B10" s="217"/>
      <c r="C10" s="217"/>
      <c r="D10" s="217">
        <v>21.88</v>
      </c>
      <c r="E10" s="217"/>
      <c r="F10" s="217"/>
      <c r="G10" s="217"/>
      <c r="I10" s="395" t="s">
        <v>16</v>
      </c>
      <c r="J10" s="396"/>
      <c r="K10" s="396"/>
      <c r="L10" s="397"/>
    </row>
    <row r="11" spans="1:13" ht="15.95" customHeight="1">
      <c r="A11" s="217"/>
      <c r="B11" s="217"/>
      <c r="C11" s="217"/>
      <c r="D11" s="217"/>
      <c r="E11" s="217"/>
      <c r="F11" s="217"/>
      <c r="G11" s="217"/>
      <c r="I11" s="60" t="s">
        <v>17</v>
      </c>
      <c r="J11" s="60" t="s">
        <v>18</v>
      </c>
      <c r="K11" s="60" t="s">
        <v>111</v>
      </c>
      <c r="L11" s="60" t="s">
        <v>20</v>
      </c>
    </row>
    <row r="12" spans="1:13" ht="15.95" customHeight="1">
      <c r="A12" s="218" t="s">
        <v>21</v>
      </c>
      <c r="B12" s="219"/>
      <c r="C12" s="219"/>
      <c r="D12" s="222">
        <v>22</v>
      </c>
      <c r="F12" s="220"/>
      <c r="G12" s="220"/>
      <c r="I12" s="60">
        <v>150</v>
      </c>
      <c r="J12" s="60">
        <v>10</v>
      </c>
      <c r="K12" s="60">
        <v>30</v>
      </c>
      <c r="L12" s="60">
        <v>5</v>
      </c>
    </row>
    <row r="13" spans="1:13" ht="15" customHeight="1">
      <c r="A13" s="221"/>
    </row>
    <row r="14" spans="1:13" ht="21.95" customHeight="1">
      <c r="A14" s="410" t="s">
        <v>22</v>
      </c>
      <c r="B14" s="410" t="s">
        <v>23</v>
      </c>
      <c r="C14" s="412" t="s">
        <v>24</v>
      </c>
      <c r="D14" s="400" t="s">
        <v>25</v>
      </c>
      <c r="E14" s="402" t="s">
        <v>26</v>
      </c>
      <c r="F14" s="403"/>
      <c r="G14" s="404"/>
      <c r="H14" s="394" t="s">
        <v>27</v>
      </c>
      <c r="I14" s="394"/>
      <c r="J14" s="394"/>
      <c r="K14" s="394"/>
      <c r="L14" s="394"/>
    </row>
    <row r="15" spans="1:13" ht="18" customHeight="1">
      <c r="A15" s="411"/>
      <c r="B15" s="411"/>
      <c r="C15" s="413"/>
      <c r="D15" s="401"/>
      <c r="E15" s="223" t="s">
        <v>28</v>
      </c>
      <c r="F15" s="223" t="s">
        <v>29</v>
      </c>
      <c r="G15" s="224" t="s">
        <v>30</v>
      </c>
      <c r="H15" s="223" t="s">
        <v>17</v>
      </c>
      <c r="I15" s="223" t="s">
        <v>18</v>
      </c>
      <c r="J15" s="223" t="s">
        <v>19</v>
      </c>
      <c r="K15" s="223" t="s">
        <v>20</v>
      </c>
      <c r="L15" s="224" t="s">
        <v>30</v>
      </c>
    </row>
    <row r="16" spans="1:13" ht="21.95" customHeight="1">
      <c r="A16" s="225">
        <v>1</v>
      </c>
      <c r="B16" s="405" t="s">
        <v>0</v>
      </c>
      <c r="C16" s="226" t="s">
        <v>31</v>
      </c>
      <c r="D16" s="225">
        <v>151</v>
      </c>
      <c r="E16" s="227">
        <v>21373</v>
      </c>
      <c r="F16" s="227">
        <v>19049</v>
      </c>
      <c r="G16" s="228">
        <f>E16+F16</f>
        <v>40422</v>
      </c>
      <c r="H16" s="8">
        <f>G16*$I$12*jrs/1000000</f>
        <v>133.39259999999999</v>
      </c>
      <c r="I16" s="8">
        <f t="shared" ref="I16" si="0">G16*$J$12*jrs/1000000</f>
        <v>8.8928399999999996</v>
      </c>
      <c r="J16" s="8">
        <f t="shared" ref="J16" si="1">G16*$K$12*jrs/1000000</f>
        <v>26.678519999999999</v>
      </c>
      <c r="K16" s="8">
        <f t="shared" ref="K16" si="2">G16*$L$12*jrs/1000000</f>
        <v>4.4464199999999998</v>
      </c>
      <c r="L16" s="229">
        <f>SUM(H16:K16)</f>
        <v>173.41037999999998</v>
      </c>
    </row>
    <row r="17" spans="1:12" ht="21.95" customHeight="1">
      <c r="A17" s="225">
        <v>2</v>
      </c>
      <c r="B17" s="406"/>
      <c r="C17" s="221" t="s">
        <v>32</v>
      </c>
      <c r="D17" s="225">
        <v>234</v>
      </c>
      <c r="E17" s="227">
        <v>28774</v>
      </c>
      <c r="F17" s="227">
        <v>29328</v>
      </c>
      <c r="G17" s="228">
        <f t="shared" ref="G17:G24" si="3">E17+F17</f>
        <v>58102</v>
      </c>
      <c r="H17" s="8">
        <f t="shared" ref="H17:H24" si="4">G17*$I$12*jrs/1000000</f>
        <v>191.73660000000001</v>
      </c>
      <c r="I17" s="8">
        <f t="shared" ref="I17:I24" si="5">G17*$J$12*jrs/1000000</f>
        <v>12.782439999999999</v>
      </c>
      <c r="J17" s="8">
        <f t="shared" ref="J17:J24" si="6">G17*$K$12*jrs/1000000</f>
        <v>38.347320000000003</v>
      </c>
      <c r="K17" s="8">
        <f t="shared" ref="K17:K24" si="7">G17*$L$12*jrs/1000000</f>
        <v>6.3912199999999997</v>
      </c>
      <c r="L17" s="229">
        <f t="shared" ref="L17:L24" si="8">SUM(H17:K17)</f>
        <v>249.25758000000002</v>
      </c>
    </row>
    <row r="18" spans="1:12" ht="21.95" customHeight="1">
      <c r="A18" s="225">
        <v>3</v>
      </c>
      <c r="B18" s="405" t="s">
        <v>1</v>
      </c>
      <c r="C18" s="226" t="s">
        <v>33</v>
      </c>
      <c r="D18" s="225">
        <v>71</v>
      </c>
      <c r="E18" s="227">
        <v>7445</v>
      </c>
      <c r="F18" s="227">
        <v>8729</v>
      </c>
      <c r="G18" s="228">
        <f t="shared" si="3"/>
        <v>16174</v>
      </c>
      <c r="H18" s="8">
        <f t="shared" si="4"/>
        <v>53.374200000000002</v>
      </c>
      <c r="I18" s="8">
        <f t="shared" si="5"/>
        <v>3.5582799999999999</v>
      </c>
      <c r="J18" s="8">
        <f t="shared" si="6"/>
        <v>10.67484</v>
      </c>
      <c r="K18" s="8">
        <f t="shared" si="7"/>
        <v>1.7791399999999999</v>
      </c>
      <c r="L18" s="229">
        <f t="shared" si="8"/>
        <v>69.38646</v>
      </c>
    </row>
    <row r="19" spans="1:12" ht="21.95" customHeight="1">
      <c r="A19" s="225">
        <v>4</v>
      </c>
      <c r="B19" s="406"/>
      <c r="C19" s="226" t="s">
        <v>3</v>
      </c>
      <c r="D19" s="225">
        <v>30</v>
      </c>
      <c r="E19" s="227">
        <v>3649</v>
      </c>
      <c r="F19" s="227">
        <v>3842</v>
      </c>
      <c r="G19" s="228">
        <f t="shared" si="3"/>
        <v>7491</v>
      </c>
      <c r="H19" s="8">
        <f t="shared" si="4"/>
        <v>24.720300000000002</v>
      </c>
      <c r="I19" s="8">
        <f t="shared" si="5"/>
        <v>1.64802</v>
      </c>
      <c r="J19" s="8">
        <f t="shared" si="6"/>
        <v>4.9440600000000003</v>
      </c>
      <c r="K19" s="8">
        <f t="shared" si="7"/>
        <v>0.82401000000000002</v>
      </c>
      <c r="L19" s="229">
        <f t="shared" si="8"/>
        <v>32.136389999999999</v>
      </c>
    </row>
    <row r="20" spans="1:12" ht="21.95" customHeight="1">
      <c r="A20" s="225">
        <v>6</v>
      </c>
      <c r="B20" s="226" t="s">
        <v>8</v>
      </c>
      <c r="C20" s="226" t="s">
        <v>35</v>
      </c>
      <c r="D20" s="233">
        <v>107</v>
      </c>
      <c r="E20" s="234">
        <v>14035</v>
      </c>
      <c r="F20" s="234">
        <v>15915</v>
      </c>
      <c r="G20" s="228">
        <f t="shared" si="3"/>
        <v>29950</v>
      </c>
      <c r="H20" s="8">
        <f t="shared" si="4"/>
        <v>98.834999999999994</v>
      </c>
      <c r="I20" s="8">
        <f t="shared" si="5"/>
        <v>6.5890000000000004</v>
      </c>
      <c r="J20" s="8">
        <f t="shared" si="6"/>
        <v>19.766999999999999</v>
      </c>
      <c r="K20" s="8">
        <f t="shared" si="7"/>
        <v>3.2945000000000002</v>
      </c>
      <c r="L20" s="229">
        <f t="shared" si="8"/>
        <v>128.4855</v>
      </c>
    </row>
    <row r="21" spans="1:12" ht="21.95" customHeight="1">
      <c r="A21" s="225">
        <v>7</v>
      </c>
      <c r="B21" s="226" t="s">
        <v>36</v>
      </c>
      <c r="C21" s="226" t="s">
        <v>37</v>
      </c>
      <c r="D21" s="233">
        <v>93</v>
      </c>
      <c r="E21" s="234">
        <v>12983</v>
      </c>
      <c r="F21" s="234">
        <v>14696</v>
      </c>
      <c r="G21" s="228">
        <f t="shared" si="3"/>
        <v>27679</v>
      </c>
      <c r="H21" s="8">
        <f t="shared" si="4"/>
        <v>91.340699999999998</v>
      </c>
      <c r="I21" s="8">
        <f t="shared" si="5"/>
        <v>6.0893800000000002</v>
      </c>
      <c r="J21" s="8">
        <f t="shared" si="6"/>
        <v>18.268139999999999</v>
      </c>
      <c r="K21" s="8">
        <f t="shared" si="7"/>
        <v>3.0446900000000001</v>
      </c>
      <c r="L21" s="229">
        <f t="shared" si="8"/>
        <v>118.74291000000001</v>
      </c>
    </row>
    <row r="22" spans="1:12" ht="21.95" customHeight="1">
      <c r="A22" s="225">
        <v>5</v>
      </c>
      <c r="B22" s="226" t="s">
        <v>4</v>
      </c>
      <c r="C22" s="230" t="s">
        <v>34</v>
      </c>
      <c r="D22" s="233">
        <v>178</v>
      </c>
      <c r="E22" s="234">
        <v>31019</v>
      </c>
      <c r="F22" s="234">
        <v>40853</v>
      </c>
      <c r="G22" s="228">
        <f t="shared" si="3"/>
        <v>71872</v>
      </c>
      <c r="H22" s="8">
        <f t="shared" si="4"/>
        <v>237.17760000000001</v>
      </c>
      <c r="I22" s="8">
        <f t="shared" si="5"/>
        <v>15.81184</v>
      </c>
      <c r="J22" s="8">
        <f t="shared" si="6"/>
        <v>47.435519999999997</v>
      </c>
      <c r="K22" s="8">
        <f t="shared" si="7"/>
        <v>7.9059200000000001</v>
      </c>
      <c r="L22" s="229">
        <f t="shared" si="8"/>
        <v>308.33087999999998</v>
      </c>
    </row>
    <row r="23" spans="1:12" ht="21.95" customHeight="1">
      <c r="A23" s="225">
        <v>8</v>
      </c>
      <c r="B23" s="226" t="s">
        <v>5</v>
      </c>
      <c r="C23" s="226" t="s">
        <v>38</v>
      </c>
      <c r="D23" s="233">
        <v>220</v>
      </c>
      <c r="E23" s="234">
        <v>32825</v>
      </c>
      <c r="F23" s="234">
        <v>35893</v>
      </c>
      <c r="G23" s="228">
        <f t="shared" si="3"/>
        <v>68718</v>
      </c>
      <c r="H23" s="8">
        <f t="shared" si="4"/>
        <v>226.76939999999999</v>
      </c>
      <c r="I23" s="8">
        <f t="shared" si="5"/>
        <v>15.11796</v>
      </c>
      <c r="J23" s="8">
        <f t="shared" si="6"/>
        <v>45.353879999999997</v>
      </c>
      <c r="K23" s="8">
        <f t="shared" si="7"/>
        <v>7.55898</v>
      </c>
      <c r="L23" s="229">
        <f t="shared" si="8"/>
        <v>294.80022000000002</v>
      </c>
    </row>
    <row r="24" spans="1:12" ht="21.95" customHeight="1">
      <c r="A24" s="225">
        <v>9</v>
      </c>
      <c r="B24" s="226" t="s">
        <v>7</v>
      </c>
      <c r="C24" s="226" t="s">
        <v>41</v>
      </c>
      <c r="D24" s="233">
        <v>79</v>
      </c>
      <c r="E24" s="234">
        <v>7078</v>
      </c>
      <c r="F24" s="234">
        <v>9228</v>
      </c>
      <c r="G24" s="228">
        <f t="shared" si="3"/>
        <v>16306</v>
      </c>
      <c r="H24" s="8">
        <f t="shared" si="4"/>
        <v>53.809800000000003</v>
      </c>
      <c r="I24" s="8">
        <f t="shared" si="5"/>
        <v>3.5873200000000001</v>
      </c>
      <c r="J24" s="8">
        <f t="shared" si="6"/>
        <v>10.76196</v>
      </c>
      <c r="K24" s="8">
        <f t="shared" si="7"/>
        <v>1.79366</v>
      </c>
      <c r="L24" s="229">
        <f t="shared" si="8"/>
        <v>69.952740000000006</v>
      </c>
    </row>
    <row r="25" spans="1:12" ht="21.95" customHeight="1">
      <c r="A25" s="407" t="s">
        <v>42</v>
      </c>
      <c r="B25" s="408"/>
      <c r="C25" s="409"/>
      <c r="D25" s="231">
        <f t="shared" ref="D25:L25" si="9">SUM(D16:D24)</f>
        <v>1163</v>
      </c>
      <c r="E25" s="231">
        <f t="shared" si="9"/>
        <v>159181</v>
      </c>
      <c r="F25" s="231">
        <f t="shared" si="9"/>
        <v>177533</v>
      </c>
      <c r="G25" s="231">
        <f t="shared" si="9"/>
        <v>336714</v>
      </c>
      <c r="H25" s="232">
        <f t="shared" si="9"/>
        <v>1111.1561999999999</v>
      </c>
      <c r="I25" s="232">
        <f t="shared" si="9"/>
        <v>74.077079999999995</v>
      </c>
      <c r="J25" s="232">
        <f t="shared" si="9"/>
        <v>222.23124000000001</v>
      </c>
      <c r="K25" s="232">
        <f t="shared" si="9"/>
        <v>37.038539999999998</v>
      </c>
      <c r="L25" s="232">
        <f t="shared" si="9"/>
        <v>1444.50306</v>
      </c>
    </row>
    <row r="26" spans="1:12" ht="18" customHeight="1"/>
  </sheetData>
  <sheetProtection formatCells="0" formatColumns="0" formatRows="0" insertColumns="0" insertRows="0" insertHyperlinks="0" deleteColumns="0" deleteRows="0" sort="0" autoFilter="0" pivotTables="0"/>
  <mergeCells count="14">
    <mergeCell ref="B16:B17"/>
    <mergeCell ref="B18:B19"/>
    <mergeCell ref="A25:C25"/>
    <mergeCell ref="A14:A15"/>
    <mergeCell ref="B14:B15"/>
    <mergeCell ref="C14:C15"/>
    <mergeCell ref="H14:L14"/>
    <mergeCell ref="I10:L10"/>
    <mergeCell ref="A7:L7"/>
    <mergeCell ref="A6:L6"/>
    <mergeCell ref="J1:L1"/>
    <mergeCell ref="J2:L2"/>
    <mergeCell ref="D14:D15"/>
    <mergeCell ref="E14:G14"/>
  </mergeCells>
  <conditionalFormatting sqref="H16:L25">
    <cfRule type="cellIs" dxfId="2" priority="3" operator="equal">
      <formula>0</formula>
    </cfRule>
  </conditionalFormatting>
  <conditionalFormatting sqref="H25:L25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2014-2015&amp;C&amp;"+,Normal"&amp;9 3ème Dotation&amp;R&amp;"+,Normal"&amp;9&amp;P/&amp;N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4:C7"/>
  <sheetViews>
    <sheetView workbookViewId="0">
      <selection activeCell="A4" sqref="A4:C4"/>
    </sheetView>
  </sheetViews>
  <sheetFormatPr baseColWidth="10" defaultRowHeight="15"/>
  <cols>
    <col min="1" max="3" width="40" customWidth="1"/>
  </cols>
  <sheetData>
    <row r="4" spans="1:3" ht="36.75" customHeight="1">
      <c r="A4" s="414" t="s">
        <v>155</v>
      </c>
      <c r="B4" s="414"/>
      <c r="C4" s="414"/>
    </row>
    <row r="5" spans="1:3" ht="49.5" customHeight="1"/>
    <row r="6" spans="1:3" ht="43.5" customHeight="1">
      <c r="A6" s="207" t="s">
        <v>17</v>
      </c>
      <c r="B6" s="207" t="s">
        <v>18</v>
      </c>
      <c r="C6" s="207" t="s">
        <v>112</v>
      </c>
    </row>
    <row r="7" spans="1:3" ht="47.25" customHeight="1">
      <c r="A7" s="208">
        <v>24</v>
      </c>
      <c r="B7" s="209">
        <v>1.6</v>
      </c>
      <c r="C7" s="209">
        <f>3.2+6</f>
        <v>9.1999999999999993</v>
      </c>
    </row>
  </sheetData>
  <mergeCells count="1"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K19"/>
  <sheetViews>
    <sheetView workbookViewId="0">
      <selection activeCell="A19" sqref="A19"/>
    </sheetView>
  </sheetViews>
  <sheetFormatPr baseColWidth="10" defaultRowHeight="15"/>
  <cols>
    <col min="1" max="1" width="5.28515625" customWidth="1"/>
    <col min="2" max="2" width="15.85546875" customWidth="1"/>
    <col min="3" max="3" width="15.42578125" customWidth="1"/>
    <col min="6" max="11" width="10.7109375" customWidth="1"/>
  </cols>
  <sheetData>
    <row r="2" spans="1:11">
      <c r="G2" s="415" t="s">
        <v>16</v>
      </c>
      <c r="H2" s="415"/>
      <c r="I2" s="415"/>
      <c r="J2" s="415"/>
      <c r="K2" s="415"/>
    </row>
    <row r="3" spans="1:11">
      <c r="G3" s="88" t="s">
        <v>17</v>
      </c>
      <c r="H3" s="88" t="s">
        <v>18</v>
      </c>
      <c r="I3" s="88" t="s">
        <v>19</v>
      </c>
      <c r="J3" s="88" t="s">
        <v>20</v>
      </c>
      <c r="K3" s="246" t="s">
        <v>74</v>
      </c>
    </row>
    <row r="4" spans="1:11">
      <c r="A4" s="236" t="s">
        <v>158</v>
      </c>
      <c r="G4" s="88">
        <v>150</v>
      </c>
      <c r="H4" s="88">
        <v>10</v>
      </c>
      <c r="I4" s="88">
        <v>30</v>
      </c>
      <c r="J4" s="88">
        <v>5</v>
      </c>
      <c r="K4" s="246">
        <v>71.400000000000006</v>
      </c>
    </row>
    <row r="5" spans="1:11">
      <c r="A5" s="237"/>
    </row>
    <row r="6" spans="1:11">
      <c r="A6" s="420" t="s">
        <v>22</v>
      </c>
      <c r="B6" s="420" t="s">
        <v>159</v>
      </c>
      <c r="C6" s="420" t="s">
        <v>160</v>
      </c>
      <c r="D6" s="420" t="s">
        <v>161</v>
      </c>
      <c r="E6" s="420" t="s">
        <v>136</v>
      </c>
      <c r="F6" s="416" t="s">
        <v>27</v>
      </c>
      <c r="G6" s="416"/>
      <c r="H6" s="416"/>
      <c r="I6" s="416"/>
      <c r="J6" s="416"/>
      <c r="K6" s="416"/>
    </row>
    <row r="7" spans="1:11">
      <c r="A7" s="421"/>
      <c r="B7" s="421"/>
      <c r="C7" s="421"/>
      <c r="D7" s="421"/>
      <c r="E7" s="421"/>
      <c r="F7" s="239" t="s">
        <v>17</v>
      </c>
      <c r="G7" s="239" t="s">
        <v>18</v>
      </c>
      <c r="H7" s="239" t="s">
        <v>112</v>
      </c>
      <c r="I7" s="239" t="s">
        <v>20</v>
      </c>
      <c r="J7" s="239" t="s">
        <v>74</v>
      </c>
      <c r="K7" s="239" t="s">
        <v>43</v>
      </c>
    </row>
    <row r="8" spans="1:11">
      <c r="A8" s="240">
        <v>1</v>
      </c>
      <c r="B8" s="242" t="s">
        <v>0</v>
      </c>
      <c r="C8" s="242" t="s">
        <v>0</v>
      </c>
      <c r="D8" s="240">
        <v>151</v>
      </c>
      <c r="E8" s="241">
        <v>40422</v>
      </c>
      <c r="F8" s="240">
        <v>133.327</v>
      </c>
      <c r="G8" s="240">
        <v>8.8170000000000002</v>
      </c>
      <c r="H8" s="240">
        <v>26.605</v>
      </c>
      <c r="I8" s="240">
        <v>4.37</v>
      </c>
      <c r="J8" s="240">
        <v>35.838000000000001</v>
      </c>
      <c r="K8" s="240">
        <v>208.95699999999999</v>
      </c>
    </row>
    <row r="9" spans="1:11">
      <c r="A9" s="240">
        <v>2</v>
      </c>
      <c r="B9" s="242" t="s">
        <v>0</v>
      </c>
      <c r="C9" s="242" t="s">
        <v>162</v>
      </c>
      <c r="D9" s="240">
        <v>234</v>
      </c>
      <c r="E9" s="241">
        <v>58102</v>
      </c>
      <c r="F9" s="240">
        <v>191.62700000000001</v>
      </c>
      <c r="G9" s="240">
        <v>12.669</v>
      </c>
      <c r="H9" s="240">
        <v>38.234999999999999</v>
      </c>
      <c r="I9" s="240">
        <v>6.2789999999999999</v>
      </c>
      <c r="J9" s="240">
        <v>51.51</v>
      </c>
      <c r="K9" s="240">
        <v>300.32</v>
      </c>
    </row>
    <row r="10" spans="1:11">
      <c r="A10" s="240">
        <v>3</v>
      </c>
      <c r="B10" s="242" t="s">
        <v>1</v>
      </c>
      <c r="C10" s="242" t="s">
        <v>1</v>
      </c>
      <c r="D10" s="240">
        <v>71</v>
      </c>
      <c r="E10" s="241">
        <v>16174</v>
      </c>
      <c r="F10" s="240">
        <v>53.347999999999999</v>
      </c>
      <c r="G10" s="240">
        <v>3.524</v>
      </c>
      <c r="H10" s="240">
        <v>10.643000000000001</v>
      </c>
      <c r="I10" s="240">
        <v>1.7470000000000001</v>
      </c>
      <c r="J10" s="240">
        <v>14.336</v>
      </c>
      <c r="K10" s="240">
        <v>83.597999999999999</v>
      </c>
    </row>
    <row r="11" spans="1:11">
      <c r="A11" s="240">
        <v>4</v>
      </c>
      <c r="B11" s="242" t="s">
        <v>1</v>
      </c>
      <c r="C11" s="242" t="s">
        <v>163</v>
      </c>
      <c r="D11" s="240">
        <v>30</v>
      </c>
      <c r="E11" s="241">
        <v>7491</v>
      </c>
      <c r="F11" s="240">
        <v>24.707000000000001</v>
      </c>
      <c r="G11" s="240">
        <v>1.6339999999999999</v>
      </c>
      <c r="H11" s="240">
        <v>4.931</v>
      </c>
      <c r="I11" s="240">
        <v>0.81</v>
      </c>
      <c r="J11" s="240">
        <v>6.64</v>
      </c>
      <c r="K11" s="240">
        <v>38.722000000000001</v>
      </c>
    </row>
    <row r="12" spans="1:11">
      <c r="A12" s="240">
        <v>5</v>
      </c>
      <c r="B12" s="242" t="s">
        <v>8</v>
      </c>
      <c r="C12" s="242" t="s">
        <v>8</v>
      </c>
      <c r="D12" s="240">
        <v>107</v>
      </c>
      <c r="E12" s="241">
        <v>29950</v>
      </c>
      <c r="F12" s="240">
        <v>98.792000000000002</v>
      </c>
      <c r="G12" s="240">
        <v>6.5389999999999997</v>
      </c>
      <c r="H12" s="240">
        <v>19.716999999999999</v>
      </c>
      <c r="I12" s="240">
        <v>3.2429999999999999</v>
      </c>
      <c r="J12" s="240">
        <v>26.553000000000001</v>
      </c>
      <c r="K12" s="240">
        <v>154.84399999999999</v>
      </c>
    </row>
    <row r="13" spans="1:11">
      <c r="A13" s="240">
        <v>6</v>
      </c>
      <c r="B13" s="242" t="s">
        <v>36</v>
      </c>
      <c r="C13" s="242" t="s">
        <v>36</v>
      </c>
      <c r="D13" s="240">
        <v>93</v>
      </c>
      <c r="E13" s="241">
        <v>27679</v>
      </c>
      <c r="F13" s="240">
        <v>91.298000000000002</v>
      </c>
      <c r="G13" s="240">
        <v>6.0449999999999999</v>
      </c>
      <c r="H13" s="240">
        <v>18.218</v>
      </c>
      <c r="I13" s="240">
        <v>2.9980000000000002</v>
      </c>
      <c r="J13" s="240">
        <v>24.542000000000002</v>
      </c>
      <c r="K13" s="240">
        <v>143.101</v>
      </c>
    </row>
    <row r="14" spans="1:11">
      <c r="A14" s="240">
        <v>7</v>
      </c>
      <c r="B14" s="242" t="s">
        <v>4</v>
      </c>
      <c r="C14" s="242" t="s">
        <v>4</v>
      </c>
      <c r="D14" s="240">
        <v>178</v>
      </c>
      <c r="E14" s="241">
        <v>71872</v>
      </c>
      <c r="F14" s="240">
        <v>237.09200000000001</v>
      </c>
      <c r="G14" s="240">
        <v>15.724</v>
      </c>
      <c r="H14" s="240">
        <v>47.348999999999997</v>
      </c>
      <c r="I14" s="240">
        <v>7.8250000000000002</v>
      </c>
      <c r="J14" s="240">
        <v>63.768000000000001</v>
      </c>
      <c r="K14" s="240">
        <v>371.75799999999998</v>
      </c>
    </row>
    <row r="15" spans="1:11">
      <c r="A15" s="240">
        <v>8</v>
      </c>
      <c r="B15" s="242" t="s">
        <v>5</v>
      </c>
      <c r="C15" s="242" t="s">
        <v>5</v>
      </c>
      <c r="D15" s="240">
        <v>220</v>
      </c>
      <c r="E15" s="241">
        <v>68718</v>
      </c>
      <c r="F15" s="240">
        <v>226.672</v>
      </c>
      <c r="G15" s="240">
        <v>15.012</v>
      </c>
      <c r="H15" s="240">
        <v>45.249000000000002</v>
      </c>
      <c r="I15" s="240">
        <v>7.4489999999999998</v>
      </c>
      <c r="J15" s="240">
        <v>60.942</v>
      </c>
      <c r="K15" s="240">
        <v>355.32400000000001</v>
      </c>
    </row>
    <row r="16" spans="1:11">
      <c r="A16" s="240">
        <v>9</v>
      </c>
      <c r="B16" s="242" t="s">
        <v>7</v>
      </c>
      <c r="C16" s="242" t="s">
        <v>7</v>
      </c>
      <c r="D16" s="240">
        <v>79</v>
      </c>
      <c r="E16" s="241">
        <v>16306</v>
      </c>
      <c r="F16" s="240">
        <v>53.783000000000001</v>
      </c>
      <c r="G16" s="240">
        <v>3.5550000000000002</v>
      </c>
      <c r="H16" s="240">
        <v>10.728999999999999</v>
      </c>
      <c r="I16" s="240">
        <v>1.7589999999999999</v>
      </c>
      <c r="J16" s="240">
        <v>14.448</v>
      </c>
      <c r="K16" s="240">
        <v>84.274000000000001</v>
      </c>
    </row>
    <row r="17" spans="1:11">
      <c r="A17" s="417" t="s">
        <v>164</v>
      </c>
      <c r="B17" s="418"/>
      <c r="C17" s="419"/>
      <c r="D17" s="243">
        <v>1163</v>
      </c>
      <c r="E17" s="243">
        <v>336714</v>
      </c>
      <c r="F17" s="244">
        <v>1110.646</v>
      </c>
      <c r="G17" s="238">
        <v>73.519000000000005</v>
      </c>
      <c r="H17" s="238">
        <v>221.67599999999999</v>
      </c>
      <c r="I17" s="238">
        <v>36.479999999999997</v>
      </c>
      <c r="J17" s="238">
        <v>298.577</v>
      </c>
      <c r="K17" s="244">
        <v>1740.8979999999999</v>
      </c>
    </row>
    <row r="19" spans="1:11" ht="17.25">
      <c r="A19" s="245" t="s">
        <v>165</v>
      </c>
    </row>
  </sheetData>
  <mergeCells count="8">
    <mergeCell ref="G2:K2"/>
    <mergeCell ref="F6:K6"/>
    <mergeCell ref="A17:C17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8:V19"/>
  <sheetViews>
    <sheetView workbookViewId="0">
      <selection activeCell="U10" sqref="U10"/>
    </sheetView>
  </sheetViews>
  <sheetFormatPr baseColWidth="10" defaultRowHeight="15"/>
  <cols>
    <col min="1" max="1" width="9.7109375" customWidth="1"/>
    <col min="2" max="3" width="7.7109375" customWidth="1"/>
    <col min="4" max="5" width="6.28515625" customWidth="1"/>
    <col min="6" max="7" width="7.7109375" customWidth="1"/>
    <col min="8" max="8" width="7.85546875" customWidth="1"/>
    <col min="9" max="14" width="7.7109375" customWidth="1"/>
    <col min="15" max="16" width="8.7109375" customWidth="1"/>
    <col min="17" max="22" width="7.7109375" customWidth="1"/>
  </cols>
  <sheetData>
    <row r="8" spans="1:22">
      <c r="A8" s="428" t="s">
        <v>168</v>
      </c>
      <c r="B8" s="429" t="s">
        <v>169</v>
      </c>
      <c r="C8" s="429"/>
      <c r="D8" s="429"/>
      <c r="E8" s="429"/>
      <c r="F8" s="429"/>
      <c r="G8" s="429"/>
      <c r="H8" s="422" t="s">
        <v>94</v>
      </c>
      <c r="I8" s="423"/>
      <c r="J8" s="423"/>
      <c r="K8" s="423"/>
      <c r="L8" s="423"/>
      <c r="M8" s="423"/>
      <c r="N8" s="424"/>
      <c r="O8" s="264"/>
      <c r="P8" s="425" t="s">
        <v>171</v>
      </c>
      <c r="Q8" s="426"/>
      <c r="R8" s="426"/>
      <c r="S8" s="426"/>
      <c r="T8" s="426"/>
      <c r="U8" s="426"/>
      <c r="V8" s="427"/>
    </row>
    <row r="9" spans="1:22" ht="24.75">
      <c r="A9" s="428"/>
      <c r="B9" s="266" t="s">
        <v>17</v>
      </c>
      <c r="C9" s="266" t="s">
        <v>18</v>
      </c>
      <c r="D9" s="267" t="s">
        <v>170</v>
      </c>
      <c r="E9" s="267" t="s">
        <v>20</v>
      </c>
      <c r="F9" s="266" t="s">
        <v>74</v>
      </c>
      <c r="G9" s="265" t="s">
        <v>30</v>
      </c>
      <c r="H9" s="265" t="s">
        <v>98</v>
      </c>
      <c r="I9" s="253" t="s">
        <v>17</v>
      </c>
      <c r="J9" s="253" t="s">
        <v>18</v>
      </c>
      <c r="K9" s="269" t="s">
        <v>111</v>
      </c>
      <c r="L9" s="253" t="s">
        <v>20</v>
      </c>
      <c r="M9" s="253" t="s">
        <v>74</v>
      </c>
      <c r="N9" s="253" t="s">
        <v>30</v>
      </c>
      <c r="O9" s="253" t="s">
        <v>172</v>
      </c>
      <c r="P9" s="265" t="s">
        <v>173</v>
      </c>
      <c r="Q9" s="253" t="s">
        <v>17</v>
      </c>
      <c r="R9" s="253" t="s">
        <v>18</v>
      </c>
      <c r="S9" s="269" t="s">
        <v>111</v>
      </c>
      <c r="T9" s="253" t="s">
        <v>20</v>
      </c>
      <c r="U9" s="253" t="s">
        <v>74</v>
      </c>
      <c r="V9" s="253" t="s">
        <v>30</v>
      </c>
    </row>
    <row r="10" spans="1:22">
      <c r="A10" s="261" t="s">
        <v>31</v>
      </c>
      <c r="B10" s="248">
        <v>133.327</v>
      </c>
      <c r="C10" s="248">
        <v>8.8170000000000002</v>
      </c>
      <c r="D10" s="248">
        <v>26.605</v>
      </c>
      <c r="E10" s="249">
        <v>4.37</v>
      </c>
      <c r="F10" s="248">
        <v>35.838000000000001</v>
      </c>
      <c r="G10" s="249">
        <v>208.95699999999999</v>
      </c>
      <c r="H10" s="250" t="s">
        <v>31</v>
      </c>
      <c r="I10" s="251">
        <v>221.50500000000002</v>
      </c>
      <c r="J10" s="251">
        <v>14.766999999999999</v>
      </c>
      <c r="K10" s="251">
        <v>44.301000000000002</v>
      </c>
      <c r="L10" s="251">
        <v>7.3834999999999997</v>
      </c>
      <c r="M10" s="251">
        <v>31.183</v>
      </c>
      <c r="N10" s="252">
        <f>M10+L10+K10+J10+I10</f>
        <v>319.1395</v>
      </c>
      <c r="O10" s="250"/>
      <c r="P10" s="250"/>
      <c r="Q10" s="253">
        <f>B10</f>
        <v>133.327</v>
      </c>
      <c r="R10" s="253">
        <f t="shared" ref="R10:U10" si="0">C10</f>
        <v>8.8170000000000002</v>
      </c>
      <c r="S10" s="253">
        <f t="shared" si="0"/>
        <v>26.605</v>
      </c>
      <c r="T10" s="253">
        <f t="shared" si="0"/>
        <v>4.37</v>
      </c>
      <c r="U10" s="253">
        <f t="shared" si="0"/>
        <v>35.838000000000001</v>
      </c>
      <c r="V10" s="254"/>
    </row>
    <row r="11" spans="1:22">
      <c r="A11" s="261" t="s">
        <v>32</v>
      </c>
      <c r="B11" s="248">
        <v>191.62700000000001</v>
      </c>
      <c r="C11" s="248">
        <v>12.669</v>
      </c>
      <c r="D11" s="248">
        <v>38.234999999999999</v>
      </c>
      <c r="E11" s="249">
        <v>6.2789999999999999</v>
      </c>
      <c r="F11" s="248">
        <v>51.51</v>
      </c>
      <c r="G11" s="249">
        <v>300.32</v>
      </c>
      <c r="H11" s="250" t="s">
        <v>32</v>
      </c>
      <c r="I11" s="251">
        <v>202.00874999999999</v>
      </c>
      <c r="J11" s="251">
        <v>13.46725</v>
      </c>
      <c r="K11" s="251">
        <v>40.40175</v>
      </c>
      <c r="L11" s="251">
        <v>6.733625</v>
      </c>
      <c r="M11" s="251">
        <v>30.206</v>
      </c>
      <c r="N11" s="252">
        <f t="shared" ref="N11:N18" si="1">M11+L11+K11+J11+I11</f>
        <v>292.81737499999997</v>
      </c>
      <c r="O11" s="250"/>
      <c r="P11" s="250"/>
      <c r="Q11" s="253"/>
      <c r="R11" s="253"/>
      <c r="S11" s="253"/>
      <c r="T11" s="253"/>
      <c r="U11" s="253"/>
      <c r="V11" s="254"/>
    </row>
    <row r="12" spans="1:22">
      <c r="A12" s="261" t="s">
        <v>33</v>
      </c>
      <c r="B12" s="248">
        <v>53.347999999999999</v>
      </c>
      <c r="C12" s="248">
        <v>3.524</v>
      </c>
      <c r="D12" s="248">
        <v>10.643000000000001</v>
      </c>
      <c r="E12" s="249">
        <v>1.7470000000000001</v>
      </c>
      <c r="F12" s="248">
        <v>14.336</v>
      </c>
      <c r="G12" s="249">
        <v>83.597999999999999</v>
      </c>
      <c r="H12" s="255"/>
      <c r="I12" s="251"/>
      <c r="J12" s="251"/>
      <c r="K12" s="251"/>
      <c r="L12" s="251"/>
      <c r="M12" s="251">
        <v>33.19</v>
      </c>
      <c r="N12" s="252">
        <f t="shared" si="1"/>
        <v>33.19</v>
      </c>
      <c r="O12" s="250"/>
      <c r="P12" s="250"/>
      <c r="Q12" s="253"/>
      <c r="R12" s="253"/>
      <c r="S12" s="253"/>
      <c r="T12" s="253"/>
      <c r="U12" s="253"/>
      <c r="V12" s="256"/>
    </row>
    <row r="13" spans="1:22">
      <c r="A13" s="261" t="s">
        <v>3</v>
      </c>
      <c r="B13" s="248">
        <v>24.707000000000001</v>
      </c>
      <c r="C13" s="248">
        <v>1.6339999999999999</v>
      </c>
      <c r="D13" s="248">
        <v>4.931</v>
      </c>
      <c r="E13" s="249">
        <v>0.81</v>
      </c>
      <c r="F13" s="248">
        <v>6.64</v>
      </c>
      <c r="G13" s="249">
        <v>38.722000000000001</v>
      </c>
      <c r="H13" s="250" t="s">
        <v>72</v>
      </c>
      <c r="I13" s="251">
        <v>126.82125000000001</v>
      </c>
      <c r="J13" s="251">
        <v>8.4547500000000007</v>
      </c>
      <c r="K13" s="251">
        <v>25.364249999999998</v>
      </c>
      <c r="L13" s="251">
        <v>4.2273750000000003</v>
      </c>
      <c r="M13" s="251">
        <v>71.063999999999993</v>
      </c>
      <c r="N13" s="252">
        <f t="shared" si="1"/>
        <v>235.931625</v>
      </c>
      <c r="O13" s="250"/>
      <c r="P13" s="250"/>
      <c r="Q13" s="253"/>
      <c r="R13" s="253"/>
      <c r="S13" s="253"/>
      <c r="T13" s="253"/>
      <c r="U13" s="253"/>
      <c r="V13" s="254"/>
    </row>
    <row r="14" spans="1:22">
      <c r="A14" s="262" t="s">
        <v>35</v>
      </c>
      <c r="B14" s="248">
        <v>98.792000000000002</v>
      </c>
      <c r="C14" s="248">
        <v>6.5389999999999997</v>
      </c>
      <c r="D14" s="248">
        <v>19.716999999999999</v>
      </c>
      <c r="E14" s="249">
        <v>3.2429999999999999</v>
      </c>
      <c r="F14" s="248">
        <v>26.553000000000001</v>
      </c>
      <c r="G14" s="249">
        <v>154.84399999999999</v>
      </c>
      <c r="H14" s="250"/>
      <c r="I14" s="251"/>
      <c r="J14" s="251"/>
      <c r="K14" s="251"/>
      <c r="L14" s="251"/>
      <c r="M14" s="251"/>
      <c r="N14" s="252">
        <f t="shared" si="1"/>
        <v>0</v>
      </c>
      <c r="O14" s="250"/>
      <c r="P14" s="250"/>
      <c r="Q14" s="253"/>
      <c r="R14" s="253"/>
      <c r="S14" s="253"/>
      <c r="T14" s="253"/>
      <c r="U14" s="253"/>
      <c r="V14" s="256"/>
    </row>
    <row r="15" spans="1:22">
      <c r="A15" s="263" t="s">
        <v>174</v>
      </c>
      <c r="B15" s="248">
        <v>91.298000000000002</v>
      </c>
      <c r="C15" s="248">
        <v>6.0449999999999999</v>
      </c>
      <c r="D15" s="248">
        <v>18.218</v>
      </c>
      <c r="E15" s="249">
        <v>2.9980000000000002</v>
      </c>
      <c r="F15" s="248">
        <v>24.542000000000002</v>
      </c>
      <c r="G15" s="249">
        <v>143.101</v>
      </c>
      <c r="H15" s="250" t="s">
        <v>140</v>
      </c>
      <c r="I15" s="251">
        <v>281.03250000000003</v>
      </c>
      <c r="J15" s="251">
        <v>18.735500000000002</v>
      </c>
      <c r="K15" s="251">
        <v>56.206499999999998</v>
      </c>
      <c r="L15" s="251">
        <v>9.3677500000000009</v>
      </c>
      <c r="M15" s="251">
        <v>34.997999999999998</v>
      </c>
      <c r="N15" s="252">
        <f t="shared" si="1"/>
        <v>400.34025000000003</v>
      </c>
      <c r="O15" s="250"/>
      <c r="P15" s="250"/>
      <c r="Q15" s="253"/>
      <c r="R15" s="253"/>
      <c r="S15" s="253"/>
      <c r="T15" s="253"/>
      <c r="U15" s="253"/>
      <c r="V15" s="254"/>
    </row>
    <row r="16" spans="1:22">
      <c r="A16" s="263" t="s">
        <v>34</v>
      </c>
      <c r="B16" s="248">
        <v>237.09200000000001</v>
      </c>
      <c r="C16" s="248">
        <v>15.724</v>
      </c>
      <c r="D16" s="248">
        <v>47.348999999999997</v>
      </c>
      <c r="E16" s="249">
        <v>7.8250000000000002</v>
      </c>
      <c r="F16" s="248">
        <v>63.768000000000001</v>
      </c>
      <c r="G16" s="249">
        <v>371.75799999999998</v>
      </c>
      <c r="H16" s="250" t="s">
        <v>34</v>
      </c>
      <c r="I16" s="251"/>
      <c r="J16" s="251"/>
      <c r="K16" s="251"/>
      <c r="L16" s="251"/>
      <c r="M16" s="251">
        <v>98.503</v>
      </c>
      <c r="N16" s="252">
        <f t="shared" si="1"/>
        <v>98.503</v>
      </c>
      <c r="O16" s="250"/>
      <c r="P16" s="250"/>
      <c r="Q16" s="253"/>
      <c r="R16" s="253"/>
      <c r="S16" s="253"/>
      <c r="T16" s="253"/>
      <c r="U16" s="253"/>
      <c r="V16" s="254"/>
    </row>
    <row r="17" spans="1:22">
      <c r="A17" s="263" t="s">
        <v>38</v>
      </c>
      <c r="B17" s="248">
        <v>226.672</v>
      </c>
      <c r="C17" s="248">
        <v>15.012</v>
      </c>
      <c r="D17" s="248">
        <v>45.249000000000002</v>
      </c>
      <c r="E17" s="249">
        <v>7.4489999999999998</v>
      </c>
      <c r="F17" s="248">
        <v>60.942</v>
      </c>
      <c r="G17" s="249">
        <v>355.32400000000001</v>
      </c>
      <c r="H17" s="250" t="s">
        <v>38</v>
      </c>
      <c r="I17" s="251">
        <v>237.45750000000001</v>
      </c>
      <c r="J17" s="251">
        <v>15.830500000000001</v>
      </c>
      <c r="K17" s="251">
        <v>47.491500000000002</v>
      </c>
      <c r="L17" s="251">
        <v>7.9152500000000003</v>
      </c>
      <c r="M17" s="251"/>
      <c r="N17" s="252">
        <f t="shared" si="1"/>
        <v>308.69475</v>
      </c>
      <c r="O17" s="250"/>
      <c r="P17" s="250"/>
      <c r="Q17" s="253"/>
      <c r="R17" s="253"/>
      <c r="S17" s="253"/>
      <c r="T17" s="253"/>
      <c r="U17" s="253"/>
      <c r="V17" s="254"/>
    </row>
    <row r="18" spans="1:22">
      <c r="A18" s="263" t="s">
        <v>41</v>
      </c>
      <c r="B18" s="248">
        <v>53.783000000000001</v>
      </c>
      <c r="C18" s="248">
        <v>3.5550000000000002</v>
      </c>
      <c r="D18" s="248">
        <v>10.728999999999999</v>
      </c>
      <c r="E18" s="249">
        <v>1.7589999999999999</v>
      </c>
      <c r="F18" s="248">
        <v>14.448</v>
      </c>
      <c r="G18" s="249">
        <v>84.274000000000001</v>
      </c>
      <c r="H18" s="250" t="s">
        <v>139</v>
      </c>
      <c r="I18" s="251">
        <v>56.174999999999997</v>
      </c>
      <c r="J18" s="251">
        <v>3.7450000000000001</v>
      </c>
      <c r="K18" s="251">
        <v>11.234999999999999</v>
      </c>
      <c r="L18" s="251">
        <v>1.8725000000000001</v>
      </c>
      <c r="M18" s="251"/>
      <c r="N18" s="252">
        <f t="shared" si="1"/>
        <v>73.027500000000003</v>
      </c>
      <c r="O18" s="250"/>
      <c r="P18" s="250"/>
      <c r="Q18" s="253"/>
      <c r="R18" s="253"/>
      <c r="S18" s="253"/>
      <c r="T18" s="253"/>
      <c r="U18" s="253"/>
      <c r="V18" s="254"/>
    </row>
    <row r="19" spans="1:22" ht="15" customHeight="1">
      <c r="A19" s="268" t="s">
        <v>43</v>
      </c>
      <c r="B19" s="257">
        <v>1110.6500000000001</v>
      </c>
      <c r="C19" s="258">
        <v>73.519000000000005</v>
      </c>
      <c r="D19" s="258">
        <v>221.67599999999999</v>
      </c>
      <c r="E19" s="259">
        <v>36.479999999999997</v>
      </c>
      <c r="F19" s="258">
        <v>298.577</v>
      </c>
      <c r="G19" s="260">
        <v>1740.9</v>
      </c>
      <c r="H19" s="247"/>
      <c r="I19" s="252">
        <f>SUM(I10:I18)</f>
        <v>1125</v>
      </c>
      <c r="J19" s="252">
        <f t="shared" ref="J19:N19" si="2">SUM(J10:J18)</f>
        <v>75</v>
      </c>
      <c r="K19" s="252">
        <f t="shared" si="2"/>
        <v>225</v>
      </c>
      <c r="L19" s="252">
        <f t="shared" si="2"/>
        <v>37.5</v>
      </c>
      <c r="M19" s="252">
        <f>SUM(M10:M18)</f>
        <v>299.14399999999995</v>
      </c>
      <c r="N19" s="252">
        <f t="shared" si="2"/>
        <v>1761.6439999999996</v>
      </c>
      <c r="O19" s="254"/>
      <c r="P19" s="247"/>
      <c r="Q19" s="254">
        <f>SUM(Q10:Q18)</f>
        <v>133.327</v>
      </c>
      <c r="R19" s="254">
        <f t="shared" ref="R19" si="3">SUM(R10:R18)</f>
        <v>8.8170000000000002</v>
      </c>
      <c r="S19" s="254">
        <f t="shared" ref="S19" si="4">SUM(S10:S18)</f>
        <v>26.605</v>
      </c>
      <c r="T19" s="254">
        <f t="shared" ref="T19" si="5">SUM(T10:T18)</f>
        <v>4.37</v>
      </c>
      <c r="U19" s="254">
        <f>SUM(U10:U18)</f>
        <v>35.838000000000001</v>
      </c>
      <c r="V19" s="254">
        <f t="shared" ref="V19" si="6">SUM(V10:V18)</f>
        <v>0</v>
      </c>
    </row>
  </sheetData>
  <mergeCells count="4">
    <mergeCell ref="H8:N8"/>
    <mergeCell ref="P8:V8"/>
    <mergeCell ref="A8:A9"/>
    <mergeCell ref="B8:G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K29"/>
  <sheetViews>
    <sheetView workbookViewId="0">
      <selection activeCell="C21" sqref="C21"/>
    </sheetView>
  </sheetViews>
  <sheetFormatPr baseColWidth="10" defaultRowHeight="14.25"/>
  <cols>
    <col min="1" max="1" width="5.28515625" style="29" customWidth="1"/>
    <col min="2" max="2" width="17.5703125" style="29" customWidth="1"/>
    <col min="3" max="3" width="17.140625" style="29" customWidth="1"/>
    <col min="4" max="9" width="12.7109375" style="29" customWidth="1"/>
    <col min="10" max="10" width="11.42578125" style="29"/>
    <col min="11" max="11" width="14.7109375" style="29" customWidth="1"/>
    <col min="12" max="16384" width="11.42578125" style="29"/>
  </cols>
  <sheetData>
    <row r="1" spans="1:11">
      <c r="A1" s="84" t="s">
        <v>10</v>
      </c>
      <c r="B1" s="85"/>
      <c r="C1" s="85"/>
      <c r="D1" s="85"/>
      <c r="E1" s="85"/>
      <c r="F1" s="86"/>
      <c r="G1" s="86"/>
      <c r="H1" s="289" t="s">
        <v>11</v>
      </c>
      <c r="I1" s="289"/>
    </row>
    <row r="2" spans="1:11">
      <c r="A2" s="84" t="s">
        <v>75</v>
      </c>
      <c r="B2" s="85"/>
      <c r="C2" s="85"/>
      <c r="D2" s="85"/>
      <c r="E2" s="85"/>
      <c r="F2" s="86"/>
      <c r="G2" s="86"/>
      <c r="H2" s="289" t="s">
        <v>13</v>
      </c>
      <c r="I2" s="289"/>
    </row>
    <row r="3" spans="1:11">
      <c r="A3" s="87" t="s">
        <v>73</v>
      </c>
      <c r="B3" s="85"/>
      <c r="C3" s="85"/>
      <c r="D3" s="85"/>
      <c r="E3" s="85"/>
      <c r="F3" s="85"/>
      <c r="G3" s="85"/>
      <c r="H3" s="85"/>
      <c r="I3" s="85"/>
    </row>
    <row r="4" spans="1:11">
      <c r="A4" s="87" t="s">
        <v>76</v>
      </c>
      <c r="B4" s="85"/>
      <c r="C4" s="85"/>
      <c r="D4" s="85"/>
      <c r="E4" s="85"/>
      <c r="F4" s="85"/>
      <c r="G4" s="85"/>
      <c r="H4" s="85"/>
      <c r="I4" s="85"/>
    </row>
    <row r="5" spans="1:11">
      <c r="A5" s="87" t="s">
        <v>15</v>
      </c>
      <c r="B5" s="85"/>
      <c r="C5" s="85"/>
      <c r="D5" s="85"/>
      <c r="E5" s="85"/>
      <c r="F5" s="85"/>
      <c r="G5" s="85"/>
      <c r="H5" s="85"/>
      <c r="I5" s="85"/>
    </row>
    <row r="6" spans="1:11" ht="22.5" customHeight="1">
      <c r="A6" s="270" t="s">
        <v>137</v>
      </c>
      <c r="B6" s="270"/>
      <c r="C6" s="270"/>
      <c r="D6" s="270"/>
      <c r="E6" s="270"/>
      <c r="F6" s="270"/>
      <c r="G6" s="270"/>
      <c r="H6" s="270"/>
      <c r="I6" s="270"/>
    </row>
    <row r="7" spans="1:11" ht="21.75" customHeight="1">
      <c r="A7" s="270" t="s">
        <v>141</v>
      </c>
      <c r="B7" s="270"/>
      <c r="C7" s="270"/>
      <c r="D7" s="270"/>
      <c r="E7" s="270"/>
      <c r="F7" s="270"/>
      <c r="G7" s="270"/>
      <c r="H7" s="270"/>
      <c r="I7" s="270"/>
    </row>
    <row r="8" spans="1:11" ht="23.25" customHeight="1">
      <c r="A8" s="163"/>
      <c r="B8" s="163"/>
      <c r="C8" s="163"/>
      <c r="D8" s="163"/>
      <c r="E8" s="163"/>
      <c r="F8" s="163"/>
      <c r="G8" s="163"/>
      <c r="H8" s="163"/>
      <c r="I8" s="85"/>
    </row>
    <row r="9" spans="1:11" ht="15" customHeight="1">
      <c r="A9" s="93"/>
      <c r="B9" s="85"/>
      <c r="C9" s="85"/>
      <c r="D9" s="85"/>
      <c r="E9" s="85"/>
      <c r="F9" s="85"/>
      <c r="G9" s="85"/>
      <c r="H9" s="85"/>
      <c r="I9" s="85"/>
    </row>
    <row r="10" spans="1:11" ht="24.75" customHeight="1">
      <c r="A10" s="307" t="s">
        <v>22</v>
      </c>
      <c r="B10" s="306"/>
      <c r="C10" s="309" t="s">
        <v>152</v>
      </c>
      <c r="D10" s="174"/>
      <c r="E10" s="311" t="s">
        <v>27</v>
      </c>
      <c r="F10" s="311"/>
      <c r="G10" s="311"/>
      <c r="H10" s="311"/>
      <c r="I10" s="311"/>
    </row>
    <row r="11" spans="1:11" ht="21.75" customHeight="1">
      <c r="A11" s="308"/>
      <c r="B11" s="306"/>
      <c r="C11" s="310"/>
      <c r="D11" s="171" t="s">
        <v>136</v>
      </c>
      <c r="E11" s="172" t="s">
        <v>17</v>
      </c>
      <c r="F11" s="172" t="s">
        <v>18</v>
      </c>
      <c r="G11" s="172" t="s">
        <v>19</v>
      </c>
      <c r="H11" s="172" t="s">
        <v>20</v>
      </c>
      <c r="I11" s="171" t="s">
        <v>30</v>
      </c>
      <c r="J11" s="176" t="s">
        <v>143</v>
      </c>
      <c r="K11" s="177" t="s">
        <v>142</v>
      </c>
    </row>
    <row r="12" spans="1:11" ht="21.95" customHeight="1">
      <c r="A12" s="180">
        <v>1</v>
      </c>
      <c r="B12" s="181" t="s">
        <v>31</v>
      </c>
      <c r="C12" s="181" t="s">
        <v>31</v>
      </c>
      <c r="D12" s="182">
        <v>35413</v>
      </c>
      <c r="E12" s="183">
        <v>132.79875000000001</v>
      </c>
      <c r="F12" s="183">
        <v>8.8532499999999992</v>
      </c>
      <c r="G12" s="183">
        <v>26.559750000000001</v>
      </c>
      <c r="H12" s="183">
        <v>4.4266249999999996</v>
      </c>
      <c r="I12" s="184">
        <f t="shared" ref="I12:I21" si="0">SUM(E12:H12)</f>
        <v>172.63837500000002</v>
      </c>
      <c r="J12" s="185">
        <v>424</v>
      </c>
      <c r="K12" s="179">
        <f>INT((I12*J12*75))+INT((I12*3000))</f>
        <v>6007815</v>
      </c>
    </row>
    <row r="13" spans="1:11" ht="21.95" customHeight="1">
      <c r="A13" s="180">
        <v>2</v>
      </c>
      <c r="B13" s="186" t="s">
        <v>32</v>
      </c>
      <c r="C13" s="181" t="s">
        <v>32</v>
      </c>
      <c r="D13" s="182">
        <v>53869</v>
      </c>
      <c r="E13" s="183">
        <v>202.00874999999999</v>
      </c>
      <c r="F13" s="183">
        <v>13.46725</v>
      </c>
      <c r="G13" s="183">
        <v>40.40175</v>
      </c>
      <c r="H13" s="183">
        <v>6.733625</v>
      </c>
      <c r="I13" s="184">
        <f t="shared" si="0"/>
        <v>262.61137500000001</v>
      </c>
      <c r="J13" s="185">
        <v>363</v>
      </c>
      <c r="K13" s="179">
        <f t="shared" ref="K13:K21" si="1">INT((I13*J13*75))+INT((I13*3000))</f>
        <v>7937428</v>
      </c>
    </row>
    <row r="14" spans="1:11" ht="21.95" customHeight="1">
      <c r="A14" s="180">
        <v>3</v>
      </c>
      <c r="B14" s="181" t="s">
        <v>33</v>
      </c>
      <c r="C14" s="302" t="s">
        <v>31</v>
      </c>
      <c r="D14" s="182">
        <v>16839</v>
      </c>
      <c r="E14" s="183">
        <v>63.146250000000002</v>
      </c>
      <c r="F14" s="183">
        <v>4.2097499999999997</v>
      </c>
      <c r="G14" s="183">
        <v>12.629250000000001</v>
      </c>
      <c r="H14" s="183">
        <v>2.1048749999999998</v>
      </c>
      <c r="I14" s="184">
        <f t="shared" si="0"/>
        <v>82.090125</v>
      </c>
      <c r="J14" s="185">
        <v>424</v>
      </c>
      <c r="K14" s="179">
        <f t="shared" si="1"/>
        <v>2856735</v>
      </c>
    </row>
    <row r="15" spans="1:11" ht="21.95" customHeight="1">
      <c r="A15" s="180">
        <v>4</v>
      </c>
      <c r="B15" s="181" t="s">
        <v>3</v>
      </c>
      <c r="C15" s="303"/>
      <c r="D15" s="182">
        <v>6816</v>
      </c>
      <c r="E15" s="183">
        <v>25.56</v>
      </c>
      <c r="F15" s="183">
        <v>1.704</v>
      </c>
      <c r="G15" s="183">
        <v>5.1120000000000001</v>
      </c>
      <c r="H15" s="183">
        <v>0.85199999999999998</v>
      </c>
      <c r="I15" s="184">
        <f t="shared" si="0"/>
        <v>33.227999999999994</v>
      </c>
      <c r="J15" s="185">
        <v>424</v>
      </c>
      <c r="K15" s="179">
        <f t="shared" si="1"/>
        <v>1156334</v>
      </c>
    </row>
    <row r="16" spans="1:11" ht="21.95" customHeight="1">
      <c r="A16" s="173">
        <v>5</v>
      </c>
      <c r="B16" s="165" t="s">
        <v>35</v>
      </c>
      <c r="C16" s="304" t="s">
        <v>140</v>
      </c>
      <c r="D16" s="166">
        <v>24770</v>
      </c>
      <c r="E16" s="167">
        <v>92.887500000000003</v>
      </c>
      <c r="F16" s="167">
        <v>6.1924999999999999</v>
      </c>
      <c r="G16" s="167">
        <v>18.577500000000001</v>
      </c>
      <c r="H16" s="167">
        <v>3.0962499999999999</v>
      </c>
      <c r="I16" s="168">
        <f t="shared" si="0"/>
        <v>120.75375</v>
      </c>
      <c r="J16" s="176">
        <v>369</v>
      </c>
      <c r="K16" s="178">
        <f t="shared" si="1"/>
        <v>3704121</v>
      </c>
    </row>
    <row r="17" spans="1:11" ht="21.95" customHeight="1">
      <c r="A17" s="173">
        <v>6</v>
      </c>
      <c r="B17" s="165" t="s">
        <v>37</v>
      </c>
      <c r="C17" s="305"/>
      <c r="D17" s="166">
        <v>25174</v>
      </c>
      <c r="E17" s="167">
        <v>94.402500000000003</v>
      </c>
      <c r="F17" s="167">
        <v>6.2934999999999999</v>
      </c>
      <c r="G17" s="167">
        <v>18.880500000000001</v>
      </c>
      <c r="H17" s="167">
        <v>3.1467499999999999</v>
      </c>
      <c r="I17" s="168">
        <f t="shared" si="0"/>
        <v>122.72324999999999</v>
      </c>
      <c r="J17" s="176">
        <v>369</v>
      </c>
      <c r="K17" s="178">
        <f t="shared" si="1"/>
        <v>3764534</v>
      </c>
    </row>
    <row r="18" spans="1:11" ht="21.95" customHeight="1">
      <c r="A18" s="173">
        <v>7</v>
      </c>
      <c r="B18" s="165" t="s">
        <v>38</v>
      </c>
      <c r="C18" s="165" t="s">
        <v>38</v>
      </c>
      <c r="D18" s="166">
        <v>63322</v>
      </c>
      <c r="E18" s="167">
        <v>237.45750000000001</v>
      </c>
      <c r="F18" s="167">
        <v>15.830500000000001</v>
      </c>
      <c r="G18" s="167">
        <v>47.491500000000002</v>
      </c>
      <c r="H18" s="167">
        <v>7.9152500000000003</v>
      </c>
      <c r="I18" s="168">
        <f t="shared" si="0"/>
        <v>308.69475</v>
      </c>
      <c r="J18" s="176">
        <v>634</v>
      </c>
      <c r="K18" s="178">
        <f t="shared" si="1"/>
        <v>15604519</v>
      </c>
    </row>
    <row r="19" spans="1:11" ht="21.95" customHeight="1">
      <c r="A19" s="173">
        <v>8</v>
      </c>
      <c r="B19" s="165" t="s">
        <v>39</v>
      </c>
      <c r="C19" s="165" t="s">
        <v>140</v>
      </c>
      <c r="D19" s="166">
        <v>24998</v>
      </c>
      <c r="E19" s="167">
        <v>93.742500000000007</v>
      </c>
      <c r="F19" s="167">
        <v>6.2495000000000003</v>
      </c>
      <c r="G19" s="167">
        <v>18.7485</v>
      </c>
      <c r="H19" s="167">
        <v>3.1247500000000001</v>
      </c>
      <c r="I19" s="168">
        <f t="shared" si="0"/>
        <v>121.86525</v>
      </c>
      <c r="J19" s="176">
        <v>369</v>
      </c>
      <c r="K19" s="178">
        <f t="shared" si="1"/>
        <v>3738215</v>
      </c>
    </row>
    <row r="20" spans="1:11" ht="21.95" customHeight="1">
      <c r="A20" s="180">
        <v>9</v>
      </c>
      <c r="B20" s="181" t="s">
        <v>40</v>
      </c>
      <c r="C20" s="181" t="s">
        <v>72</v>
      </c>
      <c r="D20" s="182">
        <v>33819</v>
      </c>
      <c r="E20" s="183">
        <v>126.82125000000001</v>
      </c>
      <c r="F20" s="183">
        <v>8.4547500000000007</v>
      </c>
      <c r="G20" s="183">
        <v>25.364249999999998</v>
      </c>
      <c r="H20" s="183">
        <v>4.2273750000000003</v>
      </c>
      <c r="I20" s="184">
        <f t="shared" si="0"/>
        <v>164.867625</v>
      </c>
      <c r="J20" s="185">
        <v>406</v>
      </c>
      <c r="K20" s="179">
        <f t="shared" si="1"/>
        <v>5514821</v>
      </c>
    </row>
    <row r="21" spans="1:11" ht="21.95" customHeight="1">
      <c r="A21" s="180">
        <v>10</v>
      </c>
      <c r="B21" s="181" t="s">
        <v>41</v>
      </c>
      <c r="C21" s="181" t="s">
        <v>139</v>
      </c>
      <c r="D21" s="182">
        <v>14980</v>
      </c>
      <c r="E21" s="183">
        <v>56.174999999999997</v>
      </c>
      <c r="F21" s="183">
        <v>3.7450000000000001</v>
      </c>
      <c r="G21" s="183">
        <v>11.234999999999999</v>
      </c>
      <c r="H21" s="183">
        <v>1.8725000000000001</v>
      </c>
      <c r="I21" s="184">
        <f t="shared" si="0"/>
        <v>73.027500000000003</v>
      </c>
      <c r="J21" s="185">
        <v>578</v>
      </c>
      <c r="K21" s="179">
        <f t="shared" si="1"/>
        <v>3384824</v>
      </c>
    </row>
    <row r="22" spans="1:11" ht="18" customHeight="1">
      <c r="A22" s="272" t="s">
        <v>42</v>
      </c>
      <c r="B22" s="274"/>
      <c r="C22" s="169">
        <f t="shared" ref="C22" si="2">SUM(C12:C21)</f>
        <v>0</v>
      </c>
      <c r="D22" s="169">
        <f>SUM(D12:D21)</f>
        <v>300000</v>
      </c>
      <c r="E22" s="170">
        <f>SUM(E12:E21)</f>
        <v>1125</v>
      </c>
      <c r="F22" s="170">
        <f t="shared" ref="F22:H22" si="3">SUM(F12:F21)</f>
        <v>75</v>
      </c>
      <c r="G22" s="170">
        <f t="shared" si="3"/>
        <v>225</v>
      </c>
      <c r="H22" s="170">
        <f t="shared" si="3"/>
        <v>37.5</v>
      </c>
      <c r="I22" s="170">
        <f>SUM(I12:I21)</f>
        <v>1462.5000000000002</v>
      </c>
      <c r="J22" s="176">
        <f>SUM(J12:J21)</f>
        <v>4360</v>
      </c>
      <c r="K22" s="178">
        <f>SUM(K12:K21)</f>
        <v>53669346</v>
      </c>
    </row>
    <row r="23" spans="1:11" ht="18" customHeight="1"/>
    <row r="24" spans="1:11" ht="18" customHeight="1">
      <c r="A24" s="30"/>
      <c r="B24" s="30"/>
      <c r="C24" s="30"/>
      <c r="D24" s="30"/>
      <c r="E24" s="31"/>
      <c r="F24" s="31"/>
      <c r="G24" s="31"/>
      <c r="H24" s="31"/>
    </row>
    <row r="27" spans="1:11">
      <c r="D27" s="164"/>
    </row>
    <row r="29" spans="1:11">
      <c r="D29" s="164"/>
    </row>
  </sheetData>
  <sheetProtection formatCells="0" formatColumns="0" formatRows="0" insertColumns="0" insertRows="0" insertHyperlinks="0" deleteColumns="0" deleteRows="0" sort="0" autoFilter="0" pivotTables="0"/>
  <mergeCells count="11">
    <mergeCell ref="A22:B22"/>
    <mergeCell ref="C14:C15"/>
    <mergeCell ref="C16:C17"/>
    <mergeCell ref="B10:B11"/>
    <mergeCell ref="H1:I1"/>
    <mergeCell ref="H2:I2"/>
    <mergeCell ref="A10:A11"/>
    <mergeCell ref="C10:C11"/>
    <mergeCell ref="A6:I6"/>
    <mergeCell ref="A7:I7"/>
    <mergeCell ref="E10:I10"/>
  </mergeCells>
  <conditionalFormatting sqref="E12:I22">
    <cfRule type="cellIs" dxfId="59" priority="3" operator="equal">
      <formula>0</formula>
    </cfRule>
  </conditionalFormatting>
  <conditionalFormatting sqref="E22:I22">
    <cfRule type="cellIs" dxfId="58" priority="1" operator="equal">
      <formula>0</formula>
    </cfRule>
    <cfRule type="cellIs" dxfId="57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  <ignoredErrors>
    <ignoredError sqref="I12:I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K29"/>
  <sheetViews>
    <sheetView workbookViewId="0">
      <selection activeCell="K12" sqref="K12"/>
    </sheetView>
  </sheetViews>
  <sheetFormatPr baseColWidth="10" defaultRowHeight="14.25"/>
  <cols>
    <col min="1" max="1" width="5.28515625" style="29" customWidth="1"/>
    <col min="2" max="2" width="17.5703125" style="29" customWidth="1"/>
    <col min="3" max="3" width="17.140625" style="29" customWidth="1"/>
    <col min="4" max="9" width="12.7109375" style="29" customWidth="1"/>
    <col min="10" max="16384" width="11.42578125" style="29"/>
  </cols>
  <sheetData>
    <row r="1" spans="1:11">
      <c r="A1" s="84" t="s">
        <v>10</v>
      </c>
      <c r="B1" s="85"/>
      <c r="C1" s="85"/>
      <c r="D1" s="85"/>
      <c r="E1" s="85"/>
      <c r="F1" s="86"/>
      <c r="G1" s="86"/>
      <c r="H1" s="289" t="s">
        <v>11</v>
      </c>
      <c r="I1" s="289"/>
    </row>
    <row r="2" spans="1:11">
      <c r="A2" s="84" t="s">
        <v>75</v>
      </c>
      <c r="B2" s="85"/>
      <c r="C2" s="85"/>
      <c r="D2" s="85"/>
      <c r="E2" s="85"/>
      <c r="F2" s="86"/>
      <c r="G2" s="86"/>
      <c r="H2" s="289" t="s">
        <v>13</v>
      </c>
      <c r="I2" s="289"/>
    </row>
    <row r="3" spans="1:11">
      <c r="A3" s="87" t="s">
        <v>73</v>
      </c>
      <c r="B3" s="85"/>
      <c r="C3" s="85"/>
      <c r="D3" s="85"/>
      <c r="E3" s="85"/>
      <c r="F3" s="85"/>
      <c r="G3" s="85"/>
      <c r="H3" s="85"/>
      <c r="I3" s="85"/>
    </row>
    <row r="4" spans="1:11">
      <c r="A4" s="87" t="s">
        <v>76</v>
      </c>
      <c r="B4" s="85"/>
      <c r="C4" s="85"/>
      <c r="D4" s="85"/>
      <c r="E4" s="85"/>
      <c r="F4" s="85"/>
      <c r="G4" s="85"/>
      <c r="H4" s="85"/>
      <c r="I4" s="85"/>
    </row>
    <row r="5" spans="1:11">
      <c r="A5" s="87" t="s">
        <v>15</v>
      </c>
      <c r="B5" s="85"/>
      <c r="C5" s="85"/>
      <c r="D5" s="85"/>
      <c r="E5" s="85"/>
      <c r="F5" s="85"/>
      <c r="G5" s="85"/>
      <c r="H5" s="85"/>
      <c r="I5" s="85"/>
    </row>
    <row r="6" spans="1:11" ht="22.5" customHeight="1">
      <c r="A6" s="270" t="s">
        <v>137</v>
      </c>
      <c r="B6" s="270"/>
      <c r="C6" s="270"/>
      <c r="D6" s="270"/>
      <c r="E6" s="270"/>
      <c r="F6" s="270"/>
      <c r="G6" s="270"/>
      <c r="H6" s="270"/>
      <c r="I6" s="270"/>
    </row>
    <row r="7" spans="1:11" ht="21.75" customHeight="1">
      <c r="A7" s="270" t="s">
        <v>141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</row>
    <row r="8" spans="1:11" ht="23.25" customHeight="1">
      <c r="A8" s="194"/>
      <c r="B8" s="194"/>
      <c r="C8" s="194"/>
      <c r="D8" s="194"/>
      <c r="E8" s="194"/>
      <c r="F8" s="194"/>
      <c r="G8" s="194"/>
      <c r="H8" s="194"/>
      <c r="I8" s="85"/>
    </row>
    <row r="9" spans="1:11" ht="15" customHeight="1">
      <c r="A9" s="93"/>
      <c r="B9" s="85"/>
      <c r="C9" s="85"/>
      <c r="D9" s="85"/>
      <c r="E9" s="85"/>
      <c r="F9" s="85"/>
      <c r="G9" s="85"/>
      <c r="H9" s="85"/>
      <c r="I9" s="85"/>
    </row>
    <row r="10" spans="1:11" ht="24.75" customHeight="1">
      <c r="A10" s="307" t="s">
        <v>22</v>
      </c>
      <c r="B10" s="309" t="s">
        <v>24</v>
      </c>
      <c r="C10" s="317" t="s">
        <v>138</v>
      </c>
      <c r="D10" s="314" t="s">
        <v>27</v>
      </c>
      <c r="E10" s="315"/>
      <c r="F10" s="315"/>
      <c r="G10" s="315"/>
      <c r="H10" s="315"/>
      <c r="I10" s="316"/>
    </row>
    <row r="11" spans="1:11" ht="21.75" customHeight="1">
      <c r="A11" s="308"/>
      <c r="B11" s="310"/>
      <c r="C11" s="318"/>
      <c r="D11" s="171" t="s">
        <v>136</v>
      </c>
      <c r="E11" s="172" t="s">
        <v>17</v>
      </c>
      <c r="F11" s="172" t="s">
        <v>18</v>
      </c>
      <c r="G11" s="172" t="s">
        <v>19</v>
      </c>
      <c r="H11" s="172" t="s">
        <v>20</v>
      </c>
      <c r="I11" s="171" t="s">
        <v>30</v>
      </c>
      <c r="K11" s="38">
        <f>E12+E14+E15</f>
        <v>221.50500000000002</v>
      </c>
    </row>
    <row r="12" spans="1:11" ht="21.95" customHeight="1">
      <c r="A12" s="199">
        <v>1</v>
      </c>
      <c r="B12" s="200" t="s">
        <v>31</v>
      </c>
      <c r="C12" s="200" t="s">
        <v>31</v>
      </c>
      <c r="D12" s="201">
        <v>35413</v>
      </c>
      <c r="E12" s="202">
        <v>132.79875000000001</v>
      </c>
      <c r="F12" s="202">
        <v>8.8532499999999992</v>
      </c>
      <c r="G12" s="202">
        <v>26.559750000000001</v>
      </c>
      <c r="H12" s="202">
        <v>4.4266249999999996</v>
      </c>
      <c r="I12" s="203">
        <f t="shared" ref="I12:I21" si="0">SUM(E12:H12)</f>
        <v>172.63837500000002</v>
      </c>
    </row>
    <row r="13" spans="1:11" ht="21.95" customHeight="1">
      <c r="A13" s="199">
        <v>2</v>
      </c>
      <c r="B13" s="204" t="s">
        <v>32</v>
      </c>
      <c r="C13" s="200" t="s">
        <v>32</v>
      </c>
      <c r="D13" s="201">
        <v>53869</v>
      </c>
      <c r="E13" s="202">
        <v>202.00874999999999</v>
      </c>
      <c r="F13" s="202">
        <v>13.46725</v>
      </c>
      <c r="G13" s="202">
        <v>40.40175</v>
      </c>
      <c r="H13" s="202">
        <v>6.733625</v>
      </c>
      <c r="I13" s="203">
        <f t="shared" si="0"/>
        <v>262.61137500000001</v>
      </c>
    </row>
    <row r="14" spans="1:11" ht="21.95" customHeight="1">
      <c r="A14" s="199">
        <v>3</v>
      </c>
      <c r="B14" s="200" t="s">
        <v>33</v>
      </c>
      <c r="C14" s="312" t="s">
        <v>31</v>
      </c>
      <c r="D14" s="201">
        <v>16839</v>
      </c>
      <c r="E14" s="202">
        <v>63.146250000000002</v>
      </c>
      <c r="F14" s="202">
        <v>4.2097499999999997</v>
      </c>
      <c r="G14" s="202">
        <v>12.629250000000001</v>
      </c>
      <c r="H14" s="202">
        <v>2.1048749999999998</v>
      </c>
      <c r="I14" s="203">
        <f t="shared" si="0"/>
        <v>82.090125</v>
      </c>
    </row>
    <row r="15" spans="1:11" ht="21.95" customHeight="1">
      <c r="A15" s="199">
        <v>4</v>
      </c>
      <c r="B15" s="200" t="s">
        <v>3</v>
      </c>
      <c r="C15" s="313"/>
      <c r="D15" s="201">
        <v>6816</v>
      </c>
      <c r="E15" s="202">
        <v>25.56</v>
      </c>
      <c r="F15" s="202">
        <v>1.704</v>
      </c>
      <c r="G15" s="202">
        <v>5.1120000000000001</v>
      </c>
      <c r="H15" s="202">
        <v>0.85199999999999998</v>
      </c>
      <c r="I15" s="203">
        <f t="shared" si="0"/>
        <v>33.227999999999994</v>
      </c>
    </row>
    <row r="16" spans="1:11" ht="21.95" customHeight="1">
      <c r="A16" s="173">
        <v>5</v>
      </c>
      <c r="B16" s="165" t="s">
        <v>35</v>
      </c>
      <c r="C16" s="304" t="s">
        <v>140</v>
      </c>
      <c r="D16" s="166">
        <v>24770</v>
      </c>
      <c r="E16" s="167">
        <v>92.887500000000003</v>
      </c>
      <c r="F16" s="167">
        <v>6.1924999999999999</v>
      </c>
      <c r="G16" s="167">
        <v>18.577500000000001</v>
      </c>
      <c r="H16" s="167">
        <v>3.0962499999999999</v>
      </c>
      <c r="I16" s="168">
        <f t="shared" si="0"/>
        <v>120.75375</v>
      </c>
    </row>
    <row r="17" spans="1:9" ht="21.95" customHeight="1">
      <c r="A17" s="173">
        <v>6</v>
      </c>
      <c r="B17" s="165" t="s">
        <v>37</v>
      </c>
      <c r="C17" s="305"/>
      <c r="D17" s="166">
        <v>25174</v>
      </c>
      <c r="E17" s="167">
        <v>94.402500000000003</v>
      </c>
      <c r="F17" s="167">
        <v>6.2934999999999999</v>
      </c>
      <c r="G17" s="167">
        <v>18.880500000000001</v>
      </c>
      <c r="H17" s="167">
        <v>3.1467499999999999</v>
      </c>
      <c r="I17" s="168">
        <f t="shared" si="0"/>
        <v>122.72324999999999</v>
      </c>
    </row>
    <row r="18" spans="1:9" ht="21.95" customHeight="1">
      <c r="A18" s="173">
        <v>7</v>
      </c>
      <c r="B18" s="165" t="s">
        <v>38</v>
      </c>
      <c r="C18" s="165" t="s">
        <v>38</v>
      </c>
      <c r="D18" s="166">
        <v>63322</v>
      </c>
      <c r="E18" s="167">
        <v>237.45750000000001</v>
      </c>
      <c r="F18" s="167">
        <v>15.830500000000001</v>
      </c>
      <c r="G18" s="167">
        <v>47.491500000000002</v>
      </c>
      <c r="H18" s="167">
        <v>7.9152500000000003</v>
      </c>
      <c r="I18" s="168">
        <f t="shared" si="0"/>
        <v>308.69475</v>
      </c>
    </row>
    <row r="19" spans="1:9" ht="21.95" customHeight="1">
      <c r="A19" s="173">
        <v>8</v>
      </c>
      <c r="B19" s="165" t="s">
        <v>39</v>
      </c>
      <c r="C19" s="165" t="s">
        <v>140</v>
      </c>
      <c r="D19" s="166">
        <v>24998</v>
      </c>
      <c r="E19" s="167">
        <v>93.742500000000007</v>
      </c>
      <c r="F19" s="167">
        <v>6.2495000000000003</v>
      </c>
      <c r="G19" s="167">
        <v>18.7485</v>
      </c>
      <c r="H19" s="167">
        <v>3.1247500000000001</v>
      </c>
      <c r="I19" s="168">
        <f t="shared" si="0"/>
        <v>121.86525</v>
      </c>
    </row>
    <row r="20" spans="1:9" ht="21.95" customHeight="1">
      <c r="A20" s="199">
        <v>9</v>
      </c>
      <c r="B20" s="200" t="s">
        <v>40</v>
      </c>
      <c r="C20" s="200" t="s">
        <v>72</v>
      </c>
      <c r="D20" s="201">
        <v>33819</v>
      </c>
      <c r="E20" s="202">
        <v>126.82125000000001</v>
      </c>
      <c r="F20" s="202">
        <v>8.4547500000000007</v>
      </c>
      <c r="G20" s="202">
        <v>25.364249999999998</v>
      </c>
      <c r="H20" s="202">
        <v>4.2273750000000003</v>
      </c>
      <c r="I20" s="203">
        <f t="shared" si="0"/>
        <v>164.867625</v>
      </c>
    </row>
    <row r="21" spans="1:9" ht="21.95" customHeight="1">
      <c r="A21" s="199">
        <v>10</v>
      </c>
      <c r="B21" s="200" t="s">
        <v>41</v>
      </c>
      <c r="C21" s="200" t="s">
        <v>139</v>
      </c>
      <c r="D21" s="201">
        <v>14980</v>
      </c>
      <c r="E21" s="202">
        <v>56.174999999999997</v>
      </c>
      <c r="F21" s="202">
        <v>3.7450000000000001</v>
      </c>
      <c r="G21" s="202">
        <v>11.234999999999999</v>
      </c>
      <c r="H21" s="202">
        <v>1.8725000000000001</v>
      </c>
      <c r="I21" s="203">
        <f t="shared" si="0"/>
        <v>73.027500000000003</v>
      </c>
    </row>
    <row r="22" spans="1:9" ht="18" customHeight="1">
      <c r="A22" s="272" t="s">
        <v>42</v>
      </c>
      <c r="B22" s="274"/>
      <c r="C22" s="169">
        <f t="shared" ref="C22" si="1">SUM(C12:C21)</f>
        <v>0</v>
      </c>
      <c r="D22" s="169">
        <f>SUM(D12:D21)</f>
        <v>300000</v>
      </c>
      <c r="E22" s="170">
        <f>SUM(E12:E21)</f>
        <v>1125</v>
      </c>
      <c r="F22" s="170">
        <f t="shared" ref="F22:H22" si="2">SUM(F12:F21)</f>
        <v>75</v>
      </c>
      <c r="G22" s="170">
        <f t="shared" si="2"/>
        <v>225</v>
      </c>
      <c r="H22" s="170">
        <f t="shared" si="2"/>
        <v>37.5</v>
      </c>
      <c r="I22" s="170">
        <f>SUM(I12:I21)</f>
        <v>1462.5000000000002</v>
      </c>
    </row>
    <row r="23" spans="1:9" ht="18" customHeight="1"/>
    <row r="24" spans="1:9" ht="18" customHeight="1">
      <c r="A24" s="30"/>
      <c r="B24" s="30"/>
      <c r="C24" s="30"/>
      <c r="D24" s="30"/>
      <c r="E24" s="31"/>
      <c r="F24" s="31"/>
      <c r="G24" s="31"/>
      <c r="H24" s="31"/>
    </row>
    <row r="27" spans="1:9">
      <c r="D27" s="164"/>
    </row>
    <row r="29" spans="1:9">
      <c r="D29" s="164"/>
    </row>
  </sheetData>
  <sheetProtection formatCells="0" formatColumns="0" formatRows="0" insertColumns="0" insertRows="0" insertHyperlinks="0" deleteColumns="0" deleteRows="0" sort="0" autoFilter="0" pivotTables="0"/>
  <mergeCells count="11">
    <mergeCell ref="C14:C15"/>
    <mergeCell ref="C16:C17"/>
    <mergeCell ref="A22:B22"/>
    <mergeCell ref="D10:I10"/>
    <mergeCell ref="H1:I1"/>
    <mergeCell ref="H2:I2"/>
    <mergeCell ref="A6:I6"/>
    <mergeCell ref="A10:A11"/>
    <mergeCell ref="B10:B11"/>
    <mergeCell ref="C10:C11"/>
    <mergeCell ref="A7:K7"/>
  </mergeCells>
  <conditionalFormatting sqref="E12:I22">
    <cfRule type="cellIs" dxfId="56" priority="3" operator="equal">
      <formula>0</formula>
    </cfRule>
  </conditionalFormatting>
  <conditionalFormatting sqref="E22:I22">
    <cfRule type="cellIs" dxfId="55" priority="1" operator="equal">
      <formula>0</formula>
    </cfRule>
    <cfRule type="cellIs" dxfId="54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  <ignoredErrors>
    <ignoredError sqref="I12:I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M25"/>
  <sheetViews>
    <sheetView topLeftCell="A7" workbookViewId="0">
      <selection activeCell="A22" sqref="A22:I34"/>
    </sheetView>
  </sheetViews>
  <sheetFormatPr baseColWidth="10" defaultRowHeight="14.25"/>
  <cols>
    <col min="1" max="1" width="6.42578125" style="29" customWidth="1"/>
    <col min="2" max="2" width="22.42578125" style="29" customWidth="1"/>
    <col min="3" max="11" width="12.7109375" style="29" customWidth="1"/>
    <col min="12" max="16384" width="11.42578125" style="29"/>
  </cols>
  <sheetData>
    <row r="1" spans="1:13">
      <c r="A1" s="84" t="s">
        <v>10</v>
      </c>
      <c r="B1" s="85"/>
      <c r="C1" s="85"/>
      <c r="D1" s="85"/>
      <c r="E1" s="86"/>
      <c r="F1" s="86"/>
      <c r="G1" s="86"/>
      <c r="H1" s="86"/>
      <c r="I1" s="86" t="s">
        <v>11</v>
      </c>
      <c r="J1" s="86"/>
      <c r="K1" s="86"/>
    </row>
    <row r="2" spans="1:13">
      <c r="A2" s="84" t="s">
        <v>75</v>
      </c>
      <c r="B2" s="85"/>
      <c r="C2" s="85"/>
      <c r="D2" s="85"/>
      <c r="E2" s="86"/>
      <c r="F2" s="86"/>
      <c r="G2" s="86"/>
      <c r="H2" s="86"/>
      <c r="I2" s="86" t="s">
        <v>13</v>
      </c>
      <c r="J2" s="86"/>
      <c r="K2" s="86"/>
    </row>
    <row r="3" spans="1:13">
      <c r="A3" s="87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3">
      <c r="A4" s="87" t="s">
        <v>76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3">
      <c r="A5" s="87" t="s">
        <v>15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3" ht="22.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</row>
    <row r="7" spans="1:13" ht="21.75" customHeight="1">
      <c r="A7" s="321" t="s">
        <v>147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3" ht="40.5" customHeight="1">
      <c r="A8" s="322" t="s">
        <v>149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spans="1:13" ht="27.75" customHeight="1">
      <c r="A9" s="93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3" ht="30" customHeight="1">
      <c r="A10" s="329" t="s">
        <v>22</v>
      </c>
      <c r="B10" s="326" t="s">
        <v>98</v>
      </c>
      <c r="C10" s="323" t="s">
        <v>27</v>
      </c>
      <c r="D10" s="323"/>
      <c r="E10" s="323"/>
      <c r="F10" s="323"/>
      <c r="G10" s="323"/>
      <c r="H10" s="323"/>
      <c r="I10" s="323"/>
      <c r="J10" s="323"/>
      <c r="K10" s="323"/>
    </row>
    <row r="11" spans="1:13" ht="30" customHeight="1">
      <c r="A11" s="330"/>
      <c r="B11" s="327"/>
      <c r="C11" s="324" t="s">
        <v>17</v>
      </c>
      <c r="D11" s="325"/>
      <c r="E11" s="324" t="s">
        <v>18</v>
      </c>
      <c r="F11" s="325"/>
      <c r="G11" s="324" t="s">
        <v>111</v>
      </c>
      <c r="H11" s="325"/>
      <c r="I11" s="324" t="s">
        <v>20</v>
      </c>
      <c r="J11" s="325"/>
      <c r="K11" s="307" t="s">
        <v>30</v>
      </c>
    </row>
    <row r="12" spans="1:13" ht="30" customHeight="1">
      <c r="A12" s="331"/>
      <c r="B12" s="328"/>
      <c r="C12" s="173" t="s">
        <v>53</v>
      </c>
      <c r="D12" s="173" t="s">
        <v>151</v>
      </c>
      <c r="E12" s="173" t="s">
        <v>53</v>
      </c>
      <c r="F12" s="173" t="s">
        <v>151</v>
      </c>
      <c r="G12" s="173" t="s">
        <v>53</v>
      </c>
      <c r="H12" s="173" t="s">
        <v>151</v>
      </c>
      <c r="I12" s="173" t="s">
        <v>53</v>
      </c>
      <c r="J12" s="173" t="s">
        <v>151</v>
      </c>
      <c r="K12" s="308"/>
    </row>
    <row r="13" spans="1:13" ht="30" customHeight="1">
      <c r="A13" s="42">
        <v>1</v>
      </c>
      <c r="B13" s="187" t="s">
        <v>31</v>
      </c>
      <c r="C13" s="196">
        <f>D13*1000/50</f>
        <v>4430.1000000000004</v>
      </c>
      <c r="D13" s="196">
        <f>Mikili!E12+Mikili!E14+Mikili!E15</f>
        <v>221.50500000000002</v>
      </c>
      <c r="E13" s="196">
        <f>F13*1000/18</f>
        <v>820.38888888888891</v>
      </c>
      <c r="F13" s="196">
        <f>Mikili!F12+Mikili!F14+Mikili!F15</f>
        <v>14.766999999999999</v>
      </c>
      <c r="G13" s="196">
        <f>H13*1000/50</f>
        <v>886.02</v>
      </c>
      <c r="H13" s="196">
        <f>Mikili!G12+Mikili!G14+Mikili!G15</f>
        <v>44.301000000000002</v>
      </c>
      <c r="I13" s="196">
        <f>J13*1000/25</f>
        <v>295.33999999999997</v>
      </c>
      <c r="J13" s="196">
        <f>Mikili!H12+Mikili!H14+Mikili!H15</f>
        <v>7.3834999999999997</v>
      </c>
      <c r="K13" s="197">
        <f>D13+F13+H13+J13</f>
        <v>287.95650000000006</v>
      </c>
      <c r="M13" s="164"/>
    </row>
    <row r="14" spans="1:13" ht="30" customHeight="1">
      <c r="A14" s="42">
        <v>2</v>
      </c>
      <c r="B14" s="187" t="s">
        <v>32</v>
      </c>
      <c r="C14" s="196">
        <f t="shared" ref="C14:C18" si="0">D14*1000/50</f>
        <v>4040.1750000000002</v>
      </c>
      <c r="D14" s="196">
        <f>Mikili!E13</f>
        <v>202.00874999999999</v>
      </c>
      <c r="E14" s="196">
        <f t="shared" ref="E14:E18" si="1">F14*1000/18</f>
        <v>748.18055555555554</v>
      </c>
      <c r="F14" s="196">
        <f>Mikili!F13</f>
        <v>13.46725</v>
      </c>
      <c r="G14" s="196">
        <f t="shared" ref="G14:G18" si="2">H14*1000/50</f>
        <v>808.03499999999997</v>
      </c>
      <c r="H14" s="196">
        <f>Mikili!G13</f>
        <v>40.40175</v>
      </c>
      <c r="I14" s="196">
        <f t="shared" ref="I14:I18" si="3">J14*1000/25</f>
        <v>269.34500000000003</v>
      </c>
      <c r="J14" s="196">
        <f>Mikili!H13</f>
        <v>6.733625</v>
      </c>
      <c r="K14" s="197">
        <f t="shared" ref="K14:K18" si="4">D14+F14+H14+J14</f>
        <v>262.61137500000001</v>
      </c>
    </row>
    <row r="15" spans="1:13" ht="30" customHeight="1">
      <c r="A15" s="42">
        <v>3</v>
      </c>
      <c r="B15" s="187" t="s">
        <v>72</v>
      </c>
      <c r="C15" s="196">
        <f t="shared" si="0"/>
        <v>2536.4250000000002</v>
      </c>
      <c r="D15" s="196">
        <f>Mikili!E16</f>
        <v>126.82125000000001</v>
      </c>
      <c r="E15" s="196">
        <f t="shared" si="1"/>
        <v>469.70833333333331</v>
      </c>
      <c r="F15" s="196">
        <f>Mikili!F16</f>
        <v>8.4547500000000007</v>
      </c>
      <c r="G15" s="196">
        <f t="shared" si="2"/>
        <v>507.28500000000003</v>
      </c>
      <c r="H15" s="196">
        <f>Mikili!G16</f>
        <v>25.364249999999998</v>
      </c>
      <c r="I15" s="196">
        <f t="shared" si="3"/>
        <v>169.095</v>
      </c>
      <c r="J15" s="196">
        <f>Mikili!H16</f>
        <v>4.2273750000000003</v>
      </c>
      <c r="K15" s="197">
        <f t="shared" si="4"/>
        <v>164.867625</v>
      </c>
    </row>
    <row r="16" spans="1:13" ht="30" customHeight="1">
      <c r="A16" s="42">
        <v>4</v>
      </c>
      <c r="B16" s="187" t="s">
        <v>139</v>
      </c>
      <c r="C16" s="196">
        <f t="shared" si="0"/>
        <v>1123.5</v>
      </c>
      <c r="D16" s="196">
        <f>Mikili!E17</f>
        <v>56.174999999999997</v>
      </c>
      <c r="E16" s="196">
        <f t="shared" si="1"/>
        <v>208.05555555555554</v>
      </c>
      <c r="F16" s="196">
        <f>Mikili!F17</f>
        <v>3.7450000000000001</v>
      </c>
      <c r="G16" s="196">
        <f t="shared" si="2"/>
        <v>224.7</v>
      </c>
      <c r="H16" s="196">
        <f>Mikili!G17</f>
        <v>11.234999999999999</v>
      </c>
      <c r="I16" s="196">
        <f t="shared" si="3"/>
        <v>74.900000000000006</v>
      </c>
      <c r="J16" s="196">
        <f>Mikili!H17</f>
        <v>1.8725000000000001</v>
      </c>
      <c r="K16" s="197">
        <f t="shared" si="4"/>
        <v>73.027500000000003</v>
      </c>
    </row>
    <row r="17" spans="1:13" ht="30" customHeight="1">
      <c r="A17" s="42">
        <v>5</v>
      </c>
      <c r="B17" s="187" t="s">
        <v>140</v>
      </c>
      <c r="C17" s="196">
        <f t="shared" si="0"/>
        <v>5620.65</v>
      </c>
      <c r="D17" s="196">
        <v>281.03250000000003</v>
      </c>
      <c r="E17" s="196">
        <f t="shared" si="1"/>
        <v>1040.8611111111111</v>
      </c>
      <c r="F17" s="196">
        <v>18.735500000000002</v>
      </c>
      <c r="G17" s="196">
        <f t="shared" si="2"/>
        <v>1124.1300000000001</v>
      </c>
      <c r="H17" s="196">
        <v>56.206499999999998</v>
      </c>
      <c r="I17" s="196">
        <f t="shared" si="3"/>
        <v>374.71</v>
      </c>
      <c r="J17" s="196">
        <v>9.3677500000000009</v>
      </c>
      <c r="K17" s="197">
        <f t="shared" si="4"/>
        <v>365.34225000000004</v>
      </c>
    </row>
    <row r="18" spans="1:13" ht="30" customHeight="1">
      <c r="A18" s="42">
        <v>6</v>
      </c>
      <c r="B18" s="187" t="s">
        <v>38</v>
      </c>
      <c r="C18" s="196">
        <f t="shared" si="0"/>
        <v>4749.1499999999996</v>
      </c>
      <c r="D18" s="196">
        <v>237.45750000000001</v>
      </c>
      <c r="E18" s="196">
        <f t="shared" si="1"/>
        <v>879.47222222222217</v>
      </c>
      <c r="F18" s="196">
        <v>15.830500000000001</v>
      </c>
      <c r="G18" s="196">
        <f t="shared" si="2"/>
        <v>949.83</v>
      </c>
      <c r="H18" s="196">
        <v>47.491500000000002</v>
      </c>
      <c r="I18" s="196">
        <f t="shared" si="3"/>
        <v>316.61</v>
      </c>
      <c r="J18" s="196">
        <v>7.9152500000000003</v>
      </c>
      <c r="K18" s="197">
        <f t="shared" si="4"/>
        <v>308.69475</v>
      </c>
    </row>
    <row r="19" spans="1:13" ht="30" customHeight="1">
      <c r="A19" s="319" t="s">
        <v>42</v>
      </c>
      <c r="B19" s="320"/>
      <c r="C19" s="198">
        <f>SUM(C13:C18)</f>
        <v>22500</v>
      </c>
      <c r="D19" s="198">
        <f>SUM(D13:D18)</f>
        <v>1125</v>
      </c>
      <c r="E19" s="198">
        <f t="shared" ref="E19:I19" si="5">SUM(E13:E18)</f>
        <v>4166.6666666666661</v>
      </c>
      <c r="F19" s="198">
        <f t="shared" si="5"/>
        <v>75</v>
      </c>
      <c r="G19" s="198">
        <f t="shared" si="5"/>
        <v>4500</v>
      </c>
      <c r="H19" s="198">
        <f t="shared" si="5"/>
        <v>225</v>
      </c>
      <c r="I19" s="198">
        <f t="shared" si="5"/>
        <v>1500</v>
      </c>
      <c r="J19" s="198">
        <f>SUM(J13:J18)</f>
        <v>37.5</v>
      </c>
      <c r="K19" s="198">
        <f>SUM(K13:K18)</f>
        <v>1462.5</v>
      </c>
      <c r="M19" s="164"/>
    </row>
    <row r="20" spans="1:13" ht="18" customHeight="1"/>
    <row r="21" spans="1:13" ht="18" customHeight="1">
      <c r="A21" s="30"/>
      <c r="B21" s="30"/>
      <c r="C21" s="31"/>
      <c r="D21" s="31"/>
      <c r="E21" s="31"/>
      <c r="F21" s="31"/>
      <c r="G21" s="31"/>
      <c r="H21" s="31"/>
      <c r="I21" s="31"/>
      <c r="J21" s="31"/>
    </row>
    <row r="22" spans="1:13">
      <c r="M22" s="164"/>
    </row>
    <row r="25" spans="1:13">
      <c r="C25" s="38"/>
      <c r="D25" s="38"/>
    </row>
  </sheetData>
  <sheetProtection formatCells="0" formatColumns="0" formatRows="0" insertColumns="0" insertRows="0" insertHyperlinks="0" deleteColumns="0" deleteRows="0" sort="0" autoFilter="0" pivotTables="0"/>
  <mergeCells count="12">
    <mergeCell ref="A19:B19"/>
    <mergeCell ref="A6:K6"/>
    <mergeCell ref="A7:K7"/>
    <mergeCell ref="A8:K8"/>
    <mergeCell ref="C10:K10"/>
    <mergeCell ref="C11:D11"/>
    <mergeCell ref="E11:F11"/>
    <mergeCell ref="G11:H11"/>
    <mergeCell ref="I11:J11"/>
    <mergeCell ref="K11:K12"/>
    <mergeCell ref="B10:B12"/>
    <mergeCell ref="A10:A12"/>
  </mergeCells>
  <conditionalFormatting sqref="F13:F19 H13:H19 E19:I19 J13:K19 C13:D19 E13:E18 G13:G18 I13:I18">
    <cfRule type="cellIs" dxfId="53" priority="7" operator="equal">
      <formula>0</formula>
    </cfRule>
  </conditionalFormatting>
  <conditionalFormatting sqref="C19:K19">
    <cfRule type="cellIs" dxfId="52" priority="5" operator="equal">
      <formula>0</formula>
    </cfRule>
    <cfRule type="cellIs" dxfId="51" priority="6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  <ignoredErrors>
    <ignoredError sqref="G13:G18 I13:I18 C13:C1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L24"/>
  <sheetViews>
    <sheetView tabSelected="1" workbookViewId="0">
      <selection activeCell="K8" sqref="K8"/>
    </sheetView>
  </sheetViews>
  <sheetFormatPr baseColWidth="10" defaultRowHeight="14.25"/>
  <cols>
    <col min="1" max="1" width="6.42578125" style="29" customWidth="1"/>
    <col min="2" max="2" width="19.42578125" style="29" customWidth="1"/>
    <col min="3" max="3" width="30.42578125" style="29" customWidth="1"/>
    <col min="4" max="8" width="16.7109375" style="29" customWidth="1"/>
    <col min="9" max="16384" width="11.42578125" style="29"/>
  </cols>
  <sheetData>
    <row r="1" spans="1:9">
      <c r="A1" s="84" t="s">
        <v>10</v>
      </c>
      <c r="B1" s="85"/>
      <c r="C1" s="85"/>
      <c r="D1" s="85"/>
      <c r="E1" s="86"/>
      <c r="F1" s="86"/>
      <c r="G1" s="289" t="s">
        <v>11</v>
      </c>
      <c r="H1" s="289"/>
      <c r="I1" s="86"/>
    </row>
    <row r="2" spans="1:9">
      <c r="A2" s="84" t="s">
        <v>75</v>
      </c>
      <c r="B2" s="85"/>
      <c r="C2" s="85"/>
      <c r="D2" s="85"/>
      <c r="E2" s="86"/>
      <c r="F2" s="86"/>
      <c r="G2" s="289" t="s">
        <v>13</v>
      </c>
      <c r="H2" s="289"/>
      <c r="I2" s="86"/>
    </row>
    <row r="3" spans="1:9">
      <c r="A3" s="87" t="s">
        <v>73</v>
      </c>
      <c r="B3" s="85"/>
      <c r="C3" s="85"/>
      <c r="D3" s="85"/>
      <c r="E3" s="85"/>
      <c r="F3" s="85"/>
      <c r="G3" s="85"/>
      <c r="H3" s="85"/>
    </row>
    <row r="4" spans="1:9">
      <c r="A4" s="87" t="s">
        <v>76</v>
      </c>
      <c r="B4" s="85"/>
      <c r="C4" s="85"/>
      <c r="D4" s="85"/>
      <c r="E4" s="85"/>
      <c r="F4" s="85"/>
      <c r="G4" s="85"/>
      <c r="H4" s="85"/>
    </row>
    <row r="5" spans="1:9">
      <c r="A5" s="87" t="s">
        <v>15</v>
      </c>
      <c r="B5" s="85"/>
      <c r="C5" s="85"/>
      <c r="D5" s="85"/>
      <c r="E5" s="85"/>
      <c r="F5" s="85"/>
      <c r="G5" s="85"/>
      <c r="H5" s="85"/>
    </row>
    <row r="6" spans="1:9" ht="22.5" customHeight="1">
      <c r="A6" s="270"/>
      <c r="B6" s="270"/>
      <c r="C6" s="270"/>
      <c r="D6" s="270"/>
      <c r="E6" s="270"/>
      <c r="F6" s="270"/>
      <c r="G6" s="270"/>
      <c r="H6" s="270"/>
    </row>
    <row r="7" spans="1:9" ht="21.75" customHeight="1">
      <c r="A7" s="321" t="s">
        <v>147</v>
      </c>
      <c r="B7" s="321"/>
      <c r="C7" s="321"/>
      <c r="D7" s="321"/>
      <c r="E7" s="321"/>
      <c r="F7" s="321"/>
      <c r="G7" s="321"/>
      <c r="H7" s="321"/>
    </row>
    <row r="8" spans="1:9" ht="32.25" customHeight="1">
      <c r="A8" s="322" t="s">
        <v>149</v>
      </c>
      <c r="B8" s="322"/>
      <c r="C8" s="322"/>
      <c r="D8" s="322"/>
      <c r="E8" s="322"/>
      <c r="F8" s="322"/>
      <c r="G8" s="322"/>
      <c r="H8" s="322"/>
    </row>
    <row r="9" spans="1:9" ht="27.75" customHeight="1">
      <c r="A9" s="93"/>
      <c r="B9" s="85"/>
      <c r="C9" s="85"/>
      <c r="D9" s="85"/>
      <c r="E9" s="85"/>
      <c r="F9" s="85"/>
      <c r="G9" s="85"/>
      <c r="H9" s="85"/>
    </row>
    <row r="10" spans="1:9" ht="30" customHeight="1">
      <c r="A10" s="329" t="s">
        <v>22</v>
      </c>
      <c r="B10" s="326" t="s">
        <v>152</v>
      </c>
      <c r="C10" s="326" t="s">
        <v>166</v>
      </c>
      <c r="D10" s="323" t="s">
        <v>27</v>
      </c>
      <c r="E10" s="323"/>
      <c r="F10" s="323"/>
      <c r="G10" s="323"/>
      <c r="H10" s="323"/>
    </row>
    <row r="11" spans="1:9" ht="30" customHeight="1">
      <c r="A11" s="330"/>
      <c r="B11" s="327"/>
      <c r="C11" s="328"/>
      <c r="D11" s="206" t="s">
        <v>17</v>
      </c>
      <c r="E11" s="206" t="s">
        <v>18</v>
      </c>
      <c r="F11" s="206" t="s">
        <v>111</v>
      </c>
      <c r="G11" s="206" t="s">
        <v>20</v>
      </c>
      <c r="H11" s="235" t="s">
        <v>30</v>
      </c>
    </row>
    <row r="12" spans="1:9" ht="30" customHeight="1">
      <c r="A12" s="42">
        <v>1</v>
      </c>
      <c r="B12" s="187" t="s">
        <v>31</v>
      </c>
      <c r="C12" s="187" t="s">
        <v>153</v>
      </c>
      <c r="D12" s="196">
        <f>Mikili!E12+Mikili!E14+Mikili!E15</f>
        <v>221.50500000000002</v>
      </c>
      <c r="E12" s="196">
        <f>Mikili!F12+Mikili!F14+Mikili!F15</f>
        <v>14.766999999999999</v>
      </c>
      <c r="F12" s="196">
        <f>Mikili!G12+Mikili!G14+Mikili!G15</f>
        <v>44.301000000000002</v>
      </c>
      <c r="G12" s="196">
        <f>Mikili!H12+Mikili!H14+Mikili!H15</f>
        <v>7.3834999999999997</v>
      </c>
      <c r="H12" s="197">
        <f t="shared" ref="H12:H17" si="0">D12+E12+F12+G12</f>
        <v>287.95650000000006</v>
      </c>
    </row>
    <row r="13" spans="1:9" ht="30" customHeight="1">
      <c r="A13" s="42">
        <v>2</v>
      </c>
      <c r="B13" s="187" t="s">
        <v>32</v>
      </c>
      <c r="C13" s="187" t="s">
        <v>167</v>
      </c>
      <c r="D13" s="196">
        <f>Mikili!E13</f>
        <v>202.00874999999999</v>
      </c>
      <c r="E13" s="196">
        <f>Mikili!F13</f>
        <v>13.46725</v>
      </c>
      <c r="F13" s="196">
        <f>Mikili!G13</f>
        <v>40.40175</v>
      </c>
      <c r="G13" s="196">
        <f>Mikili!H13</f>
        <v>6.733625</v>
      </c>
      <c r="H13" s="197">
        <f t="shared" si="0"/>
        <v>262.61137500000001</v>
      </c>
    </row>
    <row r="14" spans="1:9" ht="30" customHeight="1">
      <c r="A14" s="42">
        <v>3</v>
      </c>
      <c r="B14" s="187" t="s">
        <v>72</v>
      </c>
      <c r="C14" s="187" t="s">
        <v>40</v>
      </c>
      <c r="D14" s="196">
        <f>Mikili!E16</f>
        <v>126.82125000000001</v>
      </c>
      <c r="E14" s="196">
        <f>Mikili!F16</f>
        <v>8.4547500000000007</v>
      </c>
      <c r="F14" s="196">
        <f>Mikili!G16</f>
        <v>25.364249999999998</v>
      </c>
      <c r="G14" s="196">
        <f>Mikili!H16</f>
        <v>4.2273750000000003</v>
      </c>
      <c r="H14" s="197">
        <f t="shared" si="0"/>
        <v>164.867625</v>
      </c>
    </row>
    <row r="15" spans="1:9" ht="30" customHeight="1">
      <c r="A15" s="42">
        <v>4</v>
      </c>
      <c r="B15" s="187" t="s">
        <v>139</v>
      </c>
      <c r="C15" s="187" t="s">
        <v>41</v>
      </c>
      <c r="D15" s="196">
        <f>Mikili!E17</f>
        <v>56.174999999999997</v>
      </c>
      <c r="E15" s="196">
        <f>Mikili!F17</f>
        <v>3.7450000000000001</v>
      </c>
      <c r="F15" s="196">
        <f>Mikili!G17</f>
        <v>11.234999999999999</v>
      </c>
      <c r="G15" s="196">
        <f>Mikili!H17</f>
        <v>1.8725000000000001</v>
      </c>
      <c r="H15" s="197">
        <f t="shared" si="0"/>
        <v>73.027500000000003</v>
      </c>
    </row>
    <row r="16" spans="1:9" ht="45" customHeight="1">
      <c r="A16" s="42">
        <v>5</v>
      </c>
      <c r="B16" s="187" t="s">
        <v>140</v>
      </c>
      <c r="C16" s="205" t="s">
        <v>154</v>
      </c>
      <c r="D16" s="196">
        <v>281.03250000000003</v>
      </c>
      <c r="E16" s="196">
        <v>18.735500000000002</v>
      </c>
      <c r="F16" s="196">
        <v>56.206499999999998</v>
      </c>
      <c r="G16" s="196">
        <v>9.3677500000000009</v>
      </c>
      <c r="H16" s="197">
        <f t="shared" si="0"/>
        <v>365.34225000000004</v>
      </c>
    </row>
    <row r="17" spans="1:12" ht="30" customHeight="1">
      <c r="A17" s="42">
        <v>6</v>
      </c>
      <c r="B17" s="187" t="s">
        <v>38</v>
      </c>
      <c r="C17" s="187" t="s">
        <v>38</v>
      </c>
      <c r="D17" s="196">
        <v>237.45750000000001</v>
      </c>
      <c r="E17" s="196">
        <v>15.830500000000001</v>
      </c>
      <c r="F17" s="196">
        <v>47.491500000000002</v>
      </c>
      <c r="G17" s="196">
        <v>7.9152500000000003</v>
      </c>
      <c r="H17" s="197">
        <f t="shared" si="0"/>
        <v>308.69475</v>
      </c>
    </row>
    <row r="18" spans="1:12" ht="30" customHeight="1">
      <c r="A18" s="319" t="s">
        <v>42</v>
      </c>
      <c r="B18" s="320"/>
      <c r="C18" s="195"/>
      <c r="D18" s="198">
        <f>SUM(D12:D17)</f>
        <v>1125</v>
      </c>
      <c r="E18" s="198">
        <f t="shared" ref="E18:F18" si="1">SUM(E12:E17)</f>
        <v>75</v>
      </c>
      <c r="F18" s="198">
        <f t="shared" si="1"/>
        <v>225</v>
      </c>
      <c r="G18" s="198">
        <f>SUM(G12:G17)</f>
        <v>37.5</v>
      </c>
      <c r="H18" s="198">
        <f>SUM(H12:H17)</f>
        <v>1462.5</v>
      </c>
      <c r="J18" s="164"/>
    </row>
    <row r="19" spans="1:12" ht="18" customHeight="1"/>
    <row r="20" spans="1:12" ht="18" customHeight="1">
      <c r="A20" s="30"/>
      <c r="B20" s="30"/>
      <c r="C20" s="30"/>
      <c r="D20" s="31"/>
      <c r="E20" s="31"/>
      <c r="F20" s="31"/>
      <c r="G20" s="31"/>
      <c r="L20" s="164"/>
    </row>
    <row r="21" spans="1:12">
      <c r="J21" s="164"/>
    </row>
    <row r="24" spans="1:12">
      <c r="D24" s="38"/>
    </row>
  </sheetData>
  <sheetProtection formatCells="0" formatColumns="0" formatRows="0" insertColumns="0" insertRows="0" insertHyperlinks="0" deleteColumns="0" deleteRows="0" sort="0" autoFilter="0" pivotTables="0"/>
  <mergeCells count="10">
    <mergeCell ref="A18:B18"/>
    <mergeCell ref="C10:C11"/>
    <mergeCell ref="G1:H1"/>
    <mergeCell ref="G2:H2"/>
    <mergeCell ref="A6:H6"/>
    <mergeCell ref="A7:H7"/>
    <mergeCell ref="A8:H8"/>
    <mergeCell ref="A10:A11"/>
    <mergeCell ref="B10:B11"/>
    <mergeCell ref="D10:H10"/>
  </mergeCells>
  <conditionalFormatting sqref="D12:H18">
    <cfRule type="cellIs" dxfId="50" priority="7" operator="equal">
      <formula>0</formula>
    </cfRule>
  </conditionalFormatting>
  <conditionalFormatting sqref="D18:H18">
    <cfRule type="cellIs" dxfId="49" priority="5" operator="equal">
      <formula>0</formula>
    </cfRule>
    <cfRule type="cellIs" dxfId="48" priority="6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O25"/>
  <sheetViews>
    <sheetView topLeftCell="A4" workbookViewId="0">
      <selection activeCell="D31" sqref="D31"/>
    </sheetView>
  </sheetViews>
  <sheetFormatPr baseColWidth="10" defaultRowHeight="14.25"/>
  <cols>
    <col min="1" max="1" width="6.42578125" style="29" customWidth="1"/>
    <col min="2" max="2" width="22.42578125" style="29" customWidth="1"/>
    <col min="3" max="11" width="12.7109375" style="29" customWidth="1"/>
    <col min="12" max="16384" width="11.42578125" style="29"/>
  </cols>
  <sheetData>
    <row r="1" spans="1:13">
      <c r="A1" s="84" t="s">
        <v>10</v>
      </c>
      <c r="B1" s="85"/>
      <c r="C1" s="85"/>
      <c r="D1" s="85"/>
      <c r="E1" s="86"/>
      <c r="F1" s="86"/>
      <c r="G1" s="86"/>
      <c r="H1" s="86"/>
      <c r="I1" s="289" t="s">
        <v>11</v>
      </c>
      <c r="J1" s="289"/>
      <c r="K1" s="289"/>
    </row>
    <row r="2" spans="1:13">
      <c r="A2" s="84" t="s">
        <v>75</v>
      </c>
      <c r="B2" s="85"/>
      <c r="C2" s="85"/>
      <c r="D2" s="85"/>
      <c r="E2" s="86"/>
      <c r="F2" s="86"/>
      <c r="G2" s="86"/>
      <c r="H2" s="86"/>
      <c r="I2" s="289" t="s">
        <v>13</v>
      </c>
      <c r="J2" s="289"/>
      <c r="K2" s="289"/>
    </row>
    <row r="3" spans="1:13">
      <c r="A3" s="87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3">
      <c r="A4" s="87" t="s">
        <v>76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3">
      <c r="A5" s="87" t="s">
        <v>15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3" ht="22.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</row>
    <row r="7" spans="1:13" ht="21.75" customHeight="1">
      <c r="A7" s="321" t="s">
        <v>147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3" ht="40.5" customHeight="1">
      <c r="A8" s="322" t="s">
        <v>149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spans="1:13" ht="27.75" customHeight="1">
      <c r="A9" s="93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3" ht="30" customHeight="1">
      <c r="A10" s="329" t="s">
        <v>22</v>
      </c>
      <c r="B10" s="326" t="s">
        <v>98</v>
      </c>
      <c r="C10" s="323" t="s">
        <v>27</v>
      </c>
      <c r="D10" s="323"/>
      <c r="E10" s="323"/>
      <c r="F10" s="323"/>
      <c r="G10" s="323"/>
      <c r="H10" s="323"/>
      <c r="I10" s="323"/>
      <c r="J10" s="323"/>
      <c r="K10" s="323"/>
    </row>
    <row r="11" spans="1:13" ht="30" customHeight="1">
      <c r="A11" s="330"/>
      <c r="B11" s="327"/>
      <c r="C11" s="324" t="s">
        <v>17</v>
      </c>
      <c r="D11" s="325"/>
      <c r="E11" s="324" t="s">
        <v>18</v>
      </c>
      <c r="F11" s="325"/>
      <c r="G11" s="324" t="s">
        <v>111</v>
      </c>
      <c r="H11" s="325"/>
      <c r="I11" s="324" t="s">
        <v>20</v>
      </c>
      <c r="J11" s="325"/>
      <c r="K11" s="307" t="s">
        <v>30</v>
      </c>
    </row>
    <row r="12" spans="1:13" ht="30" customHeight="1">
      <c r="A12" s="331"/>
      <c r="B12" s="328"/>
      <c r="C12" s="173" t="s">
        <v>53</v>
      </c>
      <c r="D12" s="173" t="s">
        <v>151</v>
      </c>
      <c r="E12" s="173" t="s">
        <v>53</v>
      </c>
      <c r="F12" s="173" t="s">
        <v>151</v>
      </c>
      <c r="G12" s="173" t="s">
        <v>53</v>
      </c>
      <c r="H12" s="173" t="s">
        <v>151</v>
      </c>
      <c r="I12" s="173" t="s">
        <v>53</v>
      </c>
      <c r="J12" s="173" t="s">
        <v>151</v>
      </c>
      <c r="K12" s="308"/>
    </row>
    <row r="13" spans="1:13" ht="30" customHeight="1">
      <c r="A13" s="42">
        <v>1</v>
      </c>
      <c r="B13" s="187" t="s">
        <v>31</v>
      </c>
      <c r="C13" s="196">
        <f>D13*1000/50</f>
        <v>4430.1000000000004</v>
      </c>
      <c r="D13" s="196">
        <f>Mikili!E12+Mikili!E14+Mikili!E15</f>
        <v>221.50500000000002</v>
      </c>
      <c r="E13" s="196">
        <f>F13*1000/18</f>
        <v>820.38888888888891</v>
      </c>
      <c r="F13" s="196">
        <f>Mikili!F12+Mikili!F14+Mikili!F15</f>
        <v>14.766999999999999</v>
      </c>
      <c r="G13" s="196">
        <f>H13*1000/50</f>
        <v>886.02</v>
      </c>
      <c r="H13" s="196">
        <f>Mikili!G12+Mikili!G14+Mikili!G15</f>
        <v>44.301000000000002</v>
      </c>
      <c r="I13" s="196">
        <f>J13*1000/25</f>
        <v>295.33999999999997</v>
      </c>
      <c r="J13" s="196">
        <f>Mikili!H12+Mikili!H14+Mikili!H15</f>
        <v>7.3834999999999997</v>
      </c>
      <c r="K13" s="197">
        <f>D13+F13+H13+J13</f>
        <v>287.95650000000006</v>
      </c>
      <c r="M13" s="164"/>
    </row>
    <row r="14" spans="1:13" ht="30" customHeight="1">
      <c r="A14" s="42">
        <v>2</v>
      </c>
      <c r="B14" s="187" t="s">
        <v>32</v>
      </c>
      <c r="C14" s="196">
        <f t="shared" ref="C14:C18" si="0">D14*1000/50</f>
        <v>4040.1750000000002</v>
      </c>
      <c r="D14" s="196">
        <f>Mikili!E13</f>
        <v>202.00874999999999</v>
      </c>
      <c r="E14" s="196">
        <f t="shared" ref="E14:E18" si="1">F14*1000/18</f>
        <v>748.18055555555554</v>
      </c>
      <c r="F14" s="196">
        <f>Mikili!F13</f>
        <v>13.46725</v>
      </c>
      <c r="G14" s="196">
        <f t="shared" ref="G14:G18" si="2">H14*1000/50</f>
        <v>808.03499999999997</v>
      </c>
      <c r="H14" s="196">
        <f>Mikili!G13</f>
        <v>40.40175</v>
      </c>
      <c r="I14" s="196">
        <f t="shared" ref="I14:I18" si="3">J14*1000/25</f>
        <v>269.34500000000003</v>
      </c>
      <c r="J14" s="196">
        <f>Mikili!H13</f>
        <v>6.733625</v>
      </c>
      <c r="K14" s="197">
        <f t="shared" ref="K14:K18" si="4">D14+F14+H14+J14</f>
        <v>262.61137500000001</v>
      </c>
    </row>
    <row r="15" spans="1:13" ht="30" customHeight="1">
      <c r="A15" s="42">
        <v>3</v>
      </c>
      <c r="B15" s="187" t="s">
        <v>72</v>
      </c>
      <c r="C15" s="196">
        <f t="shared" si="0"/>
        <v>2536.4250000000002</v>
      </c>
      <c r="D15" s="196">
        <f>Mikili!E16</f>
        <v>126.82125000000001</v>
      </c>
      <c r="E15" s="196">
        <f t="shared" si="1"/>
        <v>469.70833333333331</v>
      </c>
      <c r="F15" s="196">
        <f>Mikili!F16</f>
        <v>8.4547500000000007</v>
      </c>
      <c r="G15" s="196">
        <f t="shared" si="2"/>
        <v>507.28500000000003</v>
      </c>
      <c r="H15" s="196">
        <f>Mikili!G16</f>
        <v>25.364249999999998</v>
      </c>
      <c r="I15" s="196">
        <f t="shared" si="3"/>
        <v>169.095</v>
      </c>
      <c r="J15" s="196">
        <f>Mikili!H16</f>
        <v>4.2273750000000003</v>
      </c>
      <c r="K15" s="197">
        <f t="shared" si="4"/>
        <v>164.867625</v>
      </c>
    </row>
    <row r="16" spans="1:13" ht="30" customHeight="1">
      <c r="A16" s="42">
        <v>4</v>
      </c>
      <c r="B16" s="187" t="s">
        <v>139</v>
      </c>
      <c r="C16" s="196">
        <f t="shared" si="0"/>
        <v>1123.5</v>
      </c>
      <c r="D16" s="196">
        <f>Mikili!E17</f>
        <v>56.174999999999997</v>
      </c>
      <c r="E16" s="196">
        <f t="shared" si="1"/>
        <v>208.05555555555554</v>
      </c>
      <c r="F16" s="196">
        <f>Mikili!F17</f>
        <v>3.7450000000000001</v>
      </c>
      <c r="G16" s="196">
        <f t="shared" si="2"/>
        <v>224.7</v>
      </c>
      <c r="H16" s="196">
        <f>Mikili!G17</f>
        <v>11.234999999999999</v>
      </c>
      <c r="I16" s="196">
        <f t="shared" si="3"/>
        <v>74.900000000000006</v>
      </c>
      <c r="J16" s="196">
        <f>Mikili!H17</f>
        <v>1.8725000000000001</v>
      </c>
      <c r="K16" s="197">
        <f t="shared" si="4"/>
        <v>73.027500000000003</v>
      </c>
    </row>
    <row r="17" spans="1:15" ht="30" customHeight="1">
      <c r="A17" s="42">
        <v>5</v>
      </c>
      <c r="B17" s="187" t="s">
        <v>140</v>
      </c>
      <c r="C17" s="196">
        <f t="shared" si="0"/>
        <v>5620.65</v>
      </c>
      <c r="D17" s="196">
        <v>281.03250000000003</v>
      </c>
      <c r="E17" s="196">
        <f t="shared" si="1"/>
        <v>1040.8611111111111</v>
      </c>
      <c r="F17" s="196">
        <v>18.735500000000002</v>
      </c>
      <c r="G17" s="196">
        <f t="shared" si="2"/>
        <v>1124.1300000000001</v>
      </c>
      <c r="H17" s="196">
        <v>56.206499999999998</v>
      </c>
      <c r="I17" s="196">
        <f t="shared" si="3"/>
        <v>374.71</v>
      </c>
      <c r="J17" s="196">
        <v>9.3677500000000009</v>
      </c>
      <c r="K17" s="197">
        <f t="shared" si="4"/>
        <v>365.34225000000004</v>
      </c>
    </row>
    <row r="18" spans="1:15" ht="30" customHeight="1">
      <c r="A18" s="42">
        <v>6</v>
      </c>
      <c r="B18" s="187" t="s">
        <v>38</v>
      </c>
      <c r="C18" s="196">
        <f t="shared" si="0"/>
        <v>4749.1499999999996</v>
      </c>
      <c r="D18" s="196">
        <v>237.45750000000001</v>
      </c>
      <c r="E18" s="196">
        <f t="shared" si="1"/>
        <v>879.47222222222217</v>
      </c>
      <c r="F18" s="196">
        <v>15.830500000000001</v>
      </c>
      <c r="G18" s="196">
        <f t="shared" si="2"/>
        <v>949.83</v>
      </c>
      <c r="H18" s="196">
        <v>47.491500000000002</v>
      </c>
      <c r="I18" s="196">
        <f t="shared" si="3"/>
        <v>316.61</v>
      </c>
      <c r="J18" s="196">
        <v>7.9152500000000003</v>
      </c>
      <c r="K18" s="197">
        <f t="shared" si="4"/>
        <v>308.69475</v>
      </c>
    </row>
    <row r="19" spans="1:15" ht="30" customHeight="1">
      <c r="A19" s="319" t="s">
        <v>42</v>
      </c>
      <c r="B19" s="320"/>
      <c r="C19" s="198">
        <f>SUM(C13:C18)</f>
        <v>22500</v>
      </c>
      <c r="D19" s="198">
        <f>SUM(D13:D18)</f>
        <v>1125</v>
      </c>
      <c r="E19" s="198">
        <f t="shared" ref="E19:I19" si="5">SUM(E13:E18)</f>
        <v>4166.6666666666661</v>
      </c>
      <c r="F19" s="198">
        <f t="shared" si="5"/>
        <v>75</v>
      </c>
      <c r="G19" s="198">
        <f t="shared" si="5"/>
        <v>4500</v>
      </c>
      <c r="H19" s="198">
        <f t="shared" si="5"/>
        <v>225</v>
      </c>
      <c r="I19" s="198">
        <f t="shared" si="5"/>
        <v>1500</v>
      </c>
      <c r="J19" s="198">
        <f>SUM(J13:J18)</f>
        <v>37.5</v>
      </c>
      <c r="K19" s="198">
        <f>SUM(K13:K18)</f>
        <v>1462.5</v>
      </c>
      <c r="M19" s="164"/>
    </row>
    <row r="20" spans="1:15" ht="18" customHeight="1"/>
    <row r="21" spans="1:15" ht="18" customHeight="1">
      <c r="A21" s="30"/>
      <c r="B21" s="30"/>
      <c r="C21" s="31"/>
      <c r="D21" s="31"/>
      <c r="E21" s="31"/>
      <c r="F21" s="31"/>
      <c r="G21" s="31"/>
      <c r="H21" s="31"/>
      <c r="I21" s="31"/>
      <c r="J21" s="31"/>
      <c r="O21" s="164"/>
    </row>
    <row r="22" spans="1:15">
      <c r="M22" s="164"/>
    </row>
    <row r="25" spans="1:15">
      <c r="C25" s="38"/>
      <c r="D25" s="38"/>
    </row>
  </sheetData>
  <sheetProtection formatCells="0" formatColumns="0" formatRows="0" insertColumns="0" insertRows="0" insertHyperlinks="0" deleteColumns="0" deleteRows="0" sort="0" autoFilter="0" pivotTables="0"/>
  <mergeCells count="14">
    <mergeCell ref="G11:H11"/>
    <mergeCell ref="I11:J11"/>
    <mergeCell ref="K11:K12"/>
    <mergeCell ref="A19:B19"/>
    <mergeCell ref="I1:K1"/>
    <mergeCell ref="I2:K2"/>
    <mergeCell ref="A6:K6"/>
    <mergeCell ref="A7:K7"/>
    <mergeCell ref="A8:K8"/>
    <mergeCell ref="A10:A12"/>
    <mergeCell ref="B10:B12"/>
    <mergeCell ref="C10:K10"/>
    <mergeCell ref="C11:D11"/>
    <mergeCell ref="E11:F11"/>
  </mergeCells>
  <conditionalFormatting sqref="D13:D19 F13:F19 H13:H19 C19 E19 G19 I19 J13:K19">
    <cfRule type="cellIs" dxfId="47" priority="7" operator="equal">
      <formula>0</formula>
    </cfRule>
  </conditionalFormatting>
  <conditionalFormatting sqref="C19:K19">
    <cfRule type="cellIs" dxfId="46" priority="5" operator="equal">
      <formula>0</formula>
    </cfRule>
    <cfRule type="cellIs" dxfId="45" priority="6" operator="equal">
      <formula>0</formula>
    </cfRule>
  </conditionalFormatting>
  <conditionalFormatting sqref="C13:C18">
    <cfRule type="cellIs" dxfId="44" priority="4" operator="equal">
      <formula>0</formula>
    </cfRule>
  </conditionalFormatting>
  <conditionalFormatting sqref="E13:E18">
    <cfRule type="cellIs" dxfId="43" priority="3" operator="equal">
      <formula>0</formula>
    </cfRule>
  </conditionalFormatting>
  <conditionalFormatting sqref="G13:G18">
    <cfRule type="cellIs" dxfId="42" priority="2" operator="equal">
      <formula>0</formula>
    </cfRule>
  </conditionalFormatting>
  <conditionalFormatting sqref="I13:I18">
    <cfRule type="cellIs" dxfId="41" priority="1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M25"/>
  <sheetViews>
    <sheetView topLeftCell="A3" workbookViewId="0">
      <selection activeCell="G19" sqref="G19"/>
    </sheetView>
  </sheetViews>
  <sheetFormatPr baseColWidth="10" defaultRowHeight="14.25"/>
  <cols>
    <col min="1" max="1" width="5.28515625" style="29" customWidth="1"/>
    <col min="2" max="2" width="17.5703125" style="29" customWidth="1"/>
    <col min="3" max="3" width="23.140625" style="29" customWidth="1"/>
    <col min="4" max="9" width="12.7109375" style="29" customWidth="1"/>
    <col min="10" max="16384" width="11.42578125" style="29"/>
  </cols>
  <sheetData>
    <row r="1" spans="1:12">
      <c r="A1" s="84" t="s">
        <v>10</v>
      </c>
      <c r="B1" s="85"/>
      <c r="C1" s="85"/>
      <c r="D1" s="85"/>
      <c r="E1" s="85"/>
      <c r="F1" s="86"/>
      <c r="G1" s="86"/>
      <c r="H1" s="289" t="s">
        <v>11</v>
      </c>
      <c r="I1" s="289"/>
    </row>
    <row r="2" spans="1:12">
      <c r="A2" s="84" t="s">
        <v>75</v>
      </c>
      <c r="B2" s="85"/>
      <c r="C2" s="85"/>
      <c r="D2" s="85"/>
      <c r="E2" s="85"/>
      <c r="F2" s="86"/>
      <c r="G2" s="86"/>
      <c r="H2" s="289" t="s">
        <v>13</v>
      </c>
      <c r="I2" s="289"/>
    </row>
    <row r="3" spans="1:12">
      <c r="A3" s="87" t="s">
        <v>73</v>
      </c>
      <c r="B3" s="85"/>
      <c r="C3" s="85"/>
      <c r="D3" s="85"/>
      <c r="E3" s="85"/>
      <c r="F3" s="85"/>
      <c r="G3" s="85"/>
      <c r="H3" s="85"/>
      <c r="I3" s="85"/>
    </row>
    <row r="4" spans="1:12">
      <c r="A4" s="87" t="s">
        <v>76</v>
      </c>
      <c r="B4" s="85"/>
      <c r="C4" s="85"/>
      <c r="D4" s="85"/>
      <c r="E4" s="85"/>
      <c r="F4" s="85"/>
      <c r="G4" s="85"/>
      <c r="H4" s="85"/>
      <c r="I4" s="85"/>
    </row>
    <row r="5" spans="1:12">
      <c r="A5" s="87" t="s">
        <v>15</v>
      </c>
      <c r="B5" s="85"/>
      <c r="C5" s="85"/>
      <c r="D5" s="85"/>
      <c r="E5" s="85"/>
      <c r="F5" s="85"/>
      <c r="G5" s="85"/>
      <c r="H5" s="85"/>
      <c r="I5" s="85"/>
    </row>
    <row r="6" spans="1:12" ht="22.5" customHeight="1">
      <c r="A6" s="270" t="s">
        <v>137</v>
      </c>
      <c r="B6" s="270"/>
      <c r="C6" s="270"/>
      <c r="D6" s="270"/>
      <c r="E6" s="270"/>
      <c r="F6" s="270"/>
      <c r="G6" s="270"/>
      <c r="H6" s="270"/>
      <c r="I6" s="270"/>
    </row>
    <row r="7" spans="1:12" ht="21.75" customHeight="1">
      <c r="A7" s="270" t="s">
        <v>141</v>
      </c>
      <c r="B7" s="270"/>
      <c r="C7" s="270"/>
      <c r="D7" s="270"/>
      <c r="E7" s="270"/>
      <c r="F7" s="270"/>
      <c r="G7" s="270"/>
      <c r="H7" s="270"/>
      <c r="I7" s="270"/>
    </row>
    <row r="8" spans="1:12" ht="23.25" customHeight="1">
      <c r="A8" s="332" t="s">
        <v>144</v>
      </c>
      <c r="B8" s="332"/>
      <c r="C8" s="332"/>
      <c r="D8" s="332"/>
      <c r="E8" s="332"/>
      <c r="F8" s="332"/>
      <c r="G8" s="332"/>
      <c r="H8" s="332"/>
      <c r="I8" s="332"/>
    </row>
    <row r="9" spans="1:12" ht="15" customHeight="1">
      <c r="A9" s="93"/>
      <c r="B9" s="85"/>
      <c r="C9" s="85"/>
      <c r="D9" s="85"/>
      <c r="E9" s="85"/>
      <c r="F9" s="85"/>
      <c r="G9" s="85"/>
      <c r="H9" s="85"/>
      <c r="I9" s="85"/>
    </row>
    <row r="10" spans="1:12" ht="24.75" customHeight="1">
      <c r="A10" s="307" t="s">
        <v>22</v>
      </c>
      <c r="B10" s="309" t="s">
        <v>24</v>
      </c>
      <c r="C10" s="317" t="s">
        <v>138</v>
      </c>
      <c r="D10" s="174"/>
      <c r="E10" s="311" t="s">
        <v>27</v>
      </c>
      <c r="F10" s="311"/>
      <c r="G10" s="311"/>
      <c r="H10" s="311"/>
      <c r="I10" s="311"/>
    </row>
    <row r="11" spans="1:12" ht="21.75" customHeight="1">
      <c r="A11" s="308"/>
      <c r="B11" s="310"/>
      <c r="C11" s="318"/>
      <c r="D11" s="171" t="s">
        <v>136</v>
      </c>
      <c r="E11" s="172" t="s">
        <v>17</v>
      </c>
      <c r="F11" s="172" t="s">
        <v>18</v>
      </c>
      <c r="G11" s="172" t="s">
        <v>19</v>
      </c>
      <c r="H11" s="172" t="s">
        <v>20</v>
      </c>
      <c r="I11" s="171" t="s">
        <v>30</v>
      </c>
    </row>
    <row r="12" spans="1:12" ht="21.95" customHeight="1">
      <c r="A12" s="173">
        <v>1</v>
      </c>
      <c r="B12" s="165" t="s">
        <v>31</v>
      </c>
      <c r="C12" s="165" t="s">
        <v>31</v>
      </c>
      <c r="D12" s="166">
        <v>35413</v>
      </c>
      <c r="E12" s="167">
        <v>132.79875000000001</v>
      </c>
      <c r="F12" s="167">
        <v>8.8532499999999992</v>
      </c>
      <c r="G12" s="167">
        <v>26.559750000000001</v>
      </c>
      <c r="H12" s="167">
        <v>4.4266249999999996</v>
      </c>
      <c r="I12" s="168">
        <f t="shared" ref="I12:I17" si="0">SUM(E12:H12)</f>
        <v>172.63837500000002</v>
      </c>
      <c r="K12" s="164"/>
    </row>
    <row r="13" spans="1:12" ht="21.95" customHeight="1">
      <c r="A13" s="173">
        <v>2</v>
      </c>
      <c r="B13" s="175" t="s">
        <v>32</v>
      </c>
      <c r="C13" s="165" t="s">
        <v>32</v>
      </c>
      <c r="D13" s="166">
        <v>53869</v>
      </c>
      <c r="E13" s="167">
        <v>202.00874999999999</v>
      </c>
      <c r="F13" s="167">
        <v>13.46725</v>
      </c>
      <c r="G13" s="167">
        <v>40.40175</v>
      </c>
      <c r="H13" s="167">
        <v>6.733625</v>
      </c>
      <c r="I13" s="168">
        <f t="shared" si="0"/>
        <v>262.61137500000001</v>
      </c>
    </row>
    <row r="14" spans="1:12" ht="21.95" customHeight="1">
      <c r="A14" s="173">
        <v>3</v>
      </c>
      <c r="B14" s="165" t="s">
        <v>33</v>
      </c>
      <c r="C14" s="304" t="s">
        <v>31</v>
      </c>
      <c r="D14" s="166">
        <v>16839</v>
      </c>
      <c r="E14" s="167">
        <v>63.146250000000002</v>
      </c>
      <c r="F14" s="167">
        <v>4.2097499999999997</v>
      </c>
      <c r="G14" s="167">
        <v>12.629250000000001</v>
      </c>
      <c r="H14" s="167">
        <v>2.1048749999999998</v>
      </c>
      <c r="I14" s="168">
        <f t="shared" si="0"/>
        <v>82.090125</v>
      </c>
    </row>
    <row r="15" spans="1:12" ht="21.95" customHeight="1">
      <c r="A15" s="173">
        <v>4</v>
      </c>
      <c r="B15" s="165" t="s">
        <v>3</v>
      </c>
      <c r="C15" s="305"/>
      <c r="D15" s="166">
        <v>6816</v>
      </c>
      <c r="E15" s="167">
        <v>25.56</v>
      </c>
      <c r="F15" s="167">
        <v>1.704</v>
      </c>
      <c r="G15" s="167">
        <v>5.1120000000000001</v>
      </c>
      <c r="H15" s="167">
        <v>0.85199999999999998</v>
      </c>
      <c r="I15" s="168">
        <f t="shared" si="0"/>
        <v>33.227999999999994</v>
      </c>
    </row>
    <row r="16" spans="1:12" ht="21.95" customHeight="1">
      <c r="A16" s="173">
        <v>9</v>
      </c>
      <c r="B16" s="165" t="s">
        <v>40</v>
      </c>
      <c r="C16" s="165" t="s">
        <v>72</v>
      </c>
      <c r="D16" s="166">
        <v>33819</v>
      </c>
      <c r="E16" s="167">
        <v>126.82125000000001</v>
      </c>
      <c r="F16" s="167">
        <v>8.4547500000000007</v>
      </c>
      <c r="G16" s="167">
        <v>25.364249999999998</v>
      </c>
      <c r="H16" s="167">
        <v>4.2273750000000003</v>
      </c>
      <c r="I16" s="168">
        <f t="shared" si="0"/>
        <v>164.867625</v>
      </c>
      <c r="K16" s="164"/>
      <c r="L16" s="164"/>
    </row>
    <row r="17" spans="1:13" ht="21.95" customHeight="1">
      <c r="A17" s="173">
        <v>10</v>
      </c>
      <c r="B17" s="165" t="s">
        <v>41</v>
      </c>
      <c r="C17" s="165" t="s">
        <v>139</v>
      </c>
      <c r="D17" s="166">
        <v>14980</v>
      </c>
      <c r="E17" s="167">
        <v>56.174999999999997</v>
      </c>
      <c r="F17" s="167">
        <v>3.7450000000000001</v>
      </c>
      <c r="G17" s="167">
        <v>11.234999999999999</v>
      </c>
      <c r="H17" s="167">
        <v>1.8725000000000001</v>
      </c>
      <c r="I17" s="168">
        <f t="shared" si="0"/>
        <v>73.027500000000003</v>
      </c>
      <c r="M17" s="164"/>
    </row>
    <row r="18" spans="1:13" ht="18" customHeight="1">
      <c r="A18" s="272" t="s">
        <v>42</v>
      </c>
      <c r="B18" s="274"/>
      <c r="C18" s="169">
        <f t="shared" ref="C18" si="1">SUM(C12:C17)</f>
        <v>0</v>
      </c>
      <c r="D18" s="169">
        <f>SUM(D12:D17)</f>
        <v>161736</v>
      </c>
      <c r="E18" s="170">
        <f>SUM(E12:E17)</f>
        <v>606.51</v>
      </c>
      <c r="F18" s="170">
        <f>SUM(F12:F17)</f>
        <v>40.433999999999997</v>
      </c>
      <c r="G18" s="170">
        <f>SUM(G12:G17)</f>
        <v>121.30199999999999</v>
      </c>
      <c r="H18" s="170">
        <f t="shared" ref="H18" si="2">SUM(H12:H17)</f>
        <v>20.216999999999999</v>
      </c>
      <c r="I18" s="170">
        <f>SUM(I12:I17)</f>
        <v>788.46300000000008</v>
      </c>
      <c r="K18" s="164"/>
    </row>
    <row r="19" spans="1:13" ht="18" customHeight="1"/>
    <row r="20" spans="1:13" ht="18" customHeight="1">
      <c r="A20" s="30"/>
      <c r="B20" s="30"/>
      <c r="C20" s="30"/>
      <c r="D20" s="30"/>
      <c r="E20" s="31"/>
      <c r="F20" s="31"/>
      <c r="G20" s="31"/>
      <c r="H20" s="31"/>
      <c r="M20" s="164"/>
    </row>
    <row r="21" spans="1:13">
      <c r="K21" s="164"/>
    </row>
    <row r="23" spans="1:13">
      <c r="D23" s="164"/>
    </row>
    <row r="25" spans="1:13">
      <c r="D25" s="164"/>
    </row>
  </sheetData>
  <sheetProtection formatCells="0" formatColumns="0" formatRows="0" insertColumns="0" insertRows="0" insertHyperlinks="0" deleteColumns="0" deleteRows="0" sort="0" autoFilter="0" pivotTables="0"/>
  <mergeCells count="11">
    <mergeCell ref="C14:C15"/>
    <mergeCell ref="A18:B18"/>
    <mergeCell ref="A8:I8"/>
    <mergeCell ref="A7:I7"/>
    <mergeCell ref="H1:I1"/>
    <mergeCell ref="H2:I2"/>
    <mergeCell ref="A6:I6"/>
    <mergeCell ref="A10:A11"/>
    <mergeCell ref="B10:B11"/>
    <mergeCell ref="C10:C11"/>
    <mergeCell ref="E10:I10"/>
  </mergeCells>
  <conditionalFormatting sqref="E12:I18">
    <cfRule type="cellIs" dxfId="40" priority="3" operator="equal">
      <formula>0</formula>
    </cfRule>
  </conditionalFormatting>
  <conditionalFormatting sqref="E18:I18">
    <cfRule type="cellIs" dxfId="39" priority="1" operator="equal">
      <formula>0</formula>
    </cfRule>
    <cfRule type="cellIs" dxfId="38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M23"/>
  <sheetViews>
    <sheetView workbookViewId="0">
      <selection activeCell="M13" sqref="M13"/>
    </sheetView>
  </sheetViews>
  <sheetFormatPr baseColWidth="10" defaultRowHeight="14.25"/>
  <cols>
    <col min="1" max="1" width="5.28515625" style="29" customWidth="1"/>
    <col min="2" max="2" width="17.5703125" style="29" customWidth="1"/>
    <col min="3" max="3" width="17.140625" style="29" customWidth="1"/>
    <col min="4" max="9" width="12.7109375" style="29" customWidth="1"/>
    <col min="10" max="16384" width="11.42578125" style="29"/>
  </cols>
  <sheetData>
    <row r="1" spans="1:11">
      <c r="A1" s="84" t="s">
        <v>10</v>
      </c>
      <c r="B1" s="85"/>
      <c r="C1" s="85"/>
      <c r="D1" s="85"/>
      <c r="E1" s="85"/>
      <c r="F1" s="86"/>
      <c r="G1" s="86"/>
      <c r="H1" s="289" t="s">
        <v>11</v>
      </c>
      <c r="I1" s="289"/>
    </row>
    <row r="2" spans="1:11">
      <c r="A2" s="84" t="s">
        <v>75</v>
      </c>
      <c r="B2" s="85"/>
      <c r="C2" s="85"/>
      <c r="D2" s="85"/>
      <c r="E2" s="85"/>
      <c r="F2" s="86"/>
      <c r="G2" s="86"/>
      <c r="H2" s="289" t="s">
        <v>13</v>
      </c>
      <c r="I2" s="289"/>
    </row>
    <row r="3" spans="1:11">
      <c r="A3" s="87" t="s">
        <v>73</v>
      </c>
      <c r="B3" s="85"/>
      <c r="C3" s="85"/>
      <c r="D3" s="85"/>
      <c r="E3" s="85"/>
      <c r="F3" s="85"/>
      <c r="G3" s="85"/>
      <c r="H3" s="85"/>
      <c r="I3" s="85"/>
    </row>
    <row r="4" spans="1:11">
      <c r="A4" s="87" t="s">
        <v>76</v>
      </c>
      <c r="B4" s="85"/>
      <c r="C4" s="85"/>
      <c r="D4" s="85"/>
      <c r="E4" s="85"/>
      <c r="F4" s="85"/>
      <c r="G4" s="85"/>
      <c r="H4" s="85"/>
      <c r="I4" s="85"/>
    </row>
    <row r="5" spans="1:11">
      <c r="A5" s="87" t="s">
        <v>15</v>
      </c>
      <c r="B5" s="85"/>
      <c r="C5" s="85"/>
      <c r="D5" s="85"/>
      <c r="E5" s="85"/>
      <c r="F5" s="85"/>
      <c r="G5" s="85"/>
      <c r="H5" s="85"/>
      <c r="I5" s="85"/>
    </row>
    <row r="6" spans="1:11" ht="22.5" customHeight="1">
      <c r="A6" s="270" t="s">
        <v>137</v>
      </c>
      <c r="B6" s="270"/>
      <c r="C6" s="270"/>
      <c r="D6" s="270"/>
      <c r="E6" s="270"/>
      <c r="F6" s="270"/>
      <c r="G6" s="270"/>
      <c r="H6" s="270"/>
      <c r="I6" s="270"/>
    </row>
    <row r="7" spans="1:11" ht="21.75" customHeight="1">
      <c r="A7" s="270" t="s">
        <v>141</v>
      </c>
      <c r="B7" s="270"/>
      <c r="C7" s="270"/>
      <c r="D7" s="270"/>
      <c r="E7" s="270"/>
      <c r="F7" s="270"/>
      <c r="G7" s="270"/>
      <c r="H7" s="270"/>
      <c r="I7" s="270"/>
    </row>
    <row r="8" spans="1:11" ht="23.25" customHeight="1">
      <c r="A8" s="163" t="s">
        <v>145</v>
      </c>
      <c r="B8" s="163"/>
      <c r="C8" s="163"/>
      <c r="D8" s="163"/>
      <c r="E8" s="163"/>
      <c r="F8" s="163"/>
      <c r="G8" s="163"/>
      <c r="H8" s="163"/>
      <c r="I8" s="85"/>
    </row>
    <row r="9" spans="1:11" ht="15" customHeight="1">
      <c r="A9" s="93"/>
      <c r="B9" s="85"/>
      <c r="C9" s="85"/>
      <c r="D9" s="85"/>
      <c r="E9" s="85"/>
      <c r="F9" s="85"/>
      <c r="G9" s="85"/>
      <c r="H9" s="85"/>
      <c r="I9" s="85"/>
    </row>
    <row r="10" spans="1:11" ht="24.75" customHeight="1">
      <c r="A10" s="307" t="s">
        <v>22</v>
      </c>
      <c r="B10" s="309" t="s">
        <v>24</v>
      </c>
      <c r="C10" s="317" t="s">
        <v>138</v>
      </c>
      <c r="D10" s="174"/>
      <c r="E10" s="311" t="s">
        <v>27</v>
      </c>
      <c r="F10" s="311"/>
      <c r="G10" s="311"/>
      <c r="H10" s="311"/>
      <c r="I10" s="311"/>
    </row>
    <row r="11" spans="1:11" ht="21.75" customHeight="1">
      <c r="A11" s="308"/>
      <c r="B11" s="310"/>
      <c r="C11" s="318"/>
      <c r="D11" s="171" t="s">
        <v>136</v>
      </c>
      <c r="E11" s="172" t="s">
        <v>17</v>
      </c>
      <c r="F11" s="172" t="s">
        <v>18</v>
      </c>
      <c r="G11" s="172" t="s">
        <v>19</v>
      </c>
      <c r="H11" s="172" t="s">
        <v>20</v>
      </c>
      <c r="I11" s="171" t="s">
        <v>30</v>
      </c>
    </row>
    <row r="12" spans="1:11" ht="21.95" customHeight="1">
      <c r="A12" s="173">
        <v>5</v>
      </c>
      <c r="B12" s="165" t="s">
        <v>35</v>
      </c>
      <c r="C12" s="304" t="s">
        <v>140</v>
      </c>
      <c r="D12" s="166">
        <v>24770</v>
      </c>
      <c r="E12" s="167">
        <v>92.887500000000003</v>
      </c>
      <c r="F12" s="167">
        <v>6.1924999999999999</v>
      </c>
      <c r="G12" s="167">
        <v>18.577500000000001</v>
      </c>
      <c r="H12" s="167">
        <v>3.0962499999999999</v>
      </c>
      <c r="I12" s="168">
        <f>SUM(E12:H12)</f>
        <v>120.75375</v>
      </c>
      <c r="K12" s="164"/>
    </row>
    <row r="13" spans="1:11" ht="21.95" customHeight="1">
      <c r="A13" s="173">
        <v>6</v>
      </c>
      <c r="B13" s="165" t="s">
        <v>37</v>
      </c>
      <c r="C13" s="305"/>
      <c r="D13" s="166">
        <v>25174</v>
      </c>
      <c r="E13" s="167">
        <v>94.402500000000003</v>
      </c>
      <c r="F13" s="167">
        <v>6.2934999999999999</v>
      </c>
      <c r="G13" s="167">
        <v>18.880500000000001</v>
      </c>
      <c r="H13" s="167">
        <v>3.1467499999999999</v>
      </c>
      <c r="I13" s="168">
        <f>SUM(E13:H13)</f>
        <v>122.72324999999999</v>
      </c>
    </row>
    <row r="14" spans="1:11" ht="21.95" customHeight="1">
      <c r="A14" s="173">
        <v>7</v>
      </c>
      <c r="B14" s="165" t="s">
        <v>38</v>
      </c>
      <c r="C14" s="165" t="s">
        <v>38</v>
      </c>
      <c r="D14" s="166">
        <v>63322</v>
      </c>
      <c r="E14" s="167">
        <v>237.45750000000001</v>
      </c>
      <c r="F14" s="167">
        <v>15.830500000000001</v>
      </c>
      <c r="G14" s="167">
        <v>47.491500000000002</v>
      </c>
      <c r="H14" s="167">
        <v>7.9152500000000003</v>
      </c>
      <c r="I14" s="168">
        <f>SUM(E14:H14)</f>
        <v>308.69475</v>
      </c>
      <c r="K14" s="164"/>
    </row>
    <row r="15" spans="1:11" ht="21.95" customHeight="1">
      <c r="A15" s="173">
        <v>8</v>
      </c>
      <c r="B15" s="165" t="s">
        <v>39</v>
      </c>
      <c r="C15" s="165" t="s">
        <v>140</v>
      </c>
      <c r="D15" s="166">
        <v>24998</v>
      </c>
      <c r="E15" s="167">
        <v>93.742500000000007</v>
      </c>
      <c r="F15" s="167">
        <v>6.2495000000000003</v>
      </c>
      <c r="G15" s="167">
        <v>18.7485</v>
      </c>
      <c r="H15" s="167">
        <v>3.1247500000000001</v>
      </c>
      <c r="I15" s="168">
        <f>SUM(E15:H15)</f>
        <v>121.86525</v>
      </c>
      <c r="K15" s="164"/>
    </row>
    <row r="16" spans="1:11" ht="18" customHeight="1">
      <c r="A16" s="272" t="s">
        <v>42</v>
      </c>
      <c r="B16" s="274"/>
      <c r="C16" s="169">
        <f t="shared" ref="C16:I16" si="0">SUM(C12:C15)</f>
        <v>0</v>
      </c>
      <c r="D16" s="169">
        <f t="shared" si="0"/>
        <v>138264</v>
      </c>
      <c r="E16" s="170">
        <f t="shared" si="0"/>
        <v>518.49</v>
      </c>
      <c r="F16" s="170">
        <f t="shared" si="0"/>
        <v>34.566000000000003</v>
      </c>
      <c r="G16" s="170">
        <f t="shared" si="0"/>
        <v>103.69800000000001</v>
      </c>
      <c r="H16" s="170">
        <f t="shared" si="0"/>
        <v>17.283000000000001</v>
      </c>
      <c r="I16" s="170">
        <f t="shared" si="0"/>
        <v>674.03700000000003</v>
      </c>
      <c r="K16" s="164"/>
    </row>
    <row r="17" spans="1:13" ht="18" customHeight="1"/>
    <row r="18" spans="1:13" ht="18" customHeight="1">
      <c r="A18" s="30"/>
      <c r="B18" s="30"/>
      <c r="C18" s="30"/>
      <c r="D18" s="30"/>
      <c r="E18" s="31"/>
      <c r="F18" s="31"/>
      <c r="G18" s="31"/>
      <c r="H18" s="31"/>
      <c r="M18" s="164"/>
    </row>
    <row r="19" spans="1:13">
      <c r="K19" s="164"/>
    </row>
    <row r="21" spans="1:13">
      <c r="D21" s="164"/>
    </row>
    <row r="23" spans="1:13">
      <c r="D23" s="164"/>
    </row>
  </sheetData>
  <sheetProtection formatCells="0" formatColumns="0" formatRows="0" insertColumns="0" insertRows="0" insertHyperlinks="0" deleteColumns="0" deleteRows="0" sort="0" autoFilter="0" pivotTables="0"/>
  <mergeCells count="10">
    <mergeCell ref="C12:C13"/>
    <mergeCell ref="A16:B16"/>
    <mergeCell ref="H1:I1"/>
    <mergeCell ref="H2:I2"/>
    <mergeCell ref="A6:I6"/>
    <mergeCell ref="A7:I7"/>
    <mergeCell ref="A10:A11"/>
    <mergeCell ref="B10:B11"/>
    <mergeCell ref="C10:C11"/>
    <mergeCell ref="E10:I10"/>
  </mergeCells>
  <conditionalFormatting sqref="E12:I16">
    <cfRule type="cellIs" dxfId="37" priority="3" operator="equal">
      <formula>0</formula>
    </cfRule>
  </conditionalFormatting>
  <conditionalFormatting sqref="E16:I16">
    <cfRule type="cellIs" dxfId="36" priority="1" operator="equal">
      <formula>0</formula>
    </cfRule>
    <cfRule type="cellIs" dxfId="35" priority="2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Footer>&amp;L&amp;"+,Normal"&amp;9Année scolaire 2015-2016&amp;C&amp;"+,Normal"&amp;9 Prépositionnement&amp;R&amp;"+,Normal"&amp;9&amp;P/&amp;N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6</vt:i4>
      </vt:variant>
    </vt:vector>
  </HeadingPairs>
  <TitlesOfParts>
    <vt:vector size="34" baseType="lpstr">
      <vt:lpstr>EffectifReel_2015-2016</vt:lpstr>
      <vt:lpstr>Grille_Prepositionnement </vt:lpstr>
      <vt:lpstr>Grille_Prepositionnement  (2)</vt:lpstr>
      <vt:lpstr>Grille_Prepositionnement  (3)</vt:lpstr>
      <vt:lpstr>PlanningEnlevement</vt:lpstr>
      <vt:lpstr>PlanningEnlevement (2)</vt:lpstr>
      <vt:lpstr>PlanningEnlevement (3)</vt:lpstr>
      <vt:lpstr>Mikili</vt:lpstr>
      <vt:lpstr>GrainArgent</vt:lpstr>
      <vt:lpstr>Mikili_Final</vt:lpstr>
      <vt:lpstr>GrainArgent_Final</vt:lpstr>
      <vt:lpstr>Enlevements_ONUCI_WH</vt:lpstr>
      <vt:lpstr>Enlevements_PORT</vt:lpstr>
      <vt:lpstr>BilanDesEnlevements_ParMagasin</vt:lpstr>
      <vt:lpstr>BilanDesEnlevements_DATTE</vt:lpstr>
      <vt:lpstr>BilanDesEnlevements_Global</vt:lpstr>
      <vt:lpstr>BilanDesEnlevements_Global (2)</vt:lpstr>
      <vt:lpstr>BilanDesEnlevements_Grain</vt:lpstr>
      <vt:lpstr>BilanDesEnlevements_Mikili</vt:lpstr>
      <vt:lpstr>Enlevements</vt:lpstr>
      <vt:lpstr>Enlevements (2)</vt:lpstr>
      <vt:lpstr>1er_TableauEnlevement1</vt:lpstr>
      <vt:lpstr>2eme_TableauEnlevement1</vt:lpstr>
      <vt:lpstr>ListeDonnees</vt:lpstr>
      <vt:lpstr>1ère_Dotation</vt:lpstr>
      <vt:lpstr>Fermeture_2014-215_McYop</vt:lpstr>
      <vt:lpstr>DotationParDrenet</vt:lpstr>
      <vt:lpstr>Feuil3</vt:lpstr>
      <vt:lpstr>'1ère_Dotation'!jrs</vt:lpstr>
      <vt:lpstr>'Grille_Prepositionnement '!jrs</vt:lpstr>
      <vt:lpstr>ListeDenree</vt:lpstr>
      <vt:lpstr>ListeDenrees</vt:lpstr>
      <vt:lpstr>ListeDonnees!ListeMagasins</vt:lpstr>
      <vt:lpstr>MagasinPam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EBOULE</dc:creator>
  <cp:lastModifiedBy>MR EBOURE</cp:lastModifiedBy>
  <cp:lastPrinted>2015-08-28T08:01:45Z</cp:lastPrinted>
  <dcterms:created xsi:type="dcterms:W3CDTF">2013-09-07T12:39:31Z</dcterms:created>
  <dcterms:modified xsi:type="dcterms:W3CDTF">2015-12-14T09:03:29Z</dcterms:modified>
</cp:coreProperties>
</file>